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75" windowWidth="19200" windowHeight="10920" tabRatio="723" firstSheet="3" activeTab="3"/>
  </bookViews>
  <sheets>
    <sheet name="2014-2016 SVP" sheetId="32" state="hidden" r:id="rId1"/>
    <sheet name="Asignavimu valdytojų kodai" sheetId="35" state="hidden" r:id="rId2"/>
    <sheet name="10 programa " sheetId="37" state="hidden" r:id="rId3"/>
    <sheet name="10 programa" sheetId="39" r:id="rId4"/>
    <sheet name="Aiškinamoji lentelė" sheetId="36" state="hidden" r:id="rId5"/>
    <sheet name="10 pr. Lt" sheetId="38" state="hidden" r:id="rId6"/>
  </sheets>
  <definedNames>
    <definedName name="_xlnm.Print_Area" localSheetId="5">'10 pr. Lt'!$A$1:$R$161</definedName>
    <definedName name="_xlnm.Print_Area" localSheetId="3">'10 programa'!$A$1:$P$184</definedName>
    <definedName name="_xlnm.Print_Area" localSheetId="2">'10 programa '!$A$1:$R$160</definedName>
    <definedName name="_xlnm.Print_Area" localSheetId="0">'2014-2016 SVP'!$A$1:$R$170</definedName>
    <definedName name="_xlnm.Print_Area" localSheetId="4">'Aiškinamoji lentelė'!$A$1:$W$232</definedName>
    <definedName name="_xlnm.Print_Titles" localSheetId="5">'10 pr. Lt'!$5:$7</definedName>
    <definedName name="_xlnm.Print_Titles" localSheetId="3">'10 programa'!$5:$7</definedName>
    <definedName name="_xlnm.Print_Titles" localSheetId="2">'10 programa '!$5:$7</definedName>
    <definedName name="_xlnm.Print_Titles" localSheetId="0">'2014-2016 SVP'!$5:$7</definedName>
    <definedName name="_xlnm.Print_Titles" localSheetId="4">'Aiškinamoji lentelė'!$6:$8</definedName>
  </definedNames>
  <calcPr calcId="145621"/>
</workbook>
</file>

<file path=xl/calcChain.xml><?xml version="1.0" encoding="utf-8"?>
<calcChain xmlns="http://schemas.openxmlformats.org/spreadsheetml/2006/main">
  <c r="J177" i="39" l="1"/>
  <c r="K177" i="39"/>
  <c r="I177" i="39"/>
  <c r="I182" i="39"/>
  <c r="L225" i="36"/>
  <c r="M225" i="36"/>
  <c r="Q225" i="36"/>
  <c r="K225" i="36"/>
  <c r="R217" i="36"/>
  <c r="Q217" i="36"/>
  <c r="M217" i="36"/>
  <c r="L217" i="36"/>
  <c r="K217" i="36"/>
  <c r="J173" i="39"/>
  <c r="K173" i="39"/>
  <c r="I173" i="39"/>
  <c r="K12" i="39" l="1"/>
  <c r="J12" i="39"/>
  <c r="M136" i="36" l="1"/>
  <c r="Q136" i="36" l="1"/>
  <c r="J99" i="39"/>
  <c r="R193" i="36" l="1"/>
  <c r="R187" i="36"/>
  <c r="R186" i="36"/>
  <c r="R185" i="36"/>
  <c r="I96" i="39" l="1"/>
  <c r="K101" i="39"/>
  <c r="K102" i="39" s="1"/>
  <c r="J101" i="39"/>
  <c r="I99" i="39"/>
  <c r="R136" i="36"/>
  <c r="O136" i="36"/>
  <c r="N136" i="36"/>
  <c r="L136" i="36"/>
  <c r="K136" i="36"/>
  <c r="J102" i="39" l="1"/>
  <c r="I102" i="39"/>
  <c r="K46" i="39" l="1"/>
  <c r="I12" i="39"/>
  <c r="N43" i="36"/>
  <c r="M43" i="36" s="1"/>
  <c r="O43" i="36"/>
  <c r="N27" i="36"/>
  <c r="M27" i="36" s="1"/>
  <c r="O27" i="36"/>
  <c r="N22" i="36"/>
  <c r="M22" i="36" s="1"/>
  <c r="O22" i="36"/>
  <c r="N15" i="36"/>
  <c r="M15" i="36" s="1"/>
  <c r="O15" i="36"/>
  <c r="R124" i="36"/>
  <c r="Q124" i="36"/>
  <c r="L124" i="36"/>
  <c r="K124" i="36"/>
  <c r="K88" i="39"/>
  <c r="J88" i="39"/>
  <c r="Q226" i="36" l="1"/>
  <c r="M226" i="36"/>
  <c r="J178" i="39"/>
  <c r="I178" i="39"/>
  <c r="L170" i="36" l="1"/>
  <c r="N170" i="36"/>
  <c r="P170" i="36"/>
  <c r="K170" i="36"/>
  <c r="M168" i="36"/>
  <c r="R168" i="36" s="1"/>
  <c r="R170" i="36" s="1"/>
  <c r="J130" i="39"/>
  <c r="K130" i="39"/>
  <c r="I113" i="39"/>
  <c r="I130" i="39" s="1"/>
  <c r="Q168" i="36" l="1"/>
  <c r="Q170" i="36" s="1"/>
  <c r="I166" i="39"/>
  <c r="I164" i="39"/>
  <c r="I141" i="39"/>
  <c r="I78" i="39"/>
  <c r="I55" i="39"/>
  <c r="I46" i="39"/>
  <c r="I181" i="39"/>
  <c r="I180" i="39"/>
  <c r="I179" i="39"/>
  <c r="I176" i="39"/>
  <c r="I175" i="39"/>
  <c r="I174" i="39"/>
  <c r="K164" i="39"/>
  <c r="J164" i="39"/>
  <c r="J78" i="39"/>
  <c r="K78" i="39"/>
  <c r="K55" i="39"/>
  <c r="J55" i="39"/>
  <c r="J46" i="39"/>
  <c r="K181" i="39" l="1"/>
  <c r="J181" i="39"/>
  <c r="K180" i="39"/>
  <c r="J180" i="39"/>
  <c r="K179" i="39"/>
  <c r="J179" i="39"/>
  <c r="K165" i="39"/>
  <c r="K166" i="39" s="1"/>
  <c r="J165" i="39"/>
  <c r="J166" i="39" s="1"/>
  <c r="K141" i="39"/>
  <c r="J141" i="39"/>
  <c r="K134" i="39"/>
  <c r="J134" i="39"/>
  <c r="I134" i="39"/>
  <c r="I142" i="39" s="1"/>
  <c r="K111" i="39"/>
  <c r="K109" i="39"/>
  <c r="J109" i="39"/>
  <c r="I109" i="39"/>
  <c r="K106" i="39"/>
  <c r="J106" i="39"/>
  <c r="I106" i="39"/>
  <c r="K86" i="39"/>
  <c r="J86" i="39"/>
  <c r="K83" i="39"/>
  <c r="J83" i="39"/>
  <c r="J80" i="39"/>
  <c r="I80" i="39"/>
  <c r="K71" i="39"/>
  <c r="J71" i="39"/>
  <c r="I71" i="39"/>
  <c r="J63" i="39"/>
  <c r="I63" i="39"/>
  <c r="I61" i="39"/>
  <c r="K61" i="39"/>
  <c r="J61" i="39"/>
  <c r="I59" i="39"/>
  <c r="K56" i="39"/>
  <c r="J56" i="39"/>
  <c r="O32" i="39"/>
  <c r="N32" i="39"/>
  <c r="M32" i="39"/>
  <c r="I89" i="39" l="1"/>
  <c r="J89" i="39"/>
  <c r="K89" i="39"/>
  <c r="K59" i="39"/>
  <c r="K174" i="39"/>
  <c r="J59" i="39"/>
  <c r="J174" i="39"/>
  <c r="I64" i="39"/>
  <c r="I112" i="39"/>
  <c r="J112" i="39"/>
  <c r="K112" i="39"/>
  <c r="K131" i="39" s="1"/>
  <c r="J175" i="39"/>
  <c r="I167" i="39"/>
  <c r="K167" i="39"/>
  <c r="K142" i="39"/>
  <c r="J167" i="39"/>
  <c r="J142" i="39"/>
  <c r="J131" i="39" l="1"/>
  <c r="I131" i="39"/>
  <c r="I168" i="39"/>
  <c r="J168" i="39"/>
  <c r="K168" i="39"/>
  <c r="I65" i="39"/>
  <c r="K175" i="39"/>
  <c r="J64" i="39"/>
  <c r="J65" i="39" s="1"/>
  <c r="J176" i="39"/>
  <c r="K176" i="39"/>
  <c r="L17" i="36"/>
  <c r="L226" i="36"/>
  <c r="J169" i="39" l="1"/>
  <c r="I169" i="39"/>
  <c r="I184" i="39" s="1"/>
  <c r="J182" i="39"/>
  <c r="K182" i="39"/>
  <c r="K64" i="39"/>
  <c r="K65" i="39" s="1"/>
  <c r="K169" i="39" s="1"/>
  <c r="Q105" i="36"/>
  <c r="J184" i="39" l="1"/>
  <c r="K184" i="39"/>
  <c r="N140" i="36"/>
  <c r="M191" i="36" l="1"/>
  <c r="M61" i="36"/>
  <c r="M48" i="36"/>
  <c r="M45" i="36"/>
  <c r="M38" i="36"/>
  <c r="M35" i="36"/>
  <c r="M33" i="36"/>
  <c r="M30" i="36"/>
  <c r="M29" i="36"/>
  <c r="M24" i="36"/>
  <c r="M18" i="36"/>
  <c r="M79" i="36" l="1"/>
  <c r="K79" i="36"/>
  <c r="P105" i="36" l="1"/>
  <c r="M105" i="36"/>
  <c r="Q62" i="36" l="1"/>
  <c r="R62" i="36" s="1"/>
  <c r="M223" i="36" l="1"/>
  <c r="L181" i="36" l="1"/>
  <c r="O181" i="36"/>
  <c r="P181" i="36"/>
  <c r="Q181" i="36"/>
  <c r="R181" i="36"/>
  <c r="K181" i="36"/>
  <c r="L205" i="36"/>
  <c r="L115" i="36"/>
  <c r="M219" i="36" l="1"/>
  <c r="M229" i="36"/>
  <c r="M228" i="36"/>
  <c r="M227" i="36"/>
  <c r="M224" i="36"/>
  <c r="L229" i="36"/>
  <c r="L228" i="36"/>
  <c r="L227" i="36"/>
  <c r="L224" i="36"/>
  <c r="L223" i="36"/>
  <c r="L221" i="36"/>
  <c r="L220" i="36"/>
  <c r="L219" i="36"/>
  <c r="L218" i="36"/>
  <c r="L149" i="36"/>
  <c r="L118" i="36"/>
  <c r="L75" i="36"/>
  <c r="K205" i="36"/>
  <c r="O182" i="36"/>
  <c r="P182" i="36"/>
  <c r="K182" i="36"/>
  <c r="N174" i="36"/>
  <c r="Q174" i="36"/>
  <c r="Q182" i="36" s="1"/>
  <c r="R174" i="36"/>
  <c r="R182" i="36" s="1"/>
  <c r="L174" i="36"/>
  <c r="L182" i="36" s="1"/>
  <c r="N205" i="36" l="1"/>
  <c r="O205" i="36"/>
  <c r="R205" i="36"/>
  <c r="M72" i="36" l="1"/>
  <c r="M40" i="36"/>
  <c r="M34" i="36"/>
  <c r="M37" i="36" s="1"/>
  <c r="K218" i="36" l="1"/>
  <c r="L207" i="36"/>
  <c r="L208" i="36" s="1"/>
  <c r="L151" i="36"/>
  <c r="L152" i="36" s="1"/>
  <c r="L122" i="36"/>
  <c r="K122" i="36"/>
  <c r="L120" i="36" l="1"/>
  <c r="L125" i="36" s="1"/>
  <c r="L171" i="36" s="1"/>
  <c r="K120" i="36"/>
  <c r="L209" i="36" l="1"/>
  <c r="L83" i="36"/>
  <c r="L81" i="36"/>
  <c r="L79" i="36"/>
  <c r="L52" i="36" l="1"/>
  <c r="L65" i="36" s="1"/>
  <c r="L222" i="36"/>
  <c r="Q227" i="36"/>
  <c r="Q223" i="36"/>
  <c r="N75" i="36"/>
  <c r="O75" i="36"/>
  <c r="P75" i="36"/>
  <c r="K75" i="36"/>
  <c r="K228" i="36"/>
  <c r="K227" i="36"/>
  <c r="K224" i="36"/>
  <c r="K223" i="36"/>
  <c r="K222" i="36"/>
  <c r="K221" i="36"/>
  <c r="K220" i="36"/>
  <c r="K219" i="36"/>
  <c r="L84" i="36" l="1"/>
  <c r="L85" i="36" s="1"/>
  <c r="L210" i="36" s="1"/>
  <c r="L230" i="36"/>
  <c r="K52" i="36"/>
  <c r="K47" i="36"/>
  <c r="K42" i="36"/>
  <c r="K37" i="36"/>
  <c r="K32" i="36"/>
  <c r="K26" i="36"/>
  <c r="K21" i="36"/>
  <c r="K65" i="36" l="1"/>
  <c r="L232" i="36"/>
  <c r="M173" i="36"/>
  <c r="M174" i="36" s="1"/>
  <c r="N79" i="36"/>
  <c r="O79" i="36"/>
  <c r="P79" i="36"/>
  <c r="R76" i="36"/>
  <c r="R79" i="36" s="1"/>
  <c r="Q76" i="36"/>
  <c r="Q79" i="36" s="1"/>
  <c r="M67" i="36" l="1"/>
  <c r="R143" i="36" l="1"/>
  <c r="R140" i="36"/>
  <c r="R101" i="36"/>
  <c r="R229" i="36"/>
  <c r="R228" i="36"/>
  <c r="R227" i="36"/>
  <c r="Q229" i="36"/>
  <c r="Q228" i="36"/>
  <c r="Q224" i="36"/>
  <c r="K149" i="36"/>
  <c r="K229" i="36"/>
  <c r="M60" i="36" l="1"/>
  <c r="M176" i="36" l="1"/>
  <c r="M181" i="36" l="1"/>
  <c r="M182" i="36" s="1"/>
  <c r="N181" i="36"/>
  <c r="N182" i="36" s="1"/>
  <c r="R206" i="36"/>
  <c r="Q206" i="36"/>
  <c r="K207" i="36"/>
  <c r="K208" i="36" s="1"/>
  <c r="M157" i="36" l="1"/>
  <c r="M156" i="36"/>
  <c r="M159" i="36" l="1"/>
  <c r="P205" i="36"/>
  <c r="P208" i="36" s="1"/>
  <c r="M154" i="36"/>
  <c r="M170" i="36" s="1"/>
  <c r="R91" i="36"/>
  <c r="Q91" i="36"/>
  <c r="P91" i="36"/>
  <c r="M91" i="36"/>
  <c r="K83" i="36" l="1"/>
  <c r="M71" i="36"/>
  <c r="M75" i="36" s="1"/>
  <c r="M55" i="36"/>
  <c r="R55" i="36" s="1"/>
  <c r="Q55" i="36" l="1"/>
  <c r="M53" i="36" l="1"/>
  <c r="M56" i="36"/>
  <c r="R80" i="36"/>
  <c r="Q80" i="36"/>
  <c r="K81" i="36"/>
  <c r="Q53" i="36" l="1"/>
  <c r="K84" i="36"/>
  <c r="K85" i="36" s="1"/>
  <c r="Q67" i="36"/>
  <c r="Q75" i="36" s="1"/>
  <c r="O52" i="36"/>
  <c r="N52" i="36"/>
  <c r="M49" i="36"/>
  <c r="U43" i="36"/>
  <c r="V43" i="36"/>
  <c r="T43" i="36"/>
  <c r="M44" i="36"/>
  <c r="M47" i="36" s="1"/>
  <c r="Q43" i="36"/>
  <c r="O42" i="36"/>
  <c r="N42" i="36"/>
  <c r="M39" i="36"/>
  <c r="R39" i="36" s="1"/>
  <c r="R34" i="36"/>
  <c r="Q30" i="36"/>
  <c r="M28" i="36"/>
  <c r="R27" i="36"/>
  <c r="R24" i="36"/>
  <c r="M23" i="36"/>
  <c r="P21" i="36"/>
  <c r="O21" i="36"/>
  <c r="N21" i="36"/>
  <c r="Q18" i="36"/>
  <c r="M17" i="36"/>
  <c r="M21" i="36" s="1"/>
  <c r="R23" i="36" l="1"/>
  <c r="M26" i="36"/>
  <c r="R49" i="36"/>
  <c r="M52" i="36"/>
  <c r="Q28" i="36"/>
  <c r="M32" i="36"/>
  <c r="R45" i="36"/>
  <c r="M220" i="36"/>
  <c r="R53" i="36"/>
  <c r="Q17" i="36"/>
  <c r="R67" i="36"/>
  <c r="R75" i="36" s="1"/>
  <c r="R22" i="36"/>
  <c r="R26" i="36" s="1"/>
  <c r="Q35" i="36"/>
  <c r="Q15" i="36"/>
  <c r="R38" i="36"/>
  <c r="M42" i="36"/>
  <c r="R33" i="36"/>
  <c r="Q44" i="36"/>
  <c r="R29" i="36"/>
  <c r="R18" i="36"/>
  <c r="Q22" i="36"/>
  <c r="Q24" i="36"/>
  <c r="Q23" i="36"/>
  <c r="Q29" i="36"/>
  <c r="R30" i="36"/>
  <c r="R28" i="36"/>
  <c r="Q33" i="36"/>
  <c r="Q34" i="36"/>
  <c r="R35" i="36"/>
  <c r="Q38" i="36"/>
  <c r="Q39" i="36"/>
  <c r="R40" i="36"/>
  <c r="R43" i="36"/>
  <c r="R44" i="36"/>
  <c r="Q45" i="36"/>
  <c r="Q48" i="36"/>
  <c r="Q49" i="36"/>
  <c r="Q27" i="36"/>
  <c r="Q40" i="36"/>
  <c r="R48" i="36"/>
  <c r="R52" i="36" s="1"/>
  <c r="M65" i="36" l="1"/>
  <c r="Q220" i="36"/>
  <c r="R15" i="36"/>
  <c r="R218" i="36" s="1"/>
  <c r="R17" i="36"/>
  <c r="R222" i="36" s="1"/>
  <c r="Q222" i="36"/>
  <c r="Q21" i="36"/>
  <c r="R37" i="36"/>
  <c r="R47" i="36"/>
  <c r="R42" i="36"/>
  <c r="R32" i="36"/>
  <c r="R220" i="36"/>
  <c r="Q52" i="36"/>
  <c r="Q42" i="36"/>
  <c r="R21" i="36" l="1"/>
  <c r="R65" i="36" s="1"/>
  <c r="R145" i="36"/>
  <c r="R152" i="36" s="1"/>
  <c r="Q143" i="36" l="1"/>
  <c r="M143" i="36"/>
  <c r="P141" i="36"/>
  <c r="P143" i="36" s="1"/>
  <c r="Q140" i="36"/>
  <c r="M140" i="36"/>
  <c r="P140" i="36"/>
  <c r="P127" i="36"/>
  <c r="P136" i="36" s="1"/>
  <c r="Q152" i="36" l="1"/>
  <c r="Q97" i="36"/>
  <c r="P97" i="36"/>
  <c r="P125" i="36" s="1"/>
  <c r="M97" i="36"/>
  <c r="M125" i="36" s="1"/>
  <c r="R97" i="36"/>
  <c r="R111" i="36"/>
  <c r="Q111" i="36"/>
  <c r="Q101" i="36"/>
  <c r="R103" i="36"/>
  <c r="Q103" i="36"/>
  <c r="R108" i="36"/>
  <c r="Q108" i="36"/>
  <c r="K118" i="36"/>
  <c r="K115" i="36"/>
  <c r="R125" i="36" l="1"/>
  <c r="R171" i="36" s="1"/>
  <c r="Q125" i="36"/>
  <c r="Q171" i="36" s="1"/>
  <c r="K125" i="36"/>
  <c r="M198" i="36"/>
  <c r="M195" i="36" l="1"/>
  <c r="M194" i="36"/>
  <c r="M187" i="36"/>
  <c r="Q187" i="36" s="1"/>
  <c r="M196" i="36"/>
  <c r="H12" i="37" l="1"/>
  <c r="H126" i="37" l="1"/>
  <c r="H100" i="37"/>
  <c r="H95" i="37"/>
  <c r="H72" i="37"/>
  <c r="H71" i="37"/>
  <c r="H64" i="37"/>
  <c r="H60" i="37"/>
  <c r="H57" i="37"/>
  <c r="H55" i="37"/>
  <c r="H53" i="37"/>
  <c r="H51" i="37"/>
  <c r="I160" i="38" l="1"/>
  <c r="N144" i="38"/>
  <c r="M144" i="38"/>
  <c r="M141" i="38"/>
  <c r="N139" i="38"/>
  <c r="M139" i="38"/>
  <c r="N137" i="38"/>
  <c r="M137" i="38"/>
  <c r="N127" i="38"/>
  <c r="M127" i="38"/>
  <c r="N122" i="38"/>
  <c r="M122" i="38"/>
  <c r="N120" i="38"/>
  <c r="M120" i="38"/>
  <c r="M113" i="38"/>
  <c r="M109" i="38"/>
  <c r="N103" i="38"/>
  <c r="M103" i="38"/>
  <c r="N93" i="38"/>
  <c r="M93" i="38"/>
  <c r="M92" i="38"/>
  <c r="N91" i="38"/>
  <c r="M90" i="38"/>
  <c r="N87" i="38"/>
  <c r="M86" i="38"/>
  <c r="N84" i="38"/>
  <c r="M83" i="38"/>
  <c r="N81" i="38"/>
  <c r="M80" i="38"/>
  <c r="N78" i="38"/>
  <c r="M77" i="38"/>
  <c r="M65" i="38"/>
  <c r="N63" i="38"/>
  <c r="M63" i="38"/>
  <c r="N61" i="38"/>
  <c r="M61" i="38"/>
  <c r="M58" i="38"/>
  <c r="N56" i="38"/>
  <c r="M56" i="38"/>
  <c r="N54" i="38"/>
  <c r="M54" i="38"/>
  <c r="N52" i="38"/>
  <c r="M52" i="38"/>
  <c r="N48" i="38"/>
  <c r="M48" i="38"/>
  <c r="N46" i="38"/>
  <c r="M46" i="38"/>
  <c r="N44" i="38"/>
  <c r="M44" i="38"/>
  <c r="N42" i="38"/>
  <c r="M42" i="38"/>
  <c r="N40" i="38"/>
  <c r="M40" i="38"/>
  <c r="M39" i="38"/>
  <c r="N14" i="38"/>
  <c r="M14" i="38"/>
  <c r="J38" i="37" l="1"/>
  <c r="N14" i="37"/>
  <c r="N13" i="37"/>
  <c r="N12" i="37"/>
  <c r="M14" i="37"/>
  <c r="M13" i="37"/>
  <c r="M12" i="37"/>
  <c r="H14" i="37"/>
  <c r="Q32" i="36" l="1"/>
  <c r="N157" i="38" l="1"/>
  <c r="I157" i="38"/>
  <c r="H157" i="38"/>
  <c r="L146" i="38"/>
  <c r="N146" i="38"/>
  <c r="M146" i="38"/>
  <c r="I144" i="38"/>
  <c r="H144" i="38"/>
  <c r="H146" i="38" s="1"/>
  <c r="L143" i="38"/>
  <c r="K143" i="38"/>
  <c r="J143" i="38"/>
  <c r="I143" i="38"/>
  <c r="M143" i="38"/>
  <c r="J140" i="38"/>
  <c r="I140" i="38"/>
  <c r="N140" i="38"/>
  <c r="M140" i="38"/>
  <c r="I139" i="38"/>
  <c r="H139" i="38"/>
  <c r="H140" i="38" s="1"/>
  <c r="L138" i="38"/>
  <c r="I138" i="38" s="1"/>
  <c r="N138" i="38"/>
  <c r="M138" i="38"/>
  <c r="I137" i="38"/>
  <c r="H137" i="38"/>
  <c r="H138" i="38" s="1"/>
  <c r="L136" i="38"/>
  <c r="K136" i="38"/>
  <c r="J136" i="38"/>
  <c r="N136" i="38"/>
  <c r="M136" i="38"/>
  <c r="I127" i="38"/>
  <c r="I136" i="38" s="1"/>
  <c r="H127" i="38"/>
  <c r="H136" i="38" s="1"/>
  <c r="L125" i="38"/>
  <c r="K125" i="38"/>
  <c r="J124" i="38"/>
  <c r="N124" i="38"/>
  <c r="M124" i="38"/>
  <c r="I122" i="38"/>
  <c r="I124" i="38" s="1"/>
  <c r="H122" i="38"/>
  <c r="H124" i="38" s="1"/>
  <c r="H121" i="38"/>
  <c r="N121" i="38"/>
  <c r="M121" i="38"/>
  <c r="J120" i="38"/>
  <c r="J121" i="38" s="1"/>
  <c r="I121" i="38" s="1"/>
  <c r="I120" i="38"/>
  <c r="L117" i="38"/>
  <c r="I117" i="38" s="1"/>
  <c r="I116" i="38"/>
  <c r="H116" i="38"/>
  <c r="H117" i="38" s="1"/>
  <c r="L115" i="38"/>
  <c r="K115" i="38"/>
  <c r="J115" i="38"/>
  <c r="H115" i="38"/>
  <c r="M160" i="38"/>
  <c r="I113" i="38"/>
  <c r="I115" i="38" s="1"/>
  <c r="H113" i="38"/>
  <c r="H160" i="38" s="1"/>
  <c r="L111" i="38"/>
  <c r="I111" i="38"/>
  <c r="M111" i="38"/>
  <c r="I109" i="38"/>
  <c r="H109" i="38"/>
  <c r="H111" i="38" s="1"/>
  <c r="J108" i="38"/>
  <c r="I106" i="38"/>
  <c r="I108" i="38" s="1"/>
  <c r="H106" i="38"/>
  <c r="H108" i="38" s="1"/>
  <c r="N104" i="38"/>
  <c r="N105" i="38" s="1"/>
  <c r="M104" i="38"/>
  <c r="M105" i="38" s="1"/>
  <c r="L102" i="38"/>
  <c r="H102" i="38"/>
  <c r="I101" i="38"/>
  <c r="I102" i="38" s="1"/>
  <c r="H101" i="38"/>
  <c r="L100" i="38"/>
  <c r="L105" i="38" s="1"/>
  <c r="I105" i="38" s="1"/>
  <c r="I100" i="38"/>
  <c r="I96" i="38"/>
  <c r="H96" i="38"/>
  <c r="H100" i="38" s="1"/>
  <c r="H105" i="38" s="1"/>
  <c r="L94" i="38"/>
  <c r="M159" i="38"/>
  <c r="M157" i="38"/>
  <c r="I89" i="38"/>
  <c r="H89" i="38"/>
  <c r="I86" i="38"/>
  <c r="H86" i="38"/>
  <c r="I83" i="38"/>
  <c r="H83" i="38"/>
  <c r="I80" i="38"/>
  <c r="H80" i="38"/>
  <c r="M94" i="38"/>
  <c r="I77" i="38"/>
  <c r="I94" i="38" s="1"/>
  <c r="H77" i="38"/>
  <c r="H94" i="38" s="1"/>
  <c r="K75" i="38"/>
  <c r="K118" i="38" s="1"/>
  <c r="J75" i="38"/>
  <c r="I73" i="38"/>
  <c r="I159" i="38" s="1"/>
  <c r="I158" i="38" s="1"/>
  <c r="H73" i="38"/>
  <c r="H159" i="38" s="1"/>
  <c r="H158" i="38" s="1"/>
  <c r="L72" i="38"/>
  <c r="I72" i="38" s="1"/>
  <c r="H72" i="38"/>
  <c r="H75" i="38" s="1"/>
  <c r="J66" i="38"/>
  <c r="P65" i="38"/>
  <c r="M66" i="38"/>
  <c r="I65" i="38"/>
  <c r="I66" i="38" s="1"/>
  <c r="H65" i="38"/>
  <c r="H66" i="38" s="1"/>
  <c r="M64" i="38"/>
  <c r="J64" i="38"/>
  <c r="N64" i="38"/>
  <c r="I63" i="38"/>
  <c r="I64" i="38" s="1"/>
  <c r="H63" i="38"/>
  <c r="H64" i="38" s="1"/>
  <c r="K62" i="38"/>
  <c r="J62" i="38"/>
  <c r="N62" i="38"/>
  <c r="M62" i="38"/>
  <c r="I61" i="38"/>
  <c r="I62" i="38" s="1"/>
  <c r="H61" i="38"/>
  <c r="H62" i="38" s="1"/>
  <c r="N60" i="38"/>
  <c r="L60" i="38"/>
  <c r="L67" i="38" s="1"/>
  <c r="K60" i="38"/>
  <c r="J60" i="38"/>
  <c r="M60" i="38"/>
  <c r="I58" i="38"/>
  <c r="I60" i="38" s="1"/>
  <c r="H58" i="38"/>
  <c r="H60" i="38" s="1"/>
  <c r="J57" i="38"/>
  <c r="N57" i="38"/>
  <c r="M57" i="38"/>
  <c r="I56" i="38"/>
  <c r="I57" i="38" s="1"/>
  <c r="H56" i="38"/>
  <c r="H57" i="38" s="1"/>
  <c r="K55" i="38"/>
  <c r="J55" i="38"/>
  <c r="N55" i="38"/>
  <c r="M55" i="38"/>
  <c r="I54" i="38"/>
  <c r="I55" i="38" s="1"/>
  <c r="H54" i="38"/>
  <c r="H55" i="38" s="1"/>
  <c r="M53" i="38"/>
  <c r="J53" i="38"/>
  <c r="N53" i="38"/>
  <c r="I52" i="38"/>
  <c r="I53" i="38" s="1"/>
  <c r="H52" i="38"/>
  <c r="H53" i="38" s="1"/>
  <c r="M49" i="38"/>
  <c r="J49" i="38"/>
  <c r="N49" i="38"/>
  <c r="I48" i="38"/>
  <c r="I49" i="38" s="1"/>
  <c r="H48" i="38"/>
  <c r="H49" i="38" s="1"/>
  <c r="J47" i="38"/>
  <c r="N47" i="38"/>
  <c r="M47" i="38"/>
  <c r="I46" i="38"/>
  <c r="I47" i="38" s="1"/>
  <c r="H46" i="38"/>
  <c r="K45" i="38"/>
  <c r="J45" i="38"/>
  <c r="J50" i="38" s="1"/>
  <c r="N45" i="38"/>
  <c r="M45" i="38"/>
  <c r="I44" i="38"/>
  <c r="I45" i="38" s="1"/>
  <c r="H44" i="38"/>
  <c r="H45" i="38" s="1"/>
  <c r="K43" i="38"/>
  <c r="J43" i="38"/>
  <c r="N43" i="38"/>
  <c r="M43" i="38"/>
  <c r="I42" i="38"/>
  <c r="I43" i="38" s="1"/>
  <c r="H42" i="38"/>
  <c r="H43" i="38" s="1"/>
  <c r="K41" i="38"/>
  <c r="J41" i="38"/>
  <c r="N41" i="38"/>
  <c r="M41" i="38"/>
  <c r="I40" i="38"/>
  <c r="I41" i="38" s="1"/>
  <c r="H40" i="38"/>
  <c r="L39" i="38"/>
  <c r="L50" i="38" s="1"/>
  <c r="K39" i="38"/>
  <c r="J39" i="38"/>
  <c r="N155" i="38"/>
  <c r="M155" i="38"/>
  <c r="I14" i="38"/>
  <c r="I155" i="38" s="1"/>
  <c r="H14" i="38"/>
  <c r="H155" i="38" s="1"/>
  <c r="N156" i="38"/>
  <c r="M156" i="38"/>
  <c r="I13" i="38"/>
  <c r="I156" i="38" s="1"/>
  <c r="H13" i="38"/>
  <c r="N154" i="38"/>
  <c r="M154" i="38"/>
  <c r="I12" i="38"/>
  <c r="H12" i="38"/>
  <c r="H39" i="38" s="1"/>
  <c r="N153" i="38" l="1"/>
  <c r="M158" i="38"/>
  <c r="M153" i="38"/>
  <c r="I154" i="38"/>
  <c r="I153" i="38" s="1"/>
  <c r="I161" i="38" s="1"/>
  <c r="H154" i="38"/>
  <c r="J67" i="38"/>
  <c r="L68" i="38"/>
  <c r="L75" i="38"/>
  <c r="I75" i="38" s="1"/>
  <c r="I118" i="38" s="1"/>
  <c r="N159" i="38"/>
  <c r="N158" i="38" s="1"/>
  <c r="N161" i="38" s="1"/>
  <c r="K67" i="38"/>
  <c r="J118" i="38"/>
  <c r="M115" i="38"/>
  <c r="M118" i="38" s="1"/>
  <c r="H125" i="38"/>
  <c r="J125" i="38"/>
  <c r="K147" i="38"/>
  <c r="L147" i="38"/>
  <c r="I125" i="38"/>
  <c r="N39" i="38"/>
  <c r="N50" i="38" s="1"/>
  <c r="K50" i="38"/>
  <c r="K68" i="38" s="1"/>
  <c r="J147" i="38"/>
  <c r="H156" i="38"/>
  <c r="N67" i="38"/>
  <c r="M125" i="38"/>
  <c r="J148" i="38"/>
  <c r="M147" i="38"/>
  <c r="H47" i="38"/>
  <c r="H67" i="38"/>
  <c r="H118" i="38"/>
  <c r="N125" i="38"/>
  <c r="N147" i="38"/>
  <c r="M50" i="38"/>
  <c r="I39" i="38"/>
  <c r="I50" i="38" s="1"/>
  <c r="K148" i="38"/>
  <c r="H147" i="38"/>
  <c r="J68" i="38"/>
  <c r="I68" i="38" s="1"/>
  <c r="I67" i="38"/>
  <c r="M67" i="38"/>
  <c r="N94" i="38"/>
  <c r="N118" i="38" s="1"/>
  <c r="H41" i="38"/>
  <c r="I146" i="38"/>
  <c r="I147" i="38" s="1"/>
  <c r="K149" i="38" l="1"/>
  <c r="M161" i="38"/>
  <c r="H153" i="38"/>
  <c r="H161" i="38" s="1"/>
  <c r="H50" i="38"/>
  <c r="L118" i="38"/>
  <c r="L148" i="38" s="1"/>
  <c r="L149" i="38" s="1"/>
  <c r="H148" i="38"/>
  <c r="N68" i="38"/>
  <c r="M68" i="38"/>
  <c r="H68" i="38"/>
  <c r="H149" i="38" s="1"/>
  <c r="J149" i="38"/>
  <c r="N148" i="38"/>
  <c r="M148" i="38"/>
  <c r="M149" i="38" s="1"/>
  <c r="N149" i="38" l="1"/>
  <c r="I148" i="38"/>
  <c r="I149" i="38"/>
  <c r="N37" i="36" l="1"/>
  <c r="N32" i="36" l="1"/>
  <c r="O37" i="36"/>
  <c r="I14" i="37"/>
  <c r="M142" i="37" l="1"/>
  <c r="M159" i="37"/>
  <c r="N138" i="37"/>
  <c r="M138" i="37"/>
  <c r="N143" i="37"/>
  <c r="M143" i="37"/>
  <c r="H143" i="37"/>
  <c r="M140" i="37"/>
  <c r="H138" i="37"/>
  <c r="N136" i="37"/>
  <c r="M136" i="37"/>
  <c r="H136" i="37"/>
  <c r="N126" i="37"/>
  <c r="M126" i="37"/>
  <c r="N121" i="37"/>
  <c r="M121" i="37"/>
  <c r="H121" i="37"/>
  <c r="N119" i="37"/>
  <c r="M119" i="37"/>
  <c r="H115" i="37"/>
  <c r="M112" i="37"/>
  <c r="H112" i="37"/>
  <c r="M114" i="37" l="1"/>
  <c r="H114" i="37"/>
  <c r="I112" i="37"/>
  <c r="I159" i="37" s="1"/>
  <c r="M108" i="37"/>
  <c r="H108" i="37"/>
  <c r="H105" i="37"/>
  <c r="N102" i="37"/>
  <c r="M102" i="37"/>
  <c r="N92" i="37"/>
  <c r="M92" i="37"/>
  <c r="M91" i="37"/>
  <c r="N90" i="37"/>
  <c r="M89" i="37"/>
  <c r="H88" i="37"/>
  <c r="M85" i="37"/>
  <c r="I85" i="37"/>
  <c r="H85" i="37"/>
  <c r="M82" i="37"/>
  <c r="I82" i="37"/>
  <c r="H82" i="37"/>
  <c r="N86" i="37"/>
  <c r="N83" i="37"/>
  <c r="N80" i="37"/>
  <c r="N77" i="37"/>
  <c r="M79" i="37"/>
  <c r="H79" i="37"/>
  <c r="M76" i="37"/>
  <c r="H76" i="37"/>
  <c r="M64" i="37"/>
  <c r="N62" i="37" l="1"/>
  <c r="M62" i="37"/>
  <c r="H62" i="37"/>
  <c r="N60" i="37"/>
  <c r="M60" i="37"/>
  <c r="M57" i="37"/>
  <c r="N55" i="37"/>
  <c r="M55" i="37"/>
  <c r="N53" i="37"/>
  <c r="M53" i="37"/>
  <c r="N51" i="37"/>
  <c r="M51" i="37"/>
  <c r="N47" i="37"/>
  <c r="M47" i="37"/>
  <c r="H47" i="37"/>
  <c r="N45" i="37"/>
  <c r="M45" i="37"/>
  <c r="H45" i="37"/>
  <c r="N43" i="37"/>
  <c r="M43" i="37"/>
  <c r="H43" i="37"/>
  <c r="N41" i="37"/>
  <c r="M41" i="37"/>
  <c r="H41" i="37"/>
  <c r="N39" i="37"/>
  <c r="M39" i="37"/>
  <c r="H39" i="37"/>
  <c r="H13" i="37"/>
  <c r="H38" i="37" s="1"/>
  <c r="H159" i="37"/>
  <c r="H158" i="37"/>
  <c r="H156" i="37"/>
  <c r="H154" i="37"/>
  <c r="H153" i="37"/>
  <c r="H155" i="37" l="1"/>
  <c r="H152" i="37" s="1"/>
  <c r="H157" i="37"/>
  <c r="H145" i="37"/>
  <c r="H139" i="37"/>
  <c r="H137" i="37"/>
  <c r="H135" i="37"/>
  <c r="J135" i="37"/>
  <c r="K135" i="37"/>
  <c r="L135" i="37"/>
  <c r="M135" i="37"/>
  <c r="N135" i="37"/>
  <c r="I126" i="37"/>
  <c r="I135" i="37" s="1"/>
  <c r="H146" i="37" l="1"/>
  <c r="H160" i="37"/>
  <c r="H123" i="37" l="1"/>
  <c r="H120" i="37"/>
  <c r="H116" i="37"/>
  <c r="H110" i="37"/>
  <c r="H107" i="37"/>
  <c r="H101" i="37"/>
  <c r="H99" i="37"/>
  <c r="H93" i="37"/>
  <c r="H74" i="37"/>
  <c r="H65" i="37"/>
  <c r="H63" i="37"/>
  <c r="H61" i="37"/>
  <c r="H59" i="37"/>
  <c r="H56" i="37"/>
  <c r="H54" i="37"/>
  <c r="H52" i="37"/>
  <c r="H48" i="37"/>
  <c r="H46" i="37"/>
  <c r="H44" i="37"/>
  <c r="H42" i="37"/>
  <c r="H40" i="37"/>
  <c r="H124" i="37" l="1"/>
  <c r="H104" i="37"/>
  <c r="H117" i="37" s="1"/>
  <c r="H147" i="37" s="1"/>
  <c r="H66" i="37"/>
  <c r="H49" i="37"/>
  <c r="H67" i="37" l="1"/>
  <c r="H148" i="37" s="1"/>
  <c r="N154" i="37" l="1"/>
  <c r="N155" i="37"/>
  <c r="M155" i="37"/>
  <c r="M153" i="37"/>
  <c r="N153" i="37"/>
  <c r="M154" i="37"/>
  <c r="I156" i="37"/>
  <c r="N93" i="37" l="1"/>
  <c r="L101" i="37"/>
  <c r="L99" i="37"/>
  <c r="M93" i="37"/>
  <c r="L93" i="37"/>
  <c r="K38" i="37"/>
  <c r="L38" i="37"/>
  <c r="M38" i="37"/>
  <c r="N38" i="37"/>
  <c r="I154" i="37"/>
  <c r="I13" i="37"/>
  <c r="I12" i="37"/>
  <c r="I38" i="37" l="1"/>
  <c r="L104" i="37"/>
  <c r="I104" i="37" s="1"/>
  <c r="N158" i="37" l="1"/>
  <c r="N157" i="37" s="1"/>
  <c r="M158" i="37"/>
  <c r="N156" i="37"/>
  <c r="N152" i="37" s="1"/>
  <c r="M156" i="37"/>
  <c r="N145" i="37"/>
  <c r="M145" i="37"/>
  <c r="L145" i="37"/>
  <c r="I145" i="37" s="1"/>
  <c r="I143" i="37"/>
  <c r="L142" i="37"/>
  <c r="K142" i="37"/>
  <c r="K146" i="37" s="1"/>
  <c r="J142" i="37"/>
  <c r="I142" i="37"/>
  <c r="N139" i="37"/>
  <c r="M139" i="37"/>
  <c r="J139" i="37"/>
  <c r="I139" i="37" s="1"/>
  <c r="I138" i="37"/>
  <c r="N137" i="37"/>
  <c r="M137" i="37"/>
  <c r="L137" i="37"/>
  <c r="I137" i="37" s="1"/>
  <c r="I136" i="37"/>
  <c r="L124" i="37"/>
  <c r="K124" i="37"/>
  <c r="N123" i="37"/>
  <c r="M123" i="37"/>
  <c r="J123" i="37"/>
  <c r="I121" i="37"/>
  <c r="I123" i="37" s="1"/>
  <c r="N120" i="37"/>
  <c r="M120" i="37"/>
  <c r="J119" i="37"/>
  <c r="J120" i="37" s="1"/>
  <c r="L116" i="37"/>
  <c r="I115" i="37"/>
  <c r="L114" i="37"/>
  <c r="K114" i="37"/>
  <c r="J114" i="37"/>
  <c r="M110" i="37"/>
  <c r="L110" i="37"/>
  <c r="I108" i="37"/>
  <c r="I110" i="37" s="1"/>
  <c r="J107" i="37"/>
  <c r="I105" i="37"/>
  <c r="I107" i="37" s="1"/>
  <c r="N103" i="37"/>
  <c r="N104" i="37" s="1"/>
  <c r="N117" i="37" s="1"/>
  <c r="M103" i="37"/>
  <c r="M104" i="37" s="1"/>
  <c r="I100" i="37"/>
  <c r="I101" i="37" s="1"/>
  <c r="I95" i="37"/>
  <c r="I99" i="37" s="1"/>
  <c r="I88" i="37"/>
  <c r="I79" i="37"/>
  <c r="I76" i="37"/>
  <c r="K74" i="37"/>
  <c r="J74" i="37"/>
  <c r="I72" i="37"/>
  <c r="I158" i="37" s="1"/>
  <c r="L71" i="37"/>
  <c r="L74" i="37" s="1"/>
  <c r="M65" i="37"/>
  <c r="P64" i="37"/>
  <c r="I64" i="37"/>
  <c r="I65" i="37" s="1"/>
  <c r="N63" i="37"/>
  <c r="M63" i="37"/>
  <c r="J63" i="37"/>
  <c r="I62" i="37"/>
  <c r="I63" i="37" s="1"/>
  <c r="N61" i="37"/>
  <c r="M61" i="37"/>
  <c r="K61" i="37"/>
  <c r="J61" i="37"/>
  <c r="I60" i="37"/>
  <c r="I61" i="37" s="1"/>
  <c r="N59" i="37"/>
  <c r="M59" i="37"/>
  <c r="L59" i="37"/>
  <c r="L66" i="37" s="1"/>
  <c r="K59" i="37"/>
  <c r="J59" i="37"/>
  <c r="I57" i="37"/>
  <c r="I59" i="37" s="1"/>
  <c r="N56" i="37"/>
  <c r="M56" i="37"/>
  <c r="J56" i="37"/>
  <c r="I55" i="37"/>
  <c r="I56" i="37" s="1"/>
  <c r="N54" i="37"/>
  <c r="M54" i="37"/>
  <c r="K54" i="37"/>
  <c r="J54" i="37"/>
  <c r="I53" i="37"/>
  <c r="I54" i="37" s="1"/>
  <c r="N52" i="37"/>
  <c r="M52" i="37"/>
  <c r="J52" i="37"/>
  <c r="I51" i="37"/>
  <c r="I52" i="37" s="1"/>
  <c r="N48" i="37"/>
  <c r="M48" i="37"/>
  <c r="J48" i="37"/>
  <c r="I47" i="37"/>
  <c r="I48" i="37" s="1"/>
  <c r="N46" i="37"/>
  <c r="M46" i="37"/>
  <c r="J46" i="37"/>
  <c r="I45" i="37"/>
  <c r="N44" i="37"/>
  <c r="M44" i="37"/>
  <c r="K44" i="37"/>
  <c r="J44" i="37"/>
  <c r="I43" i="37"/>
  <c r="I44" i="37" s="1"/>
  <c r="N42" i="37"/>
  <c r="M42" i="37"/>
  <c r="K42" i="37"/>
  <c r="J42" i="37"/>
  <c r="I41" i="37"/>
  <c r="I42" i="37" s="1"/>
  <c r="N40" i="37"/>
  <c r="M40" i="37"/>
  <c r="K40" i="37"/>
  <c r="J40" i="37"/>
  <c r="I39" i="37"/>
  <c r="I153" i="37" l="1"/>
  <c r="K117" i="37"/>
  <c r="M117" i="37"/>
  <c r="I40" i="37"/>
  <c r="I155" i="37"/>
  <c r="I46" i="37"/>
  <c r="I116" i="37"/>
  <c r="L117" i="37"/>
  <c r="J117" i="37"/>
  <c r="I93" i="37"/>
  <c r="N160" i="37"/>
  <c r="I71" i="37"/>
  <c r="K66" i="37"/>
  <c r="L49" i="37"/>
  <c r="L67" i="37" s="1"/>
  <c r="N66" i="37"/>
  <c r="J65" i="37"/>
  <c r="J66" i="37" s="1"/>
  <c r="I66" i="37" s="1"/>
  <c r="M124" i="37"/>
  <c r="I146" i="37"/>
  <c r="M49" i="37"/>
  <c r="J49" i="37"/>
  <c r="M66" i="37"/>
  <c r="I74" i="37"/>
  <c r="N124" i="37"/>
  <c r="J146" i="37"/>
  <c r="M152" i="37"/>
  <c r="N49" i="37"/>
  <c r="J124" i="37"/>
  <c r="M146" i="37"/>
  <c r="K147" i="37"/>
  <c r="N146" i="37"/>
  <c r="M157" i="37"/>
  <c r="K49" i="37"/>
  <c r="I119" i="37"/>
  <c r="L146" i="37"/>
  <c r="I120" i="37"/>
  <c r="I124" i="37" s="1"/>
  <c r="I157" i="37"/>
  <c r="I114" i="37"/>
  <c r="I152" i="37" l="1"/>
  <c r="J147" i="37"/>
  <c r="K67" i="37"/>
  <c r="K148" i="37" s="1"/>
  <c r="I117" i="37"/>
  <c r="I160" i="37"/>
  <c r="M147" i="37"/>
  <c r="M67" i="37"/>
  <c r="N147" i="37"/>
  <c r="J67" i="37"/>
  <c r="I67" i="37" s="1"/>
  <c r="M160" i="37"/>
  <c r="I49" i="37"/>
  <c r="N67" i="37"/>
  <c r="L147" i="37"/>
  <c r="L148" i="37" s="1"/>
  <c r="M148" i="37" l="1"/>
  <c r="N148" i="37"/>
  <c r="J148" i="37"/>
  <c r="I148" i="37" s="1"/>
  <c r="I147" i="37"/>
  <c r="Q47" i="36" l="1"/>
  <c r="Q37" i="36"/>
  <c r="Q26" i="36"/>
  <c r="Q65" i="36" l="1"/>
  <c r="O47" i="36"/>
  <c r="N47" i="36"/>
  <c r="P37" i="36"/>
  <c r="O32" i="36"/>
  <c r="P26" i="36"/>
  <c r="O26" i="36"/>
  <c r="N26" i="36"/>
  <c r="O65" i="36" l="1"/>
  <c r="N65" i="36"/>
  <c r="P32" i="36"/>
  <c r="P65" i="36" s="1"/>
  <c r="P152" i="36" l="1"/>
  <c r="P171" i="36" s="1"/>
  <c r="P84" i="36" l="1"/>
  <c r="P85" i="36" s="1"/>
  <c r="O84" i="36"/>
  <c r="O85" i="36" l="1"/>
  <c r="M193" i="36"/>
  <c r="Q193" i="36" s="1"/>
  <c r="M222" i="36" l="1"/>
  <c r="M192" i="36"/>
  <c r="M185" i="36"/>
  <c r="Q185" i="36" s="1"/>
  <c r="M186" i="36"/>
  <c r="Q186" i="36" s="1"/>
  <c r="M188" i="36"/>
  <c r="M189" i="36"/>
  <c r="M200" i="36"/>
  <c r="Q205" i="36" l="1"/>
  <c r="Q218" i="36"/>
  <c r="M205" i="36"/>
  <c r="M218" i="36"/>
  <c r="M230" i="36" s="1"/>
  <c r="K151" i="36"/>
  <c r="K152" i="36" l="1"/>
  <c r="K171" i="36" s="1"/>
  <c r="K230" i="36"/>
  <c r="J124" i="32"/>
  <c r="K124" i="32"/>
  <c r="L124" i="32"/>
  <c r="M124" i="32"/>
  <c r="N124" i="32"/>
  <c r="I124" i="32"/>
  <c r="J119" i="32"/>
  <c r="L119" i="32"/>
  <c r="M119" i="32"/>
  <c r="N119" i="32"/>
  <c r="I119" i="32"/>
  <c r="N118" i="32"/>
  <c r="M118" i="32"/>
  <c r="I118" i="32"/>
  <c r="J115" i="32"/>
  <c r="M115" i="32"/>
  <c r="N115" i="32"/>
  <c r="I115" i="32"/>
  <c r="K209" i="36" l="1"/>
  <c r="K210" i="36" s="1"/>
  <c r="K232" i="36" s="1"/>
  <c r="N149" i="32"/>
  <c r="M149" i="32"/>
  <c r="M167" i="32" l="1"/>
  <c r="N167" i="32"/>
  <c r="N123" i="32"/>
  <c r="J140" i="32" l="1"/>
  <c r="J13" i="32"/>
  <c r="I133" i="32"/>
  <c r="L70" i="32" l="1"/>
  <c r="N101" i="32" l="1"/>
  <c r="N99" i="32"/>
  <c r="M99" i="32"/>
  <c r="M102" i="32" s="1"/>
  <c r="L99" i="32"/>
  <c r="I99" i="32" s="1"/>
  <c r="I97" i="32"/>
  <c r="L96" i="32"/>
  <c r="I95" i="32"/>
  <c r="I93" i="32"/>
  <c r="L92" i="32"/>
  <c r="K92" i="32"/>
  <c r="K96" i="32" s="1"/>
  <c r="K102" i="32" s="1"/>
  <c r="J92" i="32"/>
  <c r="J96" i="32" s="1"/>
  <c r="J102" i="32" s="1"/>
  <c r="I91" i="32"/>
  <c r="I90" i="32"/>
  <c r="I89" i="32"/>
  <c r="I96" i="32" l="1"/>
  <c r="N102" i="32"/>
  <c r="I92" i="32"/>
  <c r="L102" i="32"/>
  <c r="M87" i="32"/>
  <c r="N87" i="32"/>
  <c r="I102" i="32" l="1"/>
  <c r="L86" i="32"/>
  <c r="I86" i="32" s="1"/>
  <c r="I84" i="32"/>
  <c r="L83" i="32"/>
  <c r="I83" i="32" s="1"/>
  <c r="I82" i="32"/>
  <c r="I81" i="32"/>
  <c r="I80" i="32"/>
  <c r="L79" i="32"/>
  <c r="I79" i="32" s="1"/>
  <c r="I78" i="32"/>
  <c r="I77" i="32"/>
  <c r="L75" i="32"/>
  <c r="I75" i="32" s="1"/>
  <c r="I74" i="32"/>
  <c r="I73" i="32"/>
  <c r="L72" i="32"/>
  <c r="I71" i="32"/>
  <c r="K70" i="32"/>
  <c r="J70" i="32"/>
  <c r="I69" i="32"/>
  <c r="I68" i="32"/>
  <c r="L67" i="32"/>
  <c r="K67" i="32"/>
  <c r="J67" i="32"/>
  <c r="I66" i="32"/>
  <c r="I64" i="32"/>
  <c r="I70" i="32" l="1"/>
  <c r="I67" i="32"/>
  <c r="K87" i="32"/>
  <c r="L87" i="32"/>
  <c r="J87" i="32"/>
  <c r="I72" i="32"/>
  <c r="I87" i="32" l="1"/>
  <c r="N161" i="32"/>
  <c r="N160" i="32"/>
  <c r="N159" i="32"/>
  <c r="M165" i="32"/>
  <c r="M163" i="32"/>
  <c r="M162" i="32"/>
  <c r="M161" i="32"/>
  <c r="M160" i="32"/>
  <c r="M159" i="32"/>
  <c r="N140" i="32"/>
  <c r="M140" i="32"/>
  <c r="I132" i="32"/>
  <c r="M121" i="32"/>
  <c r="J111" i="32"/>
  <c r="I107" i="32"/>
  <c r="I111" i="32" s="1"/>
  <c r="I14" i="32"/>
  <c r="I160" i="32" s="1"/>
  <c r="J33" i="32"/>
  <c r="K33" i="32"/>
  <c r="L33" i="32"/>
  <c r="M33" i="32"/>
  <c r="N33" i="32"/>
  <c r="I13" i="32"/>
  <c r="I12" i="32"/>
  <c r="M158" i="32" l="1"/>
  <c r="I33" i="32"/>
  <c r="R224" i="36" l="1"/>
  <c r="R223" i="36"/>
  <c r="R207" i="36"/>
  <c r="R208" i="36" s="1"/>
  <c r="Q207" i="36"/>
  <c r="Q208" i="36" s="1"/>
  <c r="N207" i="36"/>
  <c r="N208" i="36" s="1"/>
  <c r="M152" i="36"/>
  <c r="M171" i="36" s="1"/>
  <c r="O125" i="36"/>
  <c r="Q83" i="36"/>
  <c r="N83" i="36"/>
  <c r="M83" i="36"/>
  <c r="R81" i="36"/>
  <c r="Q81" i="36"/>
  <c r="N81" i="36"/>
  <c r="R226" i="36" l="1"/>
  <c r="R225" i="36" s="1"/>
  <c r="O171" i="36"/>
  <c r="O209" i="36" s="1"/>
  <c r="R84" i="36"/>
  <c r="R85" i="36" s="1"/>
  <c r="N84" i="36"/>
  <c r="N85" i="36" s="1"/>
  <c r="Q84" i="36"/>
  <c r="Q85" i="36" s="1"/>
  <c r="R209" i="36"/>
  <c r="P209" i="36"/>
  <c r="P210" i="36" s="1"/>
  <c r="Q209" i="36"/>
  <c r="N125" i="36"/>
  <c r="N171" i="36" s="1"/>
  <c r="M207" i="36"/>
  <c r="M208" i="36" s="1"/>
  <c r="M81" i="36"/>
  <c r="M209" i="36" l="1"/>
  <c r="M84" i="36"/>
  <c r="M85" i="36" s="1"/>
  <c r="Q210" i="36"/>
  <c r="R210" i="36"/>
  <c r="O210" i="36"/>
  <c r="N209" i="36"/>
  <c r="Q230" i="36"/>
  <c r="R230" i="36"/>
  <c r="Q232" i="36" l="1"/>
  <c r="R232" i="36"/>
  <c r="M210" i="36"/>
  <c r="M232" i="36" s="1"/>
  <c r="N210" i="36"/>
  <c r="L118" i="32" l="1"/>
  <c r="I147" i="32" l="1"/>
  <c r="I53" i="32"/>
  <c r="L52" i="32"/>
  <c r="I52" i="32" s="1"/>
  <c r="I51" i="32"/>
  <c r="I46" i="32"/>
  <c r="I38" i="32"/>
  <c r="I36" i="32"/>
  <c r="I34" i="32"/>
  <c r="I161" i="32" l="1"/>
  <c r="I167" i="32"/>
  <c r="I113" i="32" l="1"/>
  <c r="J58" i="32"/>
  <c r="I58" i="32" s="1"/>
  <c r="I57" i="32"/>
  <c r="J56" i="32"/>
  <c r="I56" i="32" s="1"/>
  <c r="I55" i="32"/>
  <c r="J54" i="32"/>
  <c r="I54" i="32"/>
  <c r="J49" i="32"/>
  <c r="I49" i="32" s="1"/>
  <c r="I48" i="32"/>
  <c r="J47" i="32"/>
  <c r="I47" i="32"/>
  <c r="J45" i="32"/>
  <c r="I45" i="32" s="1"/>
  <c r="I44" i="32"/>
  <c r="I116" i="32" l="1"/>
  <c r="L146" i="32" l="1"/>
  <c r="J129" i="32" l="1"/>
  <c r="I129" i="32" s="1"/>
  <c r="I128" i="32"/>
  <c r="I104" i="32"/>
  <c r="I114" i="32" l="1"/>
  <c r="K130" i="32" l="1"/>
  <c r="L130" i="32"/>
  <c r="N163" i="32" l="1"/>
  <c r="N162" i="32"/>
  <c r="M166" i="32"/>
  <c r="M164" i="32" s="1"/>
  <c r="K59" i="32"/>
  <c r="L59" i="32"/>
  <c r="N56" i="32"/>
  <c r="M56" i="32"/>
  <c r="N152" i="32"/>
  <c r="M152" i="32"/>
  <c r="N146" i="32"/>
  <c r="M146" i="32"/>
  <c r="J146" i="32"/>
  <c r="I146" i="32" s="1"/>
  <c r="I145" i="32"/>
  <c r="N58" i="32"/>
  <c r="M58" i="32"/>
  <c r="M54" i="32"/>
  <c r="N54" i="32"/>
  <c r="N52" i="32"/>
  <c r="M52" i="32"/>
  <c r="N111" i="32"/>
  <c r="N105" i="32"/>
  <c r="M111" i="32"/>
  <c r="M105" i="32"/>
  <c r="J105" i="32"/>
  <c r="M49" i="32"/>
  <c r="M47" i="32"/>
  <c r="M45" i="32"/>
  <c r="N49" i="32"/>
  <c r="N47" i="32"/>
  <c r="N45" i="32"/>
  <c r="J35" i="32"/>
  <c r="K35" i="32"/>
  <c r="L35" i="32"/>
  <c r="M35" i="32"/>
  <c r="N35" i="32"/>
  <c r="J41" i="32"/>
  <c r="K41" i="32"/>
  <c r="L41" i="32"/>
  <c r="M41" i="32"/>
  <c r="N41" i="32"/>
  <c r="K149" i="32"/>
  <c r="L149" i="32"/>
  <c r="J149" i="32"/>
  <c r="K142" i="32"/>
  <c r="L142" i="32"/>
  <c r="J142" i="32"/>
  <c r="I141" i="32"/>
  <c r="K105" i="32"/>
  <c r="L105" i="32"/>
  <c r="K37" i="32"/>
  <c r="L37" i="32"/>
  <c r="J37" i="32"/>
  <c r="J127" i="32"/>
  <c r="J130" i="32" s="1"/>
  <c r="I126" i="32"/>
  <c r="J144" i="32"/>
  <c r="I144" i="32" s="1"/>
  <c r="I143" i="32"/>
  <c r="I140" i="32"/>
  <c r="N166" i="32"/>
  <c r="N165" i="32"/>
  <c r="N164" i="32" s="1"/>
  <c r="N144" i="32"/>
  <c r="M144" i="32"/>
  <c r="N142" i="32"/>
  <c r="M142" i="32"/>
  <c r="N127" i="32"/>
  <c r="M127" i="32"/>
  <c r="N129" i="32"/>
  <c r="M129" i="32"/>
  <c r="N37" i="32"/>
  <c r="M37" i="32"/>
  <c r="I163" i="32"/>
  <c r="J153" i="32" l="1"/>
  <c r="L42" i="32"/>
  <c r="L60" i="32" s="1"/>
  <c r="N42" i="32"/>
  <c r="M42" i="32"/>
  <c r="M153" i="32"/>
  <c r="L153" i="32"/>
  <c r="K42" i="32"/>
  <c r="K60" i="32" s="1"/>
  <c r="N153" i="32"/>
  <c r="J42" i="32"/>
  <c r="J59" i="32"/>
  <c r="K153" i="32"/>
  <c r="M130" i="32"/>
  <c r="N130" i="32"/>
  <c r="N59" i="32"/>
  <c r="I35" i="32"/>
  <c r="I105" i="32"/>
  <c r="I166" i="32"/>
  <c r="I165" i="32"/>
  <c r="I142" i="32"/>
  <c r="I149" i="32"/>
  <c r="I159" i="32" s="1"/>
  <c r="I127" i="32"/>
  <c r="I130" i="32" s="1"/>
  <c r="I37" i="32"/>
  <c r="I162" i="32"/>
  <c r="M59" i="32"/>
  <c r="I59" i="32"/>
  <c r="N158" i="32"/>
  <c r="I41" i="32"/>
  <c r="N154" i="32" l="1"/>
  <c r="I164" i="32"/>
  <c r="I153" i="32"/>
  <c r="I158" i="32"/>
  <c r="J60" i="32"/>
  <c r="M154" i="32"/>
  <c r="J154" i="32"/>
  <c r="N60" i="32"/>
  <c r="K154" i="32"/>
  <c r="K155" i="32" s="1"/>
  <c r="L154" i="32"/>
  <c r="M60" i="32"/>
  <c r="M168" i="32"/>
  <c r="N168" i="32"/>
  <c r="I42" i="32"/>
  <c r="I60" i="32" s="1"/>
  <c r="M155" i="32" l="1"/>
  <c r="N155" i="32"/>
  <c r="J155" i="32"/>
  <c r="I168" i="32"/>
  <c r="L155" i="32"/>
  <c r="I154" i="32"/>
  <c r="I155" i="32" l="1"/>
</calcChain>
</file>

<file path=xl/comments1.xml><?xml version="1.0" encoding="utf-8"?>
<comments xmlns="http://schemas.openxmlformats.org/spreadsheetml/2006/main">
  <authors>
    <author>Snieguole Kacerauskaite</author>
    <author>Sniega</author>
  </authors>
  <commentList>
    <comment ref="E38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E62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H70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finansų inžinerija</t>
        </r>
      </text>
    </comment>
    <comment ref="E98" authorId="1">
      <text>
        <r>
          <rPr>
            <b/>
            <sz val="9"/>
            <color indexed="81"/>
            <rFont val="Tahoma"/>
            <family val="2"/>
            <charset val="186"/>
          </rPr>
          <t>Sniega:</t>
        </r>
        <r>
          <rPr>
            <sz val="9"/>
            <color indexed="81"/>
            <rFont val="Tahoma"/>
            <family val="2"/>
            <charset val="186"/>
          </rPr>
          <t xml:space="preserve">
"Iškelti švietimo įstaigas iš uosto plėtros teritorijos"</t>
        </r>
      </text>
    </comment>
    <comment ref="H105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Finansų inžinerija</t>
        </r>
      </text>
    </comment>
    <comment ref="J105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Finansų inžinerija
</t>
        </r>
      </text>
    </comment>
    <comment ref="K105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Finansų inžinerija</t>
        </r>
      </text>
    </comment>
    <comment ref="E133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D161" authorId="0">
      <text>
        <r>
          <rPr>
            <sz val="9"/>
            <color indexed="81"/>
            <rFont val="Tahoma"/>
            <family val="2"/>
            <charset val="186"/>
          </rPr>
          <t xml:space="preserve">2015 m. l/d „Žemuogėle“, 2016 m. l/d „Želmenėlis“ ir „Pingviniukas“,            2017 m. - l/d Papartėlis" ir "Šermukšnėlė",           2018 m. - l/d "Pumpurėlis" ir "Dobiliukas" 
</t>
        </r>
      </text>
    </comment>
    <comment ref="E161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  <author>Indre Buteniene</author>
  </authors>
  <commentList>
    <comment ref="F53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E60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nuo 2017 m. - po 25 ct/kv.m</t>
        </r>
      </text>
    </comment>
    <comment ref="F64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82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J90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finansų inžinerija</t>
        </r>
      </text>
    </comment>
    <comment ref="J130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LAIF lėšos</t>
        </r>
      </text>
    </comment>
    <comment ref="J139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Finansų inžinerija</t>
        </r>
      </text>
    </comment>
    <comment ref="Q139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Finansų inžinerija
</t>
        </r>
      </text>
    </comment>
    <comment ref="R139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Finansų inžinerija</t>
        </r>
      </text>
    </comment>
    <comment ref="F173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N178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 -4200 Eur VLC, - 
- 16500 Eur "Brakas"</t>
        </r>
      </text>
    </comment>
    <comment ref="E200" authorId="0">
      <text>
        <r>
          <rPr>
            <sz val="9"/>
            <color indexed="81"/>
            <rFont val="Tahoma"/>
            <family val="2"/>
            <charset val="186"/>
          </rPr>
          <t xml:space="preserve">2015 m. l/d „Žemuogėle“, 2016 m. l/d „Želmenėlis“ ir „Pingviniukas“,            2017 m. - l/d Papartėlis" ir "Šermukšnėlė",           2018 m. - l/d "Pumpurėlis" ir "Dobiliukas" 
</t>
        </r>
      </text>
    </comment>
    <comment ref="F200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sharedStrings.xml><?xml version="1.0" encoding="utf-8"?>
<sst xmlns="http://schemas.openxmlformats.org/spreadsheetml/2006/main" count="2258" uniqueCount="517">
  <si>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</si>
  <si>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</si>
  <si>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</si>
  <si>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</si>
  <si>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</si>
  <si>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</si>
  <si>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</si>
  <si>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</si>
  <si>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tūkst. Lt</t>
  </si>
  <si>
    <t>10</t>
  </si>
  <si>
    <t>Iš viso tikslui:</t>
  </si>
  <si>
    <t>Iš viso programai: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</si>
  <si>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</si>
  <si>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</si>
  <si>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</si>
  <si>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</si>
  <si>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</si>
  <si>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</si>
  <si>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</si>
  <si>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</si>
  <si>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</si>
  <si>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</si>
  <si>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</si>
  <si>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</si>
  <si>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</si>
  <si>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</si>
  <si>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</si>
  <si>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</si>
  <si>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</si>
  <si>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</si>
  <si>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</si>
  <si>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</si>
  <si>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</si>
  <si>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</si>
  <si>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</si>
  <si>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</si>
  <si>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</si>
  <si>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</si>
  <si>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</si>
  <si>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</si>
  <si>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</si>
  <si>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</si>
  <si>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</si>
  <si>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</si>
  <si>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</si>
  <si>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</si>
  <si>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</si>
  <si>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</si>
  <si>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</si>
  <si>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</si>
  <si>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</si>
  <si>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</si>
  <si>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</si>
  <si>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</si>
  <si>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</si>
  <si>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</si>
  <si>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>Gerinti ugdymo sąlygas ir aplinką</t>
  </si>
  <si>
    <t>Bendrojo ugdymo mokyklų pastatų modernizavimas:</t>
  </si>
  <si>
    <t>P1</t>
  </si>
  <si>
    <t>Mokinių pavėžėjimo užtikrinimas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</si>
  <si>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</si>
  <si>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</si>
  <si>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</si>
  <si>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</si>
  <si>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</si>
  <si>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Papriemonės kodas</t>
  </si>
  <si>
    <t>Įstaigų skaičius</t>
  </si>
  <si>
    <t>Mokyklų-darželių sk.</t>
  </si>
  <si>
    <t>Pradinių mokyklų sk.</t>
  </si>
  <si>
    <t>Klaipėdos Liudviko Stulpino  pagrindinės mokyklos pastato Klaipėdoje,  Bandužių g. 4, energetinių charakteristikų gerinimas (pastato šiluminė renovacija)</t>
  </si>
  <si>
    <t>Klaipėdos Adomo Brako dailės mokyklos pastato kapitalinis remontas (šiluminė renovacija)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</si>
  <si>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</si>
  <si>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</si>
  <si>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</si>
  <si>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</si>
  <si>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</si>
  <si>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</si>
  <si>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</si>
  <si>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</si>
  <si>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 xml:space="preserve">Įstaigų, kuriose pakeisti langai,  skaičius 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</si>
  <si>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</si>
  <si>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</si>
  <si>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</si>
  <si>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</si>
  <si>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</si>
  <si>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</si>
  <si>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</si>
  <si>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</si>
  <si>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</si>
  <si>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</si>
  <si>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</si>
  <si>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</si>
  <si>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</si>
  <si>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</si>
  <si>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</si>
  <si>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</si>
  <si>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</si>
  <si>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</si>
  <si>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</si>
  <si>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</si>
  <si>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</si>
  <si>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</si>
  <si>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</si>
  <si>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</si>
  <si>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Veiklos organizavimo užtikrinimas švietimo įstaigose: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</si>
  <si>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</si>
  <si>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</si>
  <si>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</si>
  <si>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</si>
  <si>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</si>
  <si>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</si>
  <si>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</si>
  <si>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</si>
  <si>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</si>
  <si>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</si>
  <si>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</si>
  <si>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</si>
  <si>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</si>
  <si>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</si>
  <si>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</si>
  <si>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</si>
  <si>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</si>
  <si>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</si>
  <si>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</si>
  <si>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</si>
  <si>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</si>
  <si>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</si>
  <si>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</si>
  <si>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</si>
  <si>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</si>
  <si>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</si>
  <si>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Elektroninio  mokinio pažymėjimo diegimas ir naudojimo užtikrinimas bendrojo ugdymo, neformaliojo švietimo ir sporto įstaigose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</si>
  <si>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</si>
  <si>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</si>
  <si>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</si>
  <si>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</si>
  <si>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</si>
  <si>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</si>
  <si>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Švietimo įstaigų sanitarinių patalpų remontas</t>
  </si>
  <si>
    <t>Įstaigų, kuriose suremontuota sanitarinių patalpų, sk.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</si>
  <si>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</si>
  <si>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</si>
  <si>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</si>
  <si>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</si>
  <si>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</si>
  <si>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</si>
  <si>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</si>
  <si>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</si>
  <si>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</si>
  <si>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</si>
  <si>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</si>
  <si>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</si>
  <si>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</si>
  <si>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</si>
  <si>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Vykdytojas (skyrius / asmuo)</t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</si>
  <si>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</si>
  <si>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</si>
  <si>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Projektų skyrius</t>
  </si>
  <si>
    <t>Įsiskolinimo padengimas, proc.</t>
  </si>
  <si>
    <t>Atlikta pastato šiluminė renovacija, proc.</t>
  </si>
  <si>
    <t>Švietimo skyrius</t>
  </si>
  <si>
    <t xml:space="preserve"> Švietimo skyrius</t>
  </si>
  <si>
    <t>Klaipėdos lopšelio-darželio „Atžalynas“ (Panevėžio g. 3) pastato modernizavimas</t>
  </si>
  <si>
    <t xml:space="preserve">Švietimo skyrius </t>
  </si>
  <si>
    <t>Atlikta pastato renovacija, proc.</t>
  </si>
  <si>
    <t xml:space="preserve">Parengtas techninis projektas, vnt.
</t>
  </si>
  <si>
    <t>Parengtas techninis projektas, proc.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</si>
  <si>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</si>
  <si>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</si>
  <si>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</si>
  <si>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</si>
  <si>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</si>
  <si>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Socialinės infrastruktūros priežiūros skyrius</t>
  </si>
  <si>
    <t>Techninio projekto įgyvendinimas, proc.</t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</si>
  <si>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 </t>
    </r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</si>
  <si>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</si>
  <si>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</si>
  <si>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Pagrindinio ugdymo m-klų sk. </t>
  </si>
  <si>
    <t>Klaipėdos „Smeltės“ progimnazijos pastato Klaipėdoje, Reikjaviko g. 17, modernizavimas;</t>
  </si>
  <si>
    <t>Savivaldybei priklausančių patalpų pastate, adresu Kretingos g. 44, modernizavimas;</t>
  </si>
  <si>
    <t>Klaipėdos „Varpo“ gimnazijos pastato šiluminė renovacija;</t>
  </si>
  <si>
    <t>Klaipėdos Vitės pagrindinės mokyklos Švyturio g. 2 pastato modernizavimas;</t>
  </si>
  <si>
    <t>Klaipėdos Adomo Brako dailės mokyklos pastato kapitalinis remontas (šiluminė renovacija);</t>
  </si>
  <si>
    <t>Jaunimo centro pastatų  Klaipėdoje, Puodžių g. 1 renovacija;</t>
  </si>
  <si>
    <t>Švietimo įstaigų paprastasis remontas;</t>
  </si>
  <si>
    <t>Šilumos tinklų ir karšto vandens tinklų sistemų priežiūra;</t>
  </si>
  <si>
    <t>Šilumos ir karšto vandens tiekimo sistemų renovacija ir remontas;</t>
  </si>
  <si>
    <t>Priešgaisrinių reikalavimų vykdymas švietimo įstaigose;</t>
  </si>
  <si>
    <t>Ryšių kabelių kanalų nuoma;</t>
  </si>
  <si>
    <t>Švietimo įstaigų pastatų apsauga;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</si>
  <si>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</si>
  <si>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</si>
  <si>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Klaipėdos Sendvario pagrindinės mokyklos pastato modernizavimas (atnaujinimas) Tilžės g. 39, Klaipėda;</t>
  </si>
  <si>
    <t>Projekto „Buvusio Rumpiškės dvaro tvarkybos darbai bei pritaikymas visuomenės reikmėms“ įgyvendinimas (Klaipėdos Adomo Brako dailės mokyklos pastato kapitalinio remonto II etapas);</t>
  </si>
  <si>
    <t>Klaipėdos „Medeinės“ mokyklos patalpų ir aplinkos pritaikymas prijungus prie jos „Gubojos“ mokyklą</t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</si>
  <si>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</si>
  <si>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</si>
  <si>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</si>
  <si>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t xml:space="preserve">Priestato statyba prie lopšelio-darželio „Puriena“ („Aušrinės“ lopšelio-darželio iškėlimas)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</si>
  <si>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</si>
  <si>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</si>
  <si>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Įstaigų, kuriose įdiegtas e. mokinio pažymėjimas ir užtikrintas  sistemos palaikymas, skaičius</t>
  </si>
  <si>
    <t xml:space="preserve">Įrengta grupių 1–3 metų amžiaus vaikams, vnt.             </t>
  </si>
  <si>
    <t>Renovuota ir suremontuota sistemų, sk.</t>
  </si>
  <si>
    <r>
      <t xml:space="preserve">Profesinės linkmės meninio ugdymo programų modulių užtikrinimas Klaipėdos </t>
    </r>
    <r>
      <rPr>
        <b/>
        <sz val="10"/>
        <rFont val="Times New Roman"/>
        <family val="1"/>
        <charset val="186"/>
      </rPr>
      <t>Jeronimo Kačinsko muzikos mokykloje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</si>
  <si>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</si>
  <si>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Klaipėdos Liudviko Stulpino  pagrindinės mokyklos pastato Klaipėdoje, Bandužių g. 4, energetinių charakteristikų gerinimas (pastato šiluminė renovacija)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</si>
  <si>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</t>
    </r>
    <r>
      <rPr>
        <sz val="10"/>
        <rFont val="Times New Roman"/>
        <family val="1"/>
        <charset val="186"/>
      </rPr>
      <t>–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</si>
  <si>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</si>
  <si>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</si>
  <si>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</si>
  <si>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</si>
  <si>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</si>
  <si>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</si>
  <si>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>Įstaigų, kuriose įdiegtas e. mokinio pažymėjimas ir užtikrintas sistemos palaikymas, skaičius</t>
  </si>
  <si>
    <t xml:space="preserve"> 2014–2016 M. KLAIPĖDOS MIESTO SAVIVALDYBĖS</t>
  </si>
  <si>
    <t xml:space="preserve">
</t>
  </si>
  <si>
    <t>Modernizuotas patalpos, užbaigtumas, proc.</t>
  </si>
  <si>
    <t>Iš viso priemonei:</t>
  </si>
  <si>
    <t xml:space="preserve">Atlikta pastato šiluminė renovacija.
</t>
  </si>
  <si>
    <t>Užbaigtumas, proc.</t>
  </si>
  <si>
    <t>Funkcinės klasifikacijos kodas</t>
  </si>
  <si>
    <t>Klaipėdos Vydūno vidurinės mokyklos ir Klaipėdos Salio Šemerio suaugusiųjų gimnazijos pastato Klaipėdoje, Sulupės g. 26, rekonstravimas;</t>
  </si>
  <si>
    <t xml:space="preserve"> TIKSLŲ, UŽDAVINIŲ, PRIEMONIŲ, PRIEMONIŲ IŠLAIDŲ IR PRODUKTO KRITERIJŲ SUVESTINĖ</t>
  </si>
  <si>
    <t>2015-ųjų metų lėšų planas</t>
  </si>
  <si>
    <t>2016-ųjų metų lėšų planas</t>
  </si>
  <si>
    <t xml:space="preserve">Ikimokyklinio ugdymo įstaigos statyba šiaurinėje miesto dalyje </t>
  </si>
  <si>
    <t>P5</t>
  </si>
  <si>
    <t xml:space="preserve"> 2014–2017 M. KLAIPĖDOS MIESTO SAVIVALDYBĖS</t>
  </si>
  <si>
    <t>2017-ųjų metų lėšų poreikis</t>
  </si>
  <si>
    <t>2017-ieji metai</t>
  </si>
  <si>
    <t>SB(L)</t>
  </si>
  <si>
    <t>08</t>
  </si>
  <si>
    <t>Klaipėdos Vydūno vidurinės mokyklos ir Klaipėdos Salio Šemerio suaugusiųjų gimnazijos pastato Klaipėdoje, Sulupės g. 26, modernizavimas</t>
  </si>
  <si>
    <t>Jaunimo centro pastatų  Klaipėdoje, Puodžių g. 1 renovacija (stogo konstrukcijų pakeitimas)</t>
  </si>
  <si>
    <t>Ikimokyklinio ugdymo mokyklų pastatų modernizavimas:</t>
  </si>
  <si>
    <t>Atlikti stogo pakeitimo darbai, užbaigtumas, proc.</t>
  </si>
  <si>
    <t>Parengtas techninis projektas, vnt.</t>
  </si>
  <si>
    <t>44</t>
  </si>
  <si>
    <t>45</t>
  </si>
  <si>
    <t>46</t>
  </si>
  <si>
    <t>7625</t>
  </si>
  <si>
    <t>7700</t>
  </si>
  <si>
    <t>7750</t>
  </si>
  <si>
    <t>4</t>
  </si>
  <si>
    <t>6</t>
  </si>
  <si>
    <t>8</t>
  </si>
  <si>
    <t xml:space="preserve">jose ugdoma vaikų </t>
  </si>
  <si>
    <t>jose ugdoma vaikų</t>
  </si>
  <si>
    <t xml:space="preserve">iš jų mokinių </t>
  </si>
  <si>
    <t>Mokyklų skaičius</t>
  </si>
  <si>
    <t xml:space="preserve">Mokinių skaičius </t>
  </si>
  <si>
    <r>
      <t xml:space="preserve">Ugdymo proceso  užtikrinimas </t>
    </r>
    <r>
      <rPr>
        <b/>
        <sz val="10"/>
        <rFont val="Times New Roman"/>
        <family val="1"/>
        <charset val="186"/>
      </rPr>
      <t>neformaliojo vaikų švietimo įstaigose</t>
    </r>
  </si>
  <si>
    <t xml:space="preserve">Mokinių skaičius  </t>
  </si>
  <si>
    <t>Įstaigų  skaičius</t>
  </si>
  <si>
    <t>Švietimo įstaigų darbuotojų išeitinių išmokų kompensavimas</t>
  </si>
  <si>
    <t>Finansuotų profesinės linkmės ugdymo modulių skaičius, vnt.</t>
  </si>
  <si>
    <t>Minimalios vaiko priežiūros priemonių vykdymo užtikrinimas</t>
  </si>
  <si>
    <t>Mokinių skaičius</t>
  </si>
  <si>
    <t>Vasaros poilsio organizavimas</t>
  </si>
  <si>
    <t>Vaikų skaičius, tūkst.</t>
  </si>
  <si>
    <t>Atestuotų vadovų skaičius</t>
  </si>
  <si>
    <t>Rugsėjo 1-osios šventės organizavimas (masinis renginys „Švyturio“ arenoje)</t>
  </si>
  <si>
    <t xml:space="preserve">Brandos egzaminų administravimas </t>
  </si>
  <si>
    <t>Ikimokyklinio ugdymo įstaigų teritorijų aptvėrimas (2015 m. lopšelis-darželis „Žemuogėle“)</t>
  </si>
  <si>
    <r>
      <t xml:space="preserve">Apyvartinių lėšų  likutis </t>
    </r>
    <r>
      <rPr>
        <b/>
        <sz val="10"/>
        <rFont val="Times New Roman"/>
        <family val="1"/>
      </rPr>
      <t xml:space="preserve">SB(L) </t>
    </r>
  </si>
  <si>
    <t xml:space="preserve">Neformaliojo vaikų ugdymo programų įgyvendinimas viešosiose įstaigose </t>
  </si>
  <si>
    <t>Įgyvendintų programų skaičius</t>
  </si>
  <si>
    <r>
      <rPr>
        <b/>
        <sz val="10"/>
        <rFont val="Times New Roman"/>
        <family val="1"/>
        <charset val="186"/>
      </rPr>
      <t>Priestato statyba prie Klaipėdos lopšelio-darželio „Puriena“</t>
    </r>
    <r>
      <rPr>
        <sz val="10"/>
        <rFont val="Times New Roman"/>
        <family val="1"/>
        <charset val="186"/>
      </rPr>
      <t xml:space="preserve"> („Aušrinės“ lopšelio-darželio iškėlimas) </t>
    </r>
  </si>
  <si>
    <t xml:space="preserve">Mokyklinių baldų atnaujinimas:  </t>
  </si>
  <si>
    <t>Vaikų skaičius, kuriems suteikta rebilitacinių paslaugų</t>
  </si>
  <si>
    <t>Švietimo įstaigų naudojamų pastatų optimizavimas</t>
  </si>
  <si>
    <t>Elektroninio mokinio pažymėjimo diegimas ir naudojimo užtikrinimas bendrojo ugdymo, neformaliojo švietimo ir sporto įstaigose</t>
  </si>
  <si>
    <t>Pakeista langų, proc.</t>
  </si>
  <si>
    <t>Klaipėdos Jeronimo Kačinsko muzikos mokyklos pastatо langų pakeitimas</t>
  </si>
  <si>
    <t>Biudžetinių įstaigų patalpų būklės gerinimas (pasiruošimas naujiems mokslo metams)</t>
  </si>
  <si>
    <t>Vietų skaičiaus didinimas ikimokyklinio ugdymo įstaigose</t>
  </si>
  <si>
    <t>Vaikų skaičius</t>
  </si>
  <si>
    <t xml:space="preserve">Įrengta grupių 1–6 metų amžiaus vaikams, vnt.  </t>
  </si>
  <si>
    <r>
      <t xml:space="preserve">Ugdymo proceso  užtikrinimas </t>
    </r>
    <r>
      <rPr>
        <b/>
        <sz val="10"/>
        <rFont val="Times New Roman"/>
        <family val="1"/>
        <charset val="186"/>
      </rPr>
      <t>pradinėse mokyklose ir mokyklose-darželiuose</t>
    </r>
  </si>
  <si>
    <r>
      <t xml:space="preserve">Ugdymo proceso  užtikrinimas </t>
    </r>
    <r>
      <rPr>
        <b/>
        <sz val="10"/>
        <rFont val="Times New Roman"/>
        <family val="1"/>
        <charset val="186"/>
      </rPr>
      <t>savivaldybės ir nevalstybinėse bendrojo ugdymo mokyklose</t>
    </r>
    <r>
      <rPr>
        <sz val="10"/>
        <rFont val="Times New Roman"/>
        <family val="1"/>
        <charset val="186"/>
      </rPr>
      <t xml:space="preserve"> </t>
    </r>
  </si>
  <si>
    <t xml:space="preserve">Atliktas energetinis auditas, vnt.
</t>
  </si>
  <si>
    <t xml:space="preserve">KVJUD </t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</si>
  <si>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</si>
  <si>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t>Vaikiškų lovyčių įsigijimas ikimokyklinėse įstaigose</t>
  </si>
  <si>
    <t>Atlikta pastato renovacija, %</t>
  </si>
  <si>
    <t>Parengtas tech. projektas, vnt.</t>
  </si>
  <si>
    <t xml:space="preserve">1
</t>
  </si>
  <si>
    <t>2015-ųjų m. asignavimų planas</t>
  </si>
  <si>
    <t>2015 m. asignavimų planas</t>
  </si>
  <si>
    <t>2016 m. lėšų projektas</t>
  </si>
  <si>
    <r>
      <t>Įrengimų įsigijimas ugdymo įstaigų maisto blokuose pagal tikrinančių institucijų reikalavimus</t>
    </r>
    <r>
      <rPr>
        <sz val="10"/>
        <rFont val="Times New Roman"/>
        <family val="1"/>
      </rPr>
      <t xml:space="preserve"> (2015 m. lopšeliuose-darželiuose „Berželis“, „Žuvėdra“, „Šermukšnėlė“, „Ąžuoliukas“, „Žiogelis“, „Atžalynas“, Regos ugdymo centre, „Inkarėlio“, „Pakalnutės“ mokyklose-darželiuose)</t>
    </r>
  </si>
  <si>
    <t>Eur</t>
  </si>
  <si>
    <t>Planas</t>
  </si>
  <si>
    <t xml:space="preserve">Ikimokyklinių savivaldybės įstaigų skaičius, </t>
  </si>
  <si>
    <t>Ikimokyklinių nevalstybinių įstaigų skaičius,</t>
  </si>
  <si>
    <t>Pradinių mokyklų ir mokyklų-darželių skaičius</t>
  </si>
  <si>
    <t>Ugdoma vaikų, skaičius,</t>
  </si>
  <si>
    <t>Sporto mokyklų, kuriose vyksta užsiėmimai, skaičius</t>
  </si>
  <si>
    <t>Organizuota egzaminų, skaičius</t>
  </si>
  <si>
    <t>Suorganizuota renginių, skaičius</t>
  </si>
  <si>
    <t>Įstaigų, kuriose atlikti remonto darbai, skaičius</t>
  </si>
  <si>
    <t>Eksploatuojama įstaigų, skaičius</t>
  </si>
  <si>
    <t>Įstaigų, kuriose likviduoti pažeidimai, skaičius</t>
  </si>
  <si>
    <t>Saugoma įstaigų, skaičius</t>
  </si>
  <si>
    <t>Įstaigų, kuriose suremontuota sanitarinių patalpų, skaičius</t>
  </si>
  <si>
    <t>Suremontuotos įstaigos,  skaičius</t>
  </si>
  <si>
    <t>Mokinių, kuriems kompensuojamos pavėžėjimo išlaidos, skaičius</t>
  </si>
  <si>
    <t>Įrengta grupių, skaičius</t>
  </si>
  <si>
    <t>Renovuota / suremontuota sistemų, skaičius</t>
  </si>
  <si>
    <t>Nuotolinio mokymo diegimas ir plėtojimas (2015 m. – Baltijos gimnazija, „Vyturio“ pagrindinė mokykla, 2016 m. – Suaugusiųjų gimnazija)</t>
  </si>
  <si>
    <t xml:space="preserve">Lopšelio-darželio „Radastėlė“ (Galinio Pylimo  g. 16 A) energetinio efektyvumo didinimas </t>
  </si>
  <si>
    <t>Klaipėdos lopšelio-darželio „Svirpliukas“ (Liepų g. 43A) energetinio efektyvumo didinimas</t>
  </si>
  <si>
    <t>Klaipėdos „Saulutės“ mokyklos-darželio (Kauno g. 11) energetinio efektyvumo didinimas</t>
  </si>
  <si>
    <t>Klaipėdos lopšelio-darželio „Klevelis“ (Taikos pr. 53) energetinio efektyvumo didinimas</t>
  </si>
  <si>
    <t>Klaipėdos lopšelio-darželio „Žiogelis“ (Kauno g. 27) energetinio efektyvumo didinimas</t>
  </si>
  <si>
    <t>Jaunimo centro pastatų  Klaipėdoje, Puodžių g. 1, renovacija (stogo konstrukcijų pakeitimas)</t>
  </si>
  <si>
    <t>Jaunimo centro pastatų (su sporto sale) Klaipėdoje, Puodžių g. 1, modernizavimas</t>
  </si>
  <si>
    <r>
      <rPr>
        <b/>
        <sz val="10"/>
        <rFont val="Times New Roman"/>
        <family val="1"/>
        <charset val="186"/>
      </rPr>
      <t>Patalpų pritaikymas bendrojo ugdymo mokyklų reikmėms</t>
    </r>
    <r>
      <rPr>
        <sz val="10"/>
        <rFont val="Times New Roman"/>
        <family val="1"/>
        <charset val="186"/>
      </rPr>
      <t xml:space="preserve"> (2015 m. – patalpų pritaikymas reabilitacinėms paslaugoms teikti  „Medeinės“ mokykloje specialiųjų poreikių mokiniams)</t>
    </r>
  </si>
  <si>
    <t>Mokymo įstaigų vidaus patalpų remontas po šiluminės renovacijos (2015 m. – „Varpo“ gimnazijos lubų remontas)</t>
  </si>
  <si>
    <t>Klaipėdos lopšelio-darželio „Puriena“ priestato aprūpinimas baldais ir įranga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</si>
  <si>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</si>
  <si>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 xml:space="preserve">Klaipėdos lopšelio-darželio „Radastėlė“ (Galinio Pylimo  g. 16 A) energetinio efektyvumo didinimas </t>
  </si>
  <si>
    <t>Klaipėdos lopšelio-darželio„Svirpliukas“ (Liepų g. 43A) energetinio efektyvumo didinimas</t>
  </si>
  <si>
    <t>2016-ųjų metų lėšų projektas</t>
  </si>
  <si>
    <t>2017-ųjų metų lėšų projektas</t>
  </si>
  <si>
    <t>2017 m. projektas</t>
  </si>
  <si>
    <t>P4</t>
  </si>
  <si>
    <t xml:space="preserve"> 2015–2018 M. KLAIPĖDOS MIESTO SAVIVALDYBĖS</t>
  </si>
  <si>
    <t>2016-ųjų m. asignavimų planas</t>
  </si>
  <si>
    <t>2018-ųjų metų lėšų poreikis</t>
  </si>
  <si>
    <t>2018-ieji metai</t>
  </si>
  <si>
    <t>„Saulėtekio“ pagrindinės mokyklos sporto salės ir laiptinių langų bei durų pakeitimas</t>
  </si>
  <si>
    <t>Švietimo įstaigų elektros instaliacijos remontas</t>
  </si>
  <si>
    <t>Tauralaukio pagrindinės mokyklos katilinės remontas</t>
  </si>
  <si>
    <t>Įstaigos, kuriose suremontuotos katilinės, sk.</t>
  </si>
  <si>
    <t>Naujos ikimokyklinio ugdymo įstaigos statyba šiaurinėje miesto dalyje</t>
  </si>
  <si>
    <t xml:space="preserve">Parengtas techninis projektas, vnt.  </t>
  </si>
  <si>
    <t>Atlikta statybos darbų, proc.</t>
  </si>
  <si>
    <t>IED Projektų skyrius</t>
  </si>
  <si>
    <t>Parengtas techninis projektas, ekspertizė</t>
  </si>
  <si>
    <t>Atlikta rekonstrukcijos darbų, proc.</t>
  </si>
  <si>
    <t>Parengta investicijų projektų, vnt.</t>
  </si>
  <si>
    <t>Parengtas techninis projektas</t>
  </si>
  <si>
    <t>Parengta techninio projekto ekspertizė</t>
  </si>
  <si>
    <t xml:space="preserve"> </t>
  </si>
  <si>
    <t>Bendrojo ugdymo mokyklų (progimnazijų, pagrindinių mokyklų) modernizavimas ir šiuolaikinių mokymosi erdvių kūrimas (Gedminų progimnazijos modernizavimas)</t>
  </si>
  <si>
    <t>Tikslinėje teritorijoje esančių gimnazijų aprūpinimas gamtos, technologijų ir kitų laboratorijų įranga:</t>
  </si>
  <si>
    <t>„Ąžuolyno“ ir „Aitvaro" gimnazijose (2016 m.)</t>
  </si>
  <si>
    <t>„Aukuro“, „Varpo“, Vydūno gimnazijose (2017 m.)</t>
  </si>
  <si>
    <t xml:space="preserve">Atlikta modernizavimo darbų, proc.
</t>
  </si>
  <si>
    <t>IED Statybos ir infrastrukt. plėtros skyrius</t>
  </si>
  <si>
    <t xml:space="preserve">Atlikta rekonstrukcijos darbų, proc. </t>
  </si>
  <si>
    <t>Atliktas energetinis auditas</t>
  </si>
  <si>
    <t xml:space="preserve">Atlikta rekonstrukcija, proc. 
</t>
  </si>
  <si>
    <t xml:space="preserve">Savivaldybės įstaigų skaičius, </t>
  </si>
  <si>
    <t>47</t>
  </si>
  <si>
    <t>7540</t>
  </si>
  <si>
    <t>7970</t>
  </si>
  <si>
    <t>SB(SPL)</t>
  </si>
  <si>
    <t>UKD Švietimo skyrius</t>
  </si>
  <si>
    <t>jose ugdoma mokinių</t>
  </si>
  <si>
    <t xml:space="preserve">Nevalstybinių įstaigų skaičius, </t>
  </si>
  <si>
    <t>Įstaigų skaičius,</t>
  </si>
  <si>
    <t xml:space="preserve">03 Strateginis tikslas. Užtikrinti gyventojams aukštą švietimo, kultūros, socialinių, sporto ir sveikatos apsaugos paslaugų kokybę ir prieinamumą </t>
  </si>
  <si>
    <t>Aptarnautų asmenų skaičius</t>
  </si>
  <si>
    <t>Aptarnauta asmenų, iš jų:</t>
  </si>
  <si>
    <t>Renginių skaičius</t>
  </si>
  <si>
    <t>Sporto skyrius</t>
  </si>
  <si>
    <t xml:space="preserve">Neformaliojo vaikų švietimo programų įgyvendinimas  </t>
  </si>
  <si>
    <t>Savivaldybės administracijos vaiko gerovės komisijos veiklos užtikrinimas</t>
  </si>
  <si>
    <t xml:space="preserve">Programų skaičius, </t>
  </si>
  <si>
    <t xml:space="preserve">Savivaldybės švietimo įstaigų vadovų atestavimas ir miesto metodinių būrelių veiklos užtikrinimas </t>
  </si>
  <si>
    <t>Prevencinių renginių skaičius</t>
  </si>
  <si>
    <t>Neformaliojo suaugusiųjų švietimo paslaugų poreikio tyrimo vykdymas</t>
  </si>
  <si>
    <t>Atlikta tyrimų, skaičius</t>
  </si>
  <si>
    <t>Dalyvavimo Lietuvos moksleivių dainų šventėje užtikrinimas</t>
  </si>
  <si>
    <t>Dalyvių skaičius, vnt.</t>
  </si>
  <si>
    <t>Nuotoliniu būdu mokomų mokinių skaičius, vnt.</t>
  </si>
  <si>
    <t>Nuotolinio mokymo savivaldybės švietimo įstaigose diegimas ir plėtojimas</t>
  </si>
  <si>
    <t>Remontuojamų patalpų skaičius, vnt.</t>
  </si>
  <si>
    <t>Suremontuota patalpų, skaičius</t>
  </si>
  <si>
    <t>Mokinių gimnazijoje skaičius</t>
  </si>
  <si>
    <t>Ikimokyklinio ir priešmokyklinio ugdymo vietų skaičiaus didinimas</t>
  </si>
  <si>
    <t>jose atnaujintų baldų skaičius</t>
  </si>
  <si>
    <t xml:space="preserve">Savivaldybės bendrojo ugdymo mokyklose </t>
  </si>
  <si>
    <t xml:space="preserve">Savivaldybės neformaliojo vaikų švietimo įstaigose </t>
  </si>
  <si>
    <t>Pasiruošimas naujiems mokslo metams (20 ct/1 kv.m)</t>
  </si>
  <si>
    <t>Įstaigų skaičius, vnt.</t>
  </si>
  <si>
    <t xml:space="preserve">Įrengimų įsigijimas švietimo įstaigų maisto blokuose </t>
  </si>
  <si>
    <t>Įstaigų, įsigijusių įrengimus, skaičius</t>
  </si>
  <si>
    <t>Įsigyta įrengimų, vnt.</t>
  </si>
  <si>
    <t>** pagal Klaipėdos miesto savivaldybės tarybos 2015 m. vasario 19 d. sprendimą Nr. T2-12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</si>
  <si>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 ir nevalstybinėse ikimokyklinio ugdymo įstaigose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</si>
  <si>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savivaldybės ir nevalstybinėse bendrojo ugdymo mokyklose </t>
    </r>
  </si>
  <si>
    <r>
      <t>Ugdymo prieinamumo ir ugdymo formų įvairovės užtikrinimas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  <charset val="186"/>
      </rPr>
      <t>(buvusi „Pedagoginių darbuotojų tarifinių atlygių koeficientų skirtumams išlyginti, ugdymo prieinamumui ir ugdymo formų įvairovei užtikrinti“)</t>
    </r>
  </si>
  <si>
    <t>2018 m. projektas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</si>
  <si>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</si>
  <si>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1.4.2.7</t>
  </si>
  <si>
    <t>Langų ribotuvų įrengimas ikimokyklinėse įstaigose</t>
  </si>
  <si>
    <t>Klaipėdos laisvalaikio centro pastato (Šermukšnių g. 11, klubas „Saulutė“) energetinio efektyvumo didinimas</t>
  </si>
  <si>
    <t>Sudaryti sąlygas ugdytis ir gerinti ugdymo proceso kokybę</t>
  </si>
  <si>
    <t>11</t>
  </si>
  <si>
    <t>12</t>
  </si>
  <si>
    <t>13</t>
  </si>
  <si>
    <t>14</t>
  </si>
  <si>
    <t>Švietimo įstaigų persikėlimo į kitas patalpas išlaidų apmokėjimas</t>
  </si>
  <si>
    <t xml:space="preserve">Ikimokyklinio ugdymo įstaigų teritorijų aptvėrimas </t>
  </si>
  <si>
    <t>15</t>
  </si>
  <si>
    <t>Perkeltа įstaigų, skaičius</t>
  </si>
  <si>
    <t xml:space="preserve">223 834 </t>
  </si>
  <si>
    <t>2016 m. planas</t>
  </si>
  <si>
    <t>Įstaigų, kurių pastatų stogai pakeisti, skaičius</t>
  </si>
  <si>
    <t>Įstaigų, kuriose pakeisti langai, skaičius</t>
  </si>
  <si>
    <t>Įstaigų, kuriose suremontuotos patalpos,  skaičius</t>
  </si>
  <si>
    <t>Saugoma įstaigų pastatų, skaičius</t>
  </si>
  <si>
    <t>Šilumos  ir karšto vandens tiekimo sistemų priežiūra</t>
  </si>
  <si>
    <t>Įstaigų, kurių teritorijos aptvertos, skaičius</t>
  </si>
  <si>
    <t>Klaipėdos „Smeltės“ progimnazijos pastato Klaipėdoje, Reikjaviko g. 17, rekonstravimas</t>
  </si>
  <si>
    <t>Klaipėdos Vitės pagrindinės mokyklos Švyturio g. 2 pastato modernizavimas</t>
  </si>
  <si>
    <t>KVJUD</t>
  </si>
  <si>
    <t>2015 m. patvirtintas asignavimų planas**</t>
  </si>
  <si>
    <t>2015 m. asignavimų plano pakeitimas***</t>
  </si>
  <si>
    <t>48 / 4805</t>
  </si>
  <si>
    <t xml:space="preserve">Mokyklinių baldų ir įrangos atnaujinimas:  </t>
  </si>
  <si>
    <t>Popamokinės veiklos organizavimas:</t>
  </si>
  <si>
    <t xml:space="preserve">Aprūpinti švietimo įstaigas reikalingu inventoriumi  </t>
  </si>
  <si>
    <t>Pakeistа lovyčių, skaičius</t>
  </si>
  <si>
    <t>jose atnaujintų baldų sk.</t>
  </si>
  <si>
    <t>bendrojo ugdymo mokyklose</t>
  </si>
  <si>
    <t>Pažymėti laiptai pagal  Higienos normos reikalavimus švietimo įstaigose, iš jų:</t>
  </si>
  <si>
    <t>Įrengta nuovažų prie įėjimų:</t>
  </si>
  <si>
    <t xml:space="preserve">bendrojo ugdymo mokyklų </t>
  </si>
  <si>
    <t xml:space="preserve">Mokymosi aplinkos pritaikymas švietimo reikmėms ir mokinių saugumui: </t>
  </si>
  <si>
    <t>Ugdymo proceso užtikrinimas  Klaipėdos sutrikusio vystymosi kūdikių namuose</t>
  </si>
  <si>
    <t>Įstaigų ir vaikų jose skaičius, vnt.</t>
  </si>
  <si>
    <t>Lėšos kompensavimui už dalinį vaiko išlaikymą</t>
  </si>
  <si>
    <t xml:space="preserve">Rebilitacinės įrangos įsigijimas  „Medeinės“ mokykloje specialiųjų poreikių mokiniams </t>
  </si>
  <si>
    <t>Patalpų pritaikymas Klaipėdos miesto pedagogų švietimo ir kultūros centro veiklai (Baltijos pr. 51)</t>
  </si>
  <si>
    <t>Patalpų pritaikymas bibliotekos - skaityklos veiklai Klaipėdos Baltijos gimnazijoje (Baltijos pr. 51)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</si>
  <si>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 pradinėje mokykloje ir mokyklose-darželiuose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</si>
  <si>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</si>
  <si>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Klaipėdos regos ugdymo centro </t>
    </r>
    <r>
      <rPr>
        <sz val="10"/>
        <rFont val="Times New Roman"/>
        <family val="1"/>
        <charset val="186"/>
      </rPr>
      <t>veiklos užtikrinimas</t>
    </r>
  </si>
  <si>
    <t>Dalyvaujančių renginuose mokinių skaičius, vnt.</t>
  </si>
  <si>
    <r>
      <t>Lifto įrengimas Martyno Mažvydo progimnazijoje</t>
    </r>
    <r>
      <rPr>
        <sz val="10"/>
        <color rgb="FFFF0000"/>
        <rFont val="Times New Roman"/>
        <family val="1"/>
        <charset val="186"/>
      </rPr>
      <t xml:space="preserve"> </t>
    </r>
  </si>
  <si>
    <t>Įrengtas keltuvas Maksimo Gorkio pagrindinėje mokykloje</t>
  </si>
  <si>
    <t>Jaunimo centro (Puodžių g. 1) energetinio efektyvumo didinimas ir veiklos efektyvumo didinimas, plėtojant neformaliojo ugdymo galimybes</t>
  </si>
  <si>
    <t>Parengtas investicijų projektas</t>
  </si>
  <si>
    <t>Įrengtas liftas, vnt.</t>
  </si>
  <si>
    <t>Statybos ir infrastrukt. plėtros skyrius</t>
  </si>
  <si>
    <t>Klaipėdos Adomo Brako dailės mokyklos tvoros dalies įrengimas</t>
  </si>
  <si>
    <t>Įrengta tvora, proc.</t>
  </si>
  <si>
    <t xml:space="preserve"> 2016–2018 M. KLAIPĖDOS MIESTO SAVIVALDYBĖS</t>
  </si>
  <si>
    <r>
      <t>Ugdymo prieinamumo ir ugdymo formų įvairovės užtikrinimas</t>
    </r>
    <r>
      <rPr>
        <sz val="10"/>
        <rFont val="Times New Roman"/>
        <family val="1"/>
      </rPr>
      <t xml:space="preserve"> </t>
    </r>
  </si>
  <si>
    <t>„Ąžuolyno“ ir „Aitvaro" gimnazijose (2016 m.);</t>
  </si>
  <si>
    <t>„Aukuro“, „Varpo“, Vydūno gimnazijose (2017 m.);</t>
  </si>
  <si>
    <r>
      <t>Bendrojo ugdymo mokyklų (progimnazijų, pagrindinių mokyklų) modernizavimas ir šiuolaikinių mokymosi erdvių kūrimas (</t>
    </r>
    <r>
      <rPr>
        <b/>
        <sz val="10"/>
        <rFont val="Times New Roman"/>
        <family val="1"/>
        <charset val="186"/>
      </rPr>
      <t>Gedminų progimnazijos modernizavimas</t>
    </r>
    <r>
      <rPr>
        <sz val="10"/>
        <rFont val="Times New Roman"/>
        <family val="1"/>
        <charset val="186"/>
      </rPr>
      <t>)</t>
    </r>
  </si>
  <si>
    <t>Atlikta modernizavimo darbų ir įsigyta įrangos, proc.</t>
  </si>
  <si>
    <t>Klaipėdos Vydūno gimnazijos pastato Klaipėdoje, Sulupės g. 26, rekonstravimas</t>
  </si>
  <si>
    <t xml:space="preserve">Dviračių stovų įrengimas bendrojo lavinimo mokyklose </t>
  </si>
  <si>
    <t xml:space="preserve">Nuovažų įrengimas prie įėjimų bendrojo ugdymo mokyklose ir lopšeliuose-darželiuose </t>
  </si>
  <si>
    <t>2016-ųjų metų asignavimų planas</t>
  </si>
  <si>
    <t>2018-ųjų metų lėšų projektas</t>
  </si>
  <si>
    <t>2016 m. asignavimų planas</t>
  </si>
  <si>
    <t>2017 m. lėšų projektas</t>
  </si>
  <si>
    <t>2018 m. lėšų projektas</t>
  </si>
  <si>
    <r>
      <rPr>
        <sz val="10"/>
        <rFont val="Times New Roman"/>
        <family val="1"/>
        <charset val="186"/>
      </rPr>
      <t>Klaipėdos valstybinio jūrų uosto direkcijos lėšos</t>
    </r>
    <r>
      <rPr>
        <b/>
        <sz val="10"/>
        <rFont val="Times New Roman"/>
        <family val="1"/>
        <charset val="186"/>
      </rPr>
      <t xml:space="preserve"> KVJUD</t>
    </r>
  </si>
  <si>
    <t>tūkst. Eur</t>
  </si>
  <si>
    <t>*** pagal Klaipėdos miesto savivaldybės tarybos 2015 m. spalio 29 d. sprendimą Nr. T2-265</t>
  </si>
  <si>
    <t>Neformaliojo ugdymo įstaigų skaičius,</t>
  </si>
  <si>
    <t xml:space="preserve">Įstaigų, kuriose įdiegtas nuotolinis mokymas,skaičius </t>
  </si>
  <si>
    <t>Įrengtų naujų grupių savivaldybės įstaigose skaičius, vnt.</t>
  </si>
  <si>
    <t>Įsteigtų naujų ugdymo vietų skaičius savivaldybės įstaigose, vnt.</t>
  </si>
  <si>
    <t>Bendrojo ugdymo mokyklų pastatų modernizavimas ir plėtra:</t>
  </si>
  <si>
    <t>Įsigyta įranga, proc.</t>
  </si>
  <si>
    <t>Įsigyta įranga</t>
  </si>
  <si>
    <t>Bendrojo ugdymo mokyklos pastato statyba šiaurinėje miesto dalyje</t>
  </si>
  <si>
    <t>Ikimokyklinio ugdymo mokyklų pastatų modernizavimas ir plėtra:</t>
  </si>
  <si>
    <r>
      <t>Klaipėdos lopšelio-darželio „Puriena“ pastato Naikupės g. 27 rekonstravimas, pristatant priestatą</t>
    </r>
    <r>
      <rPr>
        <sz val="10"/>
        <rFont val="Times New Roman"/>
        <family val="1"/>
      </rPr>
      <t xml:space="preserve"> </t>
    </r>
  </si>
  <si>
    <t xml:space="preserve">Iš viso: </t>
  </si>
  <si>
    <t>Vaikų, už kurių išlaikymą ikimokyklinėse ir priešmokyklinėse įstaigose yra kompensuojamos išlaidos, skaičius</t>
  </si>
  <si>
    <t xml:space="preserve">                      vaikų –</t>
  </si>
  <si>
    <t xml:space="preserve">                       mokinių –</t>
  </si>
  <si>
    <t xml:space="preserve">                      suaugusiųjų –</t>
  </si>
  <si>
    <t>Bendrojo ugdymo mokyklų ir ikimokyklinio ugdymo įstaigų, kuriose garantuotas ugdymo prieinamumas,  skaičius</t>
  </si>
  <si>
    <t>Vaikų, kuriems iš dalies kompensuojamas ugdymas nevalstybinėse įstaigose, skaičius</t>
  </si>
  <si>
    <t>Sporto mokyklas lankančių vaikų, kurių ugdymas finansuojamas iš mokinio krepšelio lėšų, skaičius</t>
  </si>
  <si>
    <t>jose dalyvaujančių vaikų skaičius</t>
  </si>
  <si>
    <t>Vaikų, kuriems skirtos minimalios priežiūros priemonės, skaičius</t>
  </si>
  <si>
    <t>Tauralaukio progimnazijos pastato (Klaipėdos g. 31) rekonstravimas siekiant didinti pastato energetinį efektyvumą ir išplėsti ugdymui skirtas patalpas</t>
  </si>
  <si>
    <t>Simono Dacho, Gedminų, Martyno Mažvydo, „Smeltės“, „Versmės“ progimnazijose (2018 m.)</t>
  </si>
  <si>
    <t>Parengtas techninis projetas</t>
  </si>
  <si>
    <t>„Gilijos“ pradinės mokyklos (Taikos pr. 68) pastato energetinio efektyvumo didinimas</t>
  </si>
  <si>
    <t>Atliktas energetinis auditas, vnt.</t>
  </si>
  <si>
    <t>Parengta techninių projektų, skaičius</t>
  </si>
  <si>
    <t>Jeronimo Kačinsko muzikos mokyklos (Statybininkų pr. 5) pastato energetinio efektyvumo didinimas</t>
  </si>
  <si>
    <t>Patalpų pritaikymas Klaipėdos vaikų laisvalaikio centro klubo „Žuvėdra“ veiklai (Herkaus Manto g. 77)</t>
  </si>
  <si>
    <t>Patalpų, kuriose teikiamos rebilitacinės paslaugos, skaičius</t>
  </si>
  <si>
    <t>Pritaikyta patalpų, skaičius</t>
  </si>
  <si>
    <t xml:space="preserve">Patalpų pritaikymas neįgalių vaikų ugdymui      </t>
  </si>
  <si>
    <t>Įrengtas kopiklis su atlenkiama nuovaža l.-d. „Versmė“</t>
  </si>
  <si>
    <t>l.-d. „Versmė“, „Sakalėlis“, „Žiburėlis“</t>
  </si>
  <si>
    <t>Įstaigų, kuriose įrengti ribotuvai, skaičius / įrengtų ribotuvų skaičius</t>
  </si>
  <si>
    <t>Įrengta dviračių stovų (12-ai dviračių), mokyklų skaičius</t>
  </si>
  <si>
    <t>Renovuota, suremontuota sistemų, skaičius</t>
  </si>
  <si>
    <t>Įstaigų, kurių šilumos ir karšto vandens tiekimo sistemos prižiūrimos, skaičius</t>
  </si>
  <si>
    <t>Mokymo įstaigų vidaus patalpų remontas po šiluminės renovacijos (2016 m. – Vydūno gimnazijos)</t>
  </si>
  <si>
    <t>Įstaigos, kuriose atlikti elektros instaliacijos remonto darbai, skaičius</t>
  </si>
  <si>
    <t>Lopšelių-darželių pastatų asbestinio stogo dangos pakeitimas (l.-d. „Traukinukas“, „Bitutė“, „Gintarėlis“)</t>
  </si>
  <si>
    <t xml:space="preserve">l.-d. „Sakalėlis“ </t>
  </si>
  <si>
    <t xml:space="preserve">Įrengta dviračių stovų (12-ai dviračių), mokyklų skaičius  </t>
  </si>
  <si>
    <t>Įstaigos, kuriose suremontuotos katilinės, skaičius</t>
  </si>
  <si>
    <t xml:space="preserve">                       vaikų –</t>
  </si>
  <si>
    <t xml:space="preserve">                       suaugusiųjų –</t>
  </si>
  <si>
    <t>Energetinio efektyvumo didinimas lopšeliuose-darželiuose (2016 m. –  „Svirpliukas“, 2017 m. – „Žiogelis“, „Vėrinėlis“, „Klevelis“, „Saulutės“ m.-d., 2018 m. – „Radastėlė“, „Bangelė“, „Putinėlis“, „Žilvitis“, „Boružėlė“)</t>
  </si>
  <si>
    <t>Aiškinamojo rašto priedas Nr.3</t>
  </si>
  <si>
    <t xml:space="preserve"> TIKSLŲ, UŽDAVINIŲ, PRIEMONIŲ, PRIEMONIŲ IŠLAIDŲ IR PRODUKTO KRITERIJŲ DETALI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</si>
</sst>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[Red]0.0"/>
    <numFmt numFmtId="166" formatCode="#,##0.0"/>
    <numFmt numFmtId="167" formatCode="#,##0;[Red]#,##0"/>
  </numFmts>
  <fonts count="23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24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5" fontId="5" fillId="0" borderId="57" xfId="0" applyNumberFormat="1" applyFont="1" applyFill="1" applyBorder="1" applyAlignment="1">
      <alignment horizontal="left" vertical="top"/>
    </xf>
    <xf numFmtId="165" fontId="4" fillId="5" borderId="57" xfId="0" applyNumberFormat="1" applyFont="1" applyFill="1" applyBorder="1" applyAlignment="1">
      <alignment vertical="top" wrapText="1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0" fontId="4" fillId="0" borderId="60" xfId="0" applyNumberFormat="1" applyFont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10" fillId="0" borderId="68" xfId="0" applyFont="1" applyBorder="1" applyAlignment="1">
      <alignment horizontal="center" vertical="top" wrapText="1"/>
    </xf>
    <xf numFmtId="0" fontId="10" fillId="0" borderId="68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164" fontId="4" fillId="5" borderId="72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5" fillId="5" borderId="39" xfId="0" applyNumberFormat="1" applyFont="1" applyFill="1" applyBorder="1" applyAlignment="1">
      <alignment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5" borderId="62" xfId="0" applyNumberFormat="1" applyFont="1" applyFill="1" applyBorder="1" applyAlignment="1">
      <alignment horizontal="left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0" fontId="1" fillId="8" borderId="0" xfId="0" applyFont="1" applyFill="1" applyBorder="1" applyAlignment="1">
      <alignment vertical="top"/>
    </xf>
    <xf numFmtId="164" fontId="1" fillId="8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4" fillId="9" borderId="36" xfId="0" applyNumberFormat="1" applyFont="1" applyFill="1" applyBorder="1" applyAlignment="1">
      <alignment horizontal="center" vertical="top"/>
    </xf>
    <xf numFmtId="164" fontId="4" fillId="9" borderId="29" xfId="0" applyNumberFormat="1" applyFont="1" applyFill="1" applyBorder="1" applyAlignment="1">
      <alignment horizontal="center" vertical="top"/>
    </xf>
    <xf numFmtId="164" fontId="4" fillId="9" borderId="30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43" xfId="0" applyNumberFormat="1" applyFont="1" applyFill="1" applyBorder="1" applyAlignment="1">
      <alignment horizontal="center" vertical="top"/>
    </xf>
    <xf numFmtId="164" fontId="4" fillId="9" borderId="61" xfId="0" applyNumberFormat="1" applyFont="1" applyFill="1" applyBorder="1" applyAlignment="1">
      <alignment horizontal="center" vertical="top"/>
    </xf>
    <xf numFmtId="164" fontId="4" fillId="9" borderId="20" xfId="0" applyNumberFormat="1" applyFont="1" applyFill="1" applyBorder="1" applyAlignment="1">
      <alignment horizontal="center" vertical="top"/>
    </xf>
    <xf numFmtId="164" fontId="4" fillId="9" borderId="19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4" fillId="9" borderId="54" xfId="0" applyNumberFormat="1" applyFont="1" applyFill="1" applyBorder="1" applyAlignment="1">
      <alignment horizontal="center" vertical="top"/>
    </xf>
    <xf numFmtId="164" fontId="4" fillId="9" borderId="18" xfId="0" applyNumberFormat="1" applyFont="1" applyFill="1" applyBorder="1" applyAlignment="1">
      <alignment horizontal="center" vertical="top"/>
    </xf>
    <xf numFmtId="164" fontId="4" fillId="9" borderId="32" xfId="0" applyNumberFormat="1" applyFont="1" applyFill="1" applyBorder="1" applyAlignment="1">
      <alignment horizontal="center" vertical="top"/>
    </xf>
    <xf numFmtId="164" fontId="4" fillId="9" borderId="69" xfId="0" applyNumberFormat="1" applyFont="1" applyFill="1" applyBorder="1" applyAlignment="1">
      <alignment horizontal="center" vertical="top"/>
    </xf>
    <xf numFmtId="164" fontId="4" fillId="9" borderId="60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164" fontId="4" fillId="9" borderId="34" xfId="0" applyNumberFormat="1" applyFont="1" applyFill="1" applyBorder="1" applyAlignment="1">
      <alignment horizontal="center" vertical="top"/>
    </xf>
    <xf numFmtId="164" fontId="4" fillId="9" borderId="3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center" vertical="top"/>
    </xf>
    <xf numFmtId="164" fontId="4" fillId="9" borderId="66" xfId="0" applyNumberFormat="1" applyFont="1" applyFill="1" applyBorder="1" applyAlignment="1">
      <alignment horizontal="center" vertical="top"/>
    </xf>
    <xf numFmtId="164" fontId="4" fillId="9" borderId="33" xfId="0" applyNumberFormat="1" applyFont="1" applyFill="1" applyBorder="1" applyAlignment="1">
      <alignment horizontal="center" vertical="top"/>
    </xf>
    <xf numFmtId="164" fontId="4" fillId="9" borderId="68" xfId="0" applyNumberFormat="1" applyFont="1" applyFill="1" applyBorder="1" applyAlignment="1">
      <alignment horizontal="center" vertical="top"/>
    </xf>
    <xf numFmtId="164" fontId="4" fillId="9" borderId="52" xfId="0" applyNumberFormat="1" applyFont="1" applyFill="1" applyBorder="1" applyAlignment="1">
      <alignment horizontal="center" vertical="top"/>
    </xf>
    <xf numFmtId="164" fontId="4" fillId="9" borderId="35" xfId="0" applyNumberFormat="1" applyFont="1" applyFill="1" applyBorder="1" applyAlignment="1">
      <alignment horizontal="center" vertical="top"/>
    </xf>
    <xf numFmtId="164" fontId="4" fillId="9" borderId="64" xfId="0" applyNumberFormat="1" applyFont="1" applyFill="1" applyBorder="1" applyAlignment="1">
      <alignment horizontal="center" vertical="top"/>
    </xf>
    <xf numFmtId="164" fontId="4" fillId="9" borderId="72" xfId="0" applyNumberFormat="1" applyFont="1" applyFill="1" applyBorder="1" applyAlignment="1">
      <alignment horizontal="center" vertical="top"/>
    </xf>
    <xf numFmtId="164" fontId="4" fillId="9" borderId="40" xfId="0" applyNumberFormat="1" applyFont="1" applyFill="1" applyBorder="1" applyAlignment="1">
      <alignment horizontal="center" vertical="top"/>
    </xf>
    <xf numFmtId="164" fontId="4" fillId="9" borderId="59" xfId="0" applyNumberFormat="1" applyFont="1" applyFill="1" applyBorder="1" applyAlignment="1">
      <alignment horizontal="center" vertical="top"/>
    </xf>
    <xf numFmtId="164" fontId="4" fillId="9" borderId="38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29" xfId="0" applyNumberFormat="1" applyFont="1" applyFill="1" applyBorder="1" applyAlignment="1">
      <alignment horizontal="center" vertical="top"/>
    </xf>
    <xf numFmtId="164" fontId="1" fillId="9" borderId="18" xfId="0" applyNumberFormat="1" applyFont="1" applyFill="1" applyBorder="1" applyAlignment="1">
      <alignment horizontal="center" vertical="top"/>
    </xf>
    <xf numFmtId="164" fontId="5" fillId="9" borderId="46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72" xfId="0" applyNumberFormat="1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center" vertical="top"/>
    </xf>
    <xf numFmtId="164" fontId="5" fillId="9" borderId="45" xfId="0" applyNumberFormat="1" applyFont="1" applyFill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vertical="top" wrapText="1"/>
    </xf>
    <xf numFmtId="164" fontId="5" fillId="9" borderId="48" xfId="0" applyNumberFormat="1" applyFont="1" applyFill="1" applyBorder="1" applyAlignment="1">
      <alignment horizontal="center" vertical="top"/>
    </xf>
    <xf numFmtId="164" fontId="5" fillId="9" borderId="56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4" fillId="9" borderId="74" xfId="0" applyNumberFormat="1" applyFont="1" applyFill="1" applyBorder="1" applyAlignment="1">
      <alignment horizontal="center" vertical="top"/>
    </xf>
    <xf numFmtId="164" fontId="4" fillId="9" borderId="0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4" fillId="9" borderId="22" xfId="0" applyNumberFormat="1" applyFont="1" applyFill="1" applyBorder="1" applyAlignment="1">
      <alignment horizontal="center" vertical="top"/>
    </xf>
    <xf numFmtId="164" fontId="4" fillId="9" borderId="39" xfId="0" applyNumberFormat="1" applyFont="1" applyFill="1" applyBorder="1" applyAlignment="1">
      <alignment horizontal="center" vertical="top"/>
    </xf>
    <xf numFmtId="164" fontId="4" fillId="9" borderId="17" xfId="0" applyNumberFormat="1" applyFont="1" applyFill="1" applyBorder="1" applyAlignment="1">
      <alignment horizontal="center" vertical="top"/>
    </xf>
    <xf numFmtId="164" fontId="5" fillId="9" borderId="49" xfId="0" applyNumberFormat="1" applyFont="1" applyFill="1" applyBorder="1" applyAlignment="1">
      <alignment horizontal="center" vertical="top"/>
    </xf>
    <xf numFmtId="0" fontId="5" fillId="9" borderId="48" xfId="0" applyFont="1" applyFill="1" applyBorder="1" applyAlignment="1">
      <alignment horizontal="center" vertical="top" wrapText="1"/>
    </xf>
    <xf numFmtId="164" fontId="5" fillId="9" borderId="47" xfId="0" applyNumberFormat="1" applyFont="1" applyFill="1" applyBorder="1" applyAlignment="1">
      <alignment horizontal="center" vertical="top"/>
    </xf>
    <xf numFmtId="164" fontId="5" fillId="9" borderId="73" xfId="0" applyNumberFormat="1" applyFont="1" applyFill="1" applyBorder="1" applyAlignment="1">
      <alignment horizontal="center" vertical="top"/>
    </xf>
    <xf numFmtId="164" fontId="2" fillId="9" borderId="56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9" borderId="46" xfId="0" applyNumberFormat="1" applyFont="1" applyFill="1" applyBorder="1" applyAlignment="1">
      <alignment horizontal="center" vertical="top"/>
    </xf>
    <xf numFmtId="164" fontId="2" fillId="9" borderId="45" xfId="0" applyNumberFormat="1" applyFont="1" applyFill="1" applyBorder="1" applyAlignment="1">
      <alignment horizontal="center" vertical="top"/>
    </xf>
    <xf numFmtId="164" fontId="2" fillId="9" borderId="49" xfId="0" applyNumberFormat="1" applyFont="1" applyFill="1" applyBorder="1" applyAlignment="1">
      <alignment horizontal="center" vertical="top"/>
    </xf>
    <xf numFmtId="164" fontId="2" fillId="9" borderId="4" xfId="0" applyNumberFormat="1" applyFont="1" applyFill="1" applyBorder="1" applyAlignment="1">
      <alignment horizontal="center" vertical="top"/>
    </xf>
    <xf numFmtId="164" fontId="2" fillId="9" borderId="48" xfId="0" applyNumberFormat="1" applyFont="1" applyFill="1" applyBorder="1" applyAlignment="1">
      <alignment horizontal="center" vertical="top"/>
    </xf>
    <xf numFmtId="164" fontId="1" fillId="9" borderId="16" xfId="0" applyNumberFormat="1" applyFont="1" applyFill="1" applyBorder="1" applyAlignment="1">
      <alignment horizontal="center" vertical="top"/>
    </xf>
    <xf numFmtId="164" fontId="1" fillId="9" borderId="13" xfId="0" applyNumberFormat="1" applyFont="1" applyFill="1" applyBorder="1" applyAlignment="1">
      <alignment horizontal="center" vertical="top"/>
    </xf>
    <xf numFmtId="164" fontId="1" fillId="9" borderId="24" xfId="0" applyNumberFormat="1" applyFont="1" applyFill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7" xfId="0" applyNumberFormat="1" applyFont="1" applyFill="1" applyBorder="1" applyAlignment="1">
      <alignment horizontal="center" vertical="top"/>
    </xf>
    <xf numFmtId="164" fontId="1" fillId="9" borderId="67" xfId="0" applyNumberFormat="1" applyFont="1" applyFill="1" applyBorder="1" applyAlignment="1">
      <alignment horizontal="center" vertical="top"/>
    </xf>
    <xf numFmtId="164" fontId="1" fillId="9" borderId="68" xfId="0" applyNumberFormat="1" applyFont="1" applyFill="1" applyBorder="1" applyAlignment="1">
      <alignment horizontal="center" vertical="top"/>
    </xf>
    <xf numFmtId="164" fontId="1" fillId="9" borderId="26" xfId="0" applyNumberFormat="1" applyFont="1" applyFill="1" applyBorder="1" applyAlignment="1">
      <alignment horizontal="center" vertical="top"/>
    </xf>
    <xf numFmtId="164" fontId="1" fillId="9" borderId="78" xfId="0" applyNumberFormat="1" applyFont="1" applyFill="1" applyBorder="1" applyAlignment="1">
      <alignment horizontal="center" vertical="top"/>
    </xf>
    <xf numFmtId="164" fontId="1" fillId="9" borderId="59" xfId="0" applyNumberFormat="1" applyFont="1" applyFill="1" applyBorder="1" applyAlignment="1">
      <alignment horizontal="center" vertical="top"/>
    </xf>
    <xf numFmtId="164" fontId="4" fillId="9" borderId="62" xfId="0" applyNumberFormat="1" applyFont="1" applyFill="1" applyBorder="1" applyAlignment="1">
      <alignment horizontal="center" vertical="top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164" fontId="2" fillId="9" borderId="68" xfId="0" applyNumberFormat="1" applyFont="1" applyFill="1" applyBorder="1" applyAlignment="1">
      <alignment horizontal="center" vertical="top"/>
    </xf>
    <xf numFmtId="164" fontId="2" fillId="9" borderId="26" xfId="0" applyNumberFormat="1" applyFont="1" applyFill="1" applyBorder="1" applyAlignment="1">
      <alignment horizontal="center" vertical="top"/>
    </xf>
    <xf numFmtId="164" fontId="2" fillId="9" borderId="47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center" vertical="top"/>
    </xf>
    <xf numFmtId="164" fontId="2" fillId="9" borderId="71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 wrapText="1"/>
    </xf>
    <xf numFmtId="164" fontId="2" fillId="9" borderId="62" xfId="0" applyNumberFormat="1" applyFont="1" applyFill="1" applyBorder="1" applyAlignment="1">
      <alignment horizontal="center" vertical="top"/>
    </xf>
    <xf numFmtId="164" fontId="2" fillId="9" borderId="60" xfId="0" applyNumberFormat="1" applyFont="1" applyFill="1" applyBorder="1" applyAlignment="1">
      <alignment horizontal="center" vertical="top"/>
    </xf>
    <xf numFmtId="164" fontId="2" fillId="9" borderId="27" xfId="0" applyNumberFormat="1" applyFont="1" applyFill="1" applyBorder="1" applyAlignment="1">
      <alignment horizontal="center" vertical="top"/>
    </xf>
    <xf numFmtId="164" fontId="2" fillId="9" borderId="40" xfId="0" applyNumberFormat="1" applyFont="1" applyFill="1" applyBorder="1" applyAlignment="1">
      <alignment horizontal="center" vertical="top"/>
    </xf>
    <xf numFmtId="164" fontId="2" fillId="9" borderId="38" xfId="0" applyNumberFormat="1" applyFont="1" applyFill="1" applyBorder="1" applyAlignment="1">
      <alignment horizontal="center" vertical="top"/>
    </xf>
    <xf numFmtId="164" fontId="2" fillId="9" borderId="72" xfId="0" applyNumberFormat="1" applyFont="1" applyFill="1" applyBorder="1" applyAlignment="1">
      <alignment horizontal="center" vertical="top"/>
    </xf>
    <xf numFmtId="164" fontId="2" fillId="9" borderId="28" xfId="0" applyNumberFormat="1" applyFont="1" applyFill="1" applyBorder="1" applyAlignment="1">
      <alignment horizontal="center" vertical="top"/>
    </xf>
    <xf numFmtId="164" fontId="2" fillId="9" borderId="6" xfId="0" applyNumberFormat="1" applyFont="1" applyFill="1" applyBorder="1" applyAlignment="1">
      <alignment horizontal="center" vertical="top"/>
    </xf>
    <xf numFmtId="164" fontId="1" fillId="9" borderId="63" xfId="0" applyNumberFormat="1" applyFont="1" applyFill="1" applyBorder="1" applyAlignment="1">
      <alignment horizontal="center" vertical="top"/>
    </xf>
    <xf numFmtId="164" fontId="1" fillId="9" borderId="43" xfId="0" applyNumberFormat="1" applyFont="1" applyFill="1" applyBorder="1" applyAlignment="1">
      <alignment horizontal="center" vertical="top"/>
    </xf>
    <xf numFmtId="164" fontId="1" fillId="9" borderId="15" xfId="0" applyNumberFormat="1" applyFont="1" applyFill="1" applyBorder="1" applyAlignment="1">
      <alignment horizontal="center" vertical="top"/>
    </xf>
    <xf numFmtId="164" fontId="2" fillId="9" borderId="73" xfId="0" applyNumberFormat="1" applyFont="1" applyFill="1" applyBorder="1" applyAlignment="1">
      <alignment horizontal="center" vertical="top"/>
    </xf>
    <xf numFmtId="164" fontId="4" fillId="9" borderId="37" xfId="0" applyNumberFormat="1" applyFont="1" applyFill="1" applyBorder="1" applyAlignment="1">
      <alignment horizontal="center" vertical="top"/>
    </xf>
    <xf numFmtId="164" fontId="4" fillId="9" borderId="53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42" xfId="0" applyNumberFormat="1" applyFont="1" applyFill="1" applyBorder="1" applyAlignment="1">
      <alignment horizontal="center" vertical="top"/>
    </xf>
    <xf numFmtId="164" fontId="5" fillId="9" borderId="62" xfId="0" applyNumberFormat="1" applyFont="1" applyFill="1" applyBorder="1" applyAlignment="1">
      <alignment horizontal="center" vertical="top"/>
    </xf>
    <xf numFmtId="164" fontId="5" fillId="9" borderId="2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164" fontId="5" fillId="9" borderId="27" xfId="0" applyNumberFormat="1" applyFont="1" applyFill="1" applyBorder="1" applyAlignment="1">
      <alignment horizontal="center" vertical="top"/>
    </xf>
    <xf numFmtId="164" fontId="5" fillId="9" borderId="6" xfId="0" applyNumberFormat="1" applyFont="1" applyFill="1" applyBorder="1" applyAlignment="1">
      <alignment horizontal="center" vertical="top"/>
    </xf>
    <xf numFmtId="164" fontId="1" fillId="9" borderId="66" xfId="0" applyNumberFormat="1" applyFont="1" applyFill="1" applyBorder="1" applyAlignment="1">
      <alignment horizontal="center" vertical="top"/>
    </xf>
    <xf numFmtId="164" fontId="1" fillId="9" borderId="0" xfId="0" applyNumberFormat="1" applyFont="1" applyFill="1" applyBorder="1" applyAlignment="1">
      <alignment horizontal="center" vertical="top"/>
    </xf>
    <xf numFmtId="0" fontId="2" fillId="9" borderId="51" xfId="0" applyFont="1" applyFill="1" applyBorder="1" applyAlignment="1">
      <alignment horizontal="center" vertical="top" wrapText="1"/>
    </xf>
    <xf numFmtId="0" fontId="2" fillId="9" borderId="56" xfId="0" applyFont="1" applyFill="1" applyBorder="1" applyAlignment="1">
      <alignment horizontal="center" vertical="top" wrapText="1"/>
    </xf>
    <xf numFmtId="164" fontId="1" fillId="9" borderId="36" xfId="0" applyNumberFormat="1" applyFont="1" applyFill="1" applyBorder="1" applyAlignment="1">
      <alignment horizontal="center" vertical="top"/>
    </xf>
    <xf numFmtId="164" fontId="1" fillId="9" borderId="22" xfId="0" applyNumberFormat="1" applyFont="1" applyFill="1" applyBorder="1" applyAlignment="1">
      <alignment horizontal="center" vertical="top"/>
    </xf>
    <xf numFmtId="164" fontId="1" fillId="9" borderId="3" xfId="0" applyNumberFormat="1" applyFont="1" applyFill="1" applyBorder="1" applyAlignment="1">
      <alignment horizontal="center" vertical="top"/>
    </xf>
    <xf numFmtId="164" fontId="1" fillId="9" borderId="35" xfId="0" applyNumberFormat="1" applyFont="1" applyFill="1" applyBorder="1" applyAlignment="1">
      <alignment horizontal="center" vertical="top"/>
    </xf>
    <xf numFmtId="164" fontId="1" fillId="9" borderId="42" xfId="0" applyNumberFormat="1" applyFont="1" applyFill="1" applyBorder="1" applyAlignment="1">
      <alignment horizontal="center" vertical="top"/>
    </xf>
    <xf numFmtId="164" fontId="5" fillId="9" borderId="23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164" fontId="1" fillId="9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0" fontId="1" fillId="5" borderId="21" xfId="0" applyNumberFormat="1" applyFont="1" applyFill="1" applyBorder="1" applyAlignment="1">
      <alignment horizontal="center" vertical="top"/>
    </xf>
    <xf numFmtId="164" fontId="1" fillId="9" borderId="77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9" borderId="26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5" fillId="5" borderId="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9" borderId="52" xfId="0" applyNumberFormat="1" applyFont="1" applyFill="1" applyBorder="1" applyAlignment="1">
      <alignment horizontal="center" vertical="top"/>
    </xf>
    <xf numFmtId="164" fontId="1" fillId="9" borderId="53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8" borderId="18" xfId="0" applyNumberFormat="1" applyFont="1" applyFill="1" applyBorder="1" applyAlignment="1">
      <alignment horizontal="center" vertical="top" wrapText="1"/>
    </xf>
    <xf numFmtId="0" fontId="1" fillId="8" borderId="0" xfId="0" applyNumberFormat="1" applyFont="1" applyFill="1" applyBorder="1" applyAlignment="1">
      <alignment horizontal="center" vertical="top" wrapText="1"/>
    </xf>
    <xf numFmtId="0" fontId="1" fillId="8" borderId="31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164" fontId="2" fillId="9" borderId="0" xfId="0" applyNumberFormat="1" applyFont="1" applyFill="1" applyBorder="1" applyAlignment="1">
      <alignment horizontal="center" vertical="top"/>
    </xf>
    <xf numFmtId="164" fontId="2" fillId="9" borderId="18" xfId="0" applyNumberFormat="1" applyFont="1" applyFill="1" applyBorder="1" applyAlignment="1">
      <alignment horizontal="center" vertical="top"/>
    </xf>
    <xf numFmtId="164" fontId="2" fillId="9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4" fontId="4" fillId="8" borderId="7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0" fontId="4" fillId="8" borderId="13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0" fontId="4" fillId="5" borderId="18" xfId="0" applyFont="1" applyFill="1" applyBorder="1" applyAlignment="1">
      <alignment vertical="top" wrapText="1"/>
    </xf>
    <xf numFmtId="164" fontId="4" fillId="9" borderId="58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164" fontId="1" fillId="9" borderId="33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left" vertical="top" wrapText="1"/>
    </xf>
    <xf numFmtId="164" fontId="4" fillId="9" borderId="41" xfId="0" applyNumberFormat="1" applyFont="1" applyFill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164" fontId="5" fillId="9" borderId="21" xfId="0" applyNumberFormat="1" applyFont="1" applyFill="1" applyBorder="1" applyAlignment="1">
      <alignment horizontal="center" vertical="top"/>
    </xf>
    <xf numFmtId="164" fontId="4" fillId="9" borderId="63" xfId="0" applyNumberFormat="1" applyFont="1" applyFill="1" applyBorder="1" applyAlignment="1">
      <alignment horizontal="center" vertical="top"/>
    </xf>
    <xf numFmtId="164" fontId="4" fillId="9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165" fontId="5" fillId="5" borderId="57" xfId="0" applyNumberFormat="1" applyFont="1" applyFill="1" applyBorder="1" applyAlignment="1">
      <alignment horizontal="left" vertical="top" wrapText="1"/>
    </xf>
    <xf numFmtId="0" fontId="4" fillId="5" borderId="4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0" fontId="4" fillId="8" borderId="31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vertical="top"/>
    </xf>
    <xf numFmtId="49" fontId="2" fillId="8" borderId="71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vertical="top"/>
    </xf>
    <xf numFmtId="49" fontId="5" fillId="5" borderId="70" xfId="0" applyNumberFormat="1" applyFont="1" applyFill="1" applyBorder="1" applyAlignment="1">
      <alignment vertical="top"/>
    </xf>
    <xf numFmtId="164" fontId="4" fillId="9" borderId="44" xfId="0" applyNumberFormat="1" applyFont="1" applyFill="1" applyBorder="1" applyAlignment="1">
      <alignment horizontal="center" vertical="top"/>
    </xf>
    <xf numFmtId="164" fontId="4" fillId="0" borderId="50" xfId="0" applyNumberFormat="1" applyFont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left" vertical="top"/>
    </xf>
    <xf numFmtId="164" fontId="5" fillId="2" borderId="25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9" borderId="3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4" fillId="5" borderId="18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8" borderId="19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4" fillId="8" borderId="37" xfId="0" applyFont="1" applyFill="1" applyBorder="1" applyAlignment="1">
      <alignment horizontal="left" vertical="top" wrapText="1"/>
    </xf>
    <xf numFmtId="0" fontId="14" fillId="8" borderId="68" xfId="0" applyFont="1" applyFill="1" applyBorder="1" applyAlignment="1">
      <alignment horizontal="center" vertical="top" wrapText="1"/>
    </xf>
    <xf numFmtId="0" fontId="14" fillId="8" borderId="53" xfId="0" applyFont="1" applyFill="1" applyBorder="1" applyAlignment="1">
      <alignment horizontal="center" wrapText="1"/>
    </xf>
    <xf numFmtId="164" fontId="4" fillId="9" borderId="2" xfId="0" applyNumberFormat="1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164" fontId="5" fillId="9" borderId="0" xfId="0" applyNumberFormat="1" applyFont="1" applyFill="1" applyBorder="1" applyAlignment="1">
      <alignment horizontal="center" vertical="top"/>
    </xf>
    <xf numFmtId="164" fontId="2" fillId="9" borderId="7" xfId="0" applyNumberFormat="1" applyFont="1" applyFill="1" applyBorder="1" applyAlignment="1">
      <alignment horizontal="center" vertical="top"/>
    </xf>
    <xf numFmtId="164" fontId="2" fillId="9" borderId="8" xfId="0" applyNumberFormat="1" applyFont="1" applyFill="1" applyBorder="1" applyAlignment="1">
      <alignment horizontal="center" vertical="top"/>
    </xf>
    <xf numFmtId="165" fontId="4" fillId="0" borderId="41" xfId="0" applyNumberFormat="1" applyFont="1" applyFill="1" applyBorder="1" applyAlignment="1">
      <alignment horizontal="left" vertical="top"/>
    </xf>
    <xf numFmtId="164" fontId="4" fillId="9" borderId="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164" fontId="4" fillId="9" borderId="56" xfId="0" applyNumberFormat="1" applyFont="1" applyFill="1" applyBorder="1" applyAlignment="1">
      <alignment horizontal="center" vertical="top"/>
    </xf>
    <xf numFmtId="164" fontId="4" fillId="9" borderId="51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2" borderId="60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2" fillId="2" borderId="6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49" fontId="5" fillId="5" borderId="60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9" borderId="50" xfId="0" applyFont="1" applyFill="1" applyBorder="1" applyAlignment="1">
      <alignment horizontal="center" vertical="top" wrapText="1"/>
    </xf>
    <xf numFmtId="164" fontId="1" fillId="9" borderId="58" xfId="0" applyNumberFormat="1" applyFont="1" applyFill="1" applyBorder="1" applyAlignment="1">
      <alignment horizontal="center" vertical="top"/>
    </xf>
    <xf numFmtId="165" fontId="4" fillId="8" borderId="17" xfId="0" applyNumberFormat="1" applyFont="1" applyFill="1" applyBorder="1" applyAlignment="1">
      <alignment horizontal="left" vertical="top" wrapText="1"/>
    </xf>
    <xf numFmtId="0" fontId="4" fillId="8" borderId="0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9" borderId="41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8" borderId="18" xfId="0" applyNumberFormat="1" applyFont="1" applyFill="1" applyBorder="1" applyAlignment="1">
      <alignment horizontal="center" vertical="top" wrapText="1"/>
    </xf>
    <xf numFmtId="164" fontId="4" fillId="9" borderId="75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 wrapText="1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9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164" fontId="5" fillId="9" borderId="63" xfId="0" applyNumberFormat="1" applyFont="1" applyFill="1" applyBorder="1" applyAlignment="1">
      <alignment horizontal="center" vertical="top"/>
    </xf>
    <xf numFmtId="164" fontId="2" fillId="9" borderId="43" xfId="0" applyNumberFormat="1" applyFont="1" applyFill="1" applyBorder="1" applyAlignment="1">
      <alignment horizontal="center" vertical="top"/>
    </xf>
    <xf numFmtId="164" fontId="2" fillId="9" borderId="1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4" fontId="4" fillId="8" borderId="15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164" fontId="1" fillId="8" borderId="26" xfId="0" applyNumberFormat="1" applyFont="1" applyFill="1" applyBorder="1" applyAlignment="1">
      <alignment horizontal="center" vertical="top"/>
    </xf>
    <xf numFmtId="164" fontId="1" fillId="8" borderId="13" xfId="0" applyNumberFormat="1" applyFont="1" applyFill="1" applyBorder="1" applyAlignment="1">
      <alignment horizontal="center" vertical="top"/>
    </xf>
    <xf numFmtId="164" fontId="1" fillId="8" borderId="43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164" fontId="1" fillId="8" borderId="3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164" fontId="4" fillId="8" borderId="5" xfId="0" applyNumberFormat="1" applyFont="1" applyFill="1" applyBorder="1" applyAlignment="1">
      <alignment horizontal="center" vertical="top"/>
    </xf>
    <xf numFmtId="0" fontId="5" fillId="0" borderId="60" xfId="0" applyFont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top"/>
    </xf>
    <xf numFmtId="165" fontId="4" fillId="5" borderId="38" xfId="0" applyNumberFormat="1" applyFont="1" applyFill="1" applyBorder="1" applyAlignment="1">
      <alignment vertical="top" wrapText="1"/>
    </xf>
    <xf numFmtId="0" fontId="4" fillId="5" borderId="40" xfId="0" applyNumberFormat="1" applyFont="1" applyFill="1" applyBorder="1" applyAlignment="1">
      <alignment horizontal="center" vertical="top"/>
    </xf>
    <xf numFmtId="0" fontId="4" fillId="5" borderId="31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center" wrapText="1"/>
    </xf>
    <xf numFmtId="164" fontId="1" fillId="0" borderId="29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49" fontId="1" fillId="5" borderId="60" xfId="0" applyNumberFormat="1" applyFont="1" applyFill="1" applyBorder="1" applyAlignment="1">
      <alignment horizontal="center" vertical="top" wrapText="1"/>
    </xf>
    <xf numFmtId="49" fontId="1" fillId="5" borderId="40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1" fillId="0" borderId="61" xfId="0" applyNumberFormat="1" applyFont="1" applyFill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164" fontId="1" fillId="0" borderId="53" xfId="0" applyNumberFormat="1" applyFont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164" fontId="1" fillId="0" borderId="5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4" fillId="8" borderId="10" xfId="0" applyNumberFormat="1" applyFont="1" applyFill="1" applyBorder="1" applyAlignment="1">
      <alignment horizontal="center" vertical="top"/>
    </xf>
    <xf numFmtId="164" fontId="4" fillId="8" borderId="24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164" fontId="4" fillId="0" borderId="74" xfId="0" applyNumberFormat="1" applyFont="1" applyFill="1" applyBorder="1" applyAlignment="1">
      <alignment horizontal="center" vertical="top"/>
    </xf>
    <xf numFmtId="164" fontId="4" fillId="0" borderId="69" xfId="0" applyNumberFormat="1" applyFont="1" applyBorder="1" applyAlignment="1">
      <alignment horizontal="center" vertical="top"/>
    </xf>
    <xf numFmtId="164" fontId="4" fillId="0" borderId="74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8" borderId="16" xfId="0" applyFont="1" applyFill="1" applyBorder="1" applyAlignment="1">
      <alignment vertical="top" wrapText="1"/>
    </xf>
    <xf numFmtId="0" fontId="4" fillId="8" borderId="13" xfId="0" applyNumberFormat="1" applyFont="1" applyFill="1" applyBorder="1" applyAlignment="1">
      <alignment horizontal="center" vertical="top"/>
    </xf>
    <xf numFmtId="0" fontId="4" fillId="8" borderId="39" xfId="0" applyNumberFormat="1" applyFont="1" applyFill="1" applyBorder="1" applyAlignment="1">
      <alignment horizontal="center" vertical="top"/>
    </xf>
    <xf numFmtId="0" fontId="5" fillId="5" borderId="44" xfId="0" applyNumberFormat="1" applyFont="1" applyFill="1" applyBorder="1" applyAlignment="1">
      <alignment horizontal="center" vertical="top"/>
    </xf>
    <xf numFmtId="164" fontId="5" fillId="9" borderId="2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top"/>
    </xf>
    <xf numFmtId="0" fontId="4" fillId="8" borderId="19" xfId="0" applyFont="1" applyFill="1" applyBorder="1" applyAlignment="1">
      <alignment vertical="top"/>
    </xf>
    <xf numFmtId="49" fontId="2" fillId="5" borderId="13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164" fontId="1" fillId="8" borderId="40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 wrapText="1"/>
    </xf>
    <xf numFmtId="0" fontId="4" fillId="5" borderId="19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vertical="top" wrapText="1"/>
    </xf>
    <xf numFmtId="164" fontId="5" fillId="5" borderId="57" xfId="0" applyNumberFormat="1" applyFont="1" applyFill="1" applyBorder="1" applyAlignment="1">
      <alignment horizontal="center" vertical="top"/>
    </xf>
    <xf numFmtId="0" fontId="5" fillId="5" borderId="19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8" borderId="0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4" fillId="0" borderId="74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165" fontId="4" fillId="5" borderId="1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5" fillId="0" borderId="73" xfId="0" applyFont="1" applyFill="1" applyBorder="1" applyAlignment="1">
      <alignment horizontal="center" vertical="top" wrapText="1"/>
    </xf>
    <xf numFmtId="164" fontId="1" fillId="8" borderId="15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vertical="top"/>
    </xf>
    <xf numFmtId="164" fontId="4" fillId="8" borderId="61" xfId="0" applyNumberFormat="1" applyFont="1" applyFill="1" applyBorder="1" applyAlignment="1">
      <alignment horizontal="center" vertical="top"/>
    </xf>
    <xf numFmtId="0" fontId="4" fillId="0" borderId="41" xfId="0" applyFont="1" applyBorder="1" applyAlignment="1">
      <alignment vertical="top" wrapText="1"/>
    </xf>
    <xf numFmtId="0" fontId="4" fillId="5" borderId="43" xfId="0" applyNumberFormat="1" applyFont="1" applyFill="1" applyBorder="1" applyAlignment="1">
      <alignment horizontal="center" vertical="top"/>
    </xf>
    <xf numFmtId="0" fontId="5" fillId="5" borderId="21" xfId="0" applyNumberFormat="1" applyFont="1" applyFill="1" applyBorder="1" applyAlignment="1">
      <alignment horizontal="center" vertical="top"/>
    </xf>
    <xf numFmtId="164" fontId="2" fillId="9" borderId="50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8" borderId="6" xfId="0" applyNumberFormat="1" applyFont="1" applyFill="1" applyBorder="1" applyAlignment="1">
      <alignment horizontal="center" vertical="top"/>
    </xf>
    <xf numFmtId="164" fontId="1" fillId="8" borderId="65" xfId="0" applyNumberFormat="1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164" fontId="1" fillId="8" borderId="2" xfId="0" applyNumberFormat="1" applyFont="1" applyFill="1" applyBorder="1" applyAlignment="1">
      <alignment horizontal="center" vertical="top"/>
    </xf>
    <xf numFmtId="164" fontId="1" fillId="8" borderId="8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vertical="center" wrapText="1"/>
    </xf>
    <xf numFmtId="164" fontId="1" fillId="5" borderId="0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1" fillId="5" borderId="66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 wrapText="1"/>
    </xf>
    <xf numFmtId="0" fontId="4" fillId="8" borderId="31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wrapText="1"/>
    </xf>
    <xf numFmtId="164" fontId="5" fillId="9" borderId="48" xfId="0" applyNumberFormat="1" applyFont="1" applyFill="1" applyBorder="1" applyAlignment="1">
      <alignment horizontal="center"/>
    </xf>
    <xf numFmtId="164" fontId="5" fillId="9" borderId="4" xfId="0" applyNumberFormat="1" applyFont="1" applyFill="1" applyBorder="1" applyAlignment="1">
      <alignment horizontal="center"/>
    </xf>
    <xf numFmtId="164" fontId="5" fillId="9" borderId="46" xfId="0" applyNumberFormat="1" applyFont="1" applyFill="1" applyBorder="1" applyAlignment="1">
      <alignment horizontal="center"/>
    </xf>
    <xf numFmtId="164" fontId="5" fillId="9" borderId="45" xfId="0" applyNumberFormat="1" applyFont="1" applyFill="1" applyBorder="1" applyAlignment="1">
      <alignment horizontal="center"/>
    </xf>
    <xf numFmtId="164" fontId="5" fillId="9" borderId="56" xfId="0" applyNumberFormat="1" applyFont="1" applyFill="1" applyBorder="1" applyAlignment="1">
      <alignment horizontal="center"/>
    </xf>
    <xf numFmtId="164" fontId="1" fillId="8" borderId="39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vertical="top"/>
    </xf>
    <xf numFmtId="164" fontId="1" fillId="0" borderId="48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0" fontId="2" fillId="5" borderId="29" xfId="0" applyFont="1" applyFill="1" applyBorder="1" applyAlignment="1">
      <alignment vertical="top" wrapText="1"/>
    </xf>
    <xf numFmtId="0" fontId="2" fillId="0" borderId="66" xfId="0" applyNumberFormat="1" applyFont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5" fontId="1" fillId="5" borderId="16" xfId="0" applyNumberFormat="1" applyFont="1" applyFill="1" applyBorder="1" applyAlignment="1">
      <alignment horizontal="center" vertical="top"/>
    </xf>
    <xf numFmtId="0" fontId="1" fillId="5" borderId="13" xfId="0" applyNumberFormat="1" applyFont="1" applyFill="1" applyBorder="1" applyAlignment="1">
      <alignment horizontal="center" vertical="top"/>
    </xf>
    <xf numFmtId="0" fontId="1" fillId="5" borderId="3" xfId="0" applyNumberFormat="1" applyFont="1" applyFill="1" applyBorder="1" applyAlignment="1">
      <alignment horizontal="center" vertical="top"/>
    </xf>
    <xf numFmtId="0" fontId="1" fillId="5" borderId="68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5" borderId="35" xfId="0" applyNumberFormat="1" applyFont="1" applyFill="1" applyBorder="1" applyAlignment="1">
      <alignment horizontal="center" vertical="top"/>
    </xf>
    <xf numFmtId="0" fontId="1" fillId="8" borderId="68" xfId="0" applyNumberFormat="1" applyFont="1" applyFill="1" applyBorder="1" applyAlignment="1">
      <alignment horizontal="center" vertical="top"/>
    </xf>
    <xf numFmtId="0" fontId="1" fillId="8" borderId="5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164" fontId="1" fillId="5" borderId="68" xfId="0" applyNumberFormat="1" applyFont="1" applyFill="1" applyBorder="1" applyAlignment="1">
      <alignment horizontal="center" vertical="top"/>
    </xf>
    <xf numFmtId="0" fontId="1" fillId="5" borderId="68" xfId="0" applyNumberFormat="1" applyFont="1" applyFill="1" applyBorder="1" applyAlignment="1">
      <alignment horizontal="center" vertical="top"/>
    </xf>
    <xf numFmtId="0" fontId="1" fillId="5" borderId="26" xfId="0" applyNumberFormat="1" applyFont="1" applyFill="1" applyBorder="1" applyAlignment="1">
      <alignment horizontal="center" vertical="top"/>
    </xf>
    <xf numFmtId="0" fontId="1" fillId="5" borderId="18" xfId="0" applyFont="1" applyFill="1" applyBorder="1" applyAlignment="1">
      <alignment vertical="top" wrapText="1"/>
    </xf>
    <xf numFmtId="164" fontId="1" fillId="5" borderId="18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0" fontId="1" fillId="5" borderId="43" xfId="0" applyNumberFormat="1" applyFont="1" applyFill="1" applyBorder="1" applyAlignment="1">
      <alignment horizontal="center" vertical="top"/>
    </xf>
    <xf numFmtId="0" fontId="1" fillId="5" borderId="15" xfId="0" applyNumberFormat="1" applyFont="1" applyFill="1" applyBorder="1" applyAlignment="1">
      <alignment horizontal="center" vertical="top"/>
    </xf>
    <xf numFmtId="164" fontId="2" fillId="5" borderId="58" xfId="0" applyNumberFormat="1" applyFont="1" applyFill="1" applyBorder="1" applyAlignment="1">
      <alignment horizontal="center" vertical="top"/>
    </xf>
    <xf numFmtId="164" fontId="2" fillId="5" borderId="61" xfId="0" applyNumberFormat="1" applyFont="1" applyFill="1" applyBorder="1" applyAlignment="1">
      <alignment horizontal="center" vertical="top"/>
    </xf>
    <xf numFmtId="0" fontId="1" fillId="8" borderId="2" xfId="0" applyFont="1" applyFill="1" applyBorder="1" applyAlignment="1">
      <alignment horizontal="center" vertical="top"/>
    </xf>
    <xf numFmtId="0" fontId="1" fillId="8" borderId="69" xfId="0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/>
    </xf>
    <xf numFmtId="0" fontId="1" fillId="5" borderId="60" xfId="0" applyNumberFormat="1" applyFont="1" applyFill="1" applyBorder="1" applyAlignment="1">
      <alignment horizontal="center" vertical="top"/>
    </xf>
    <xf numFmtId="0" fontId="1" fillId="5" borderId="2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 wrapText="1"/>
    </xf>
    <xf numFmtId="0" fontId="1" fillId="8" borderId="13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center" vertical="top"/>
    </xf>
    <xf numFmtId="165" fontId="4" fillId="5" borderId="4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1" fillId="5" borderId="38" xfId="0" applyFont="1" applyFill="1" applyBorder="1" applyAlignment="1">
      <alignment vertical="top" wrapText="1"/>
    </xf>
    <xf numFmtId="0" fontId="1" fillId="5" borderId="20" xfId="0" applyFont="1" applyFill="1" applyBorder="1" applyAlignment="1">
      <alignment vertical="top" wrapText="1"/>
    </xf>
    <xf numFmtId="0" fontId="1" fillId="8" borderId="6" xfId="0" applyFont="1" applyFill="1" applyBorder="1" applyAlignment="1">
      <alignment horizontal="center" vertical="top"/>
    </xf>
    <xf numFmtId="0" fontId="1" fillId="8" borderId="68" xfId="0" applyFont="1" applyFill="1" applyBorder="1" applyAlignment="1">
      <alignment vertical="top" wrapText="1"/>
    </xf>
    <xf numFmtId="0" fontId="5" fillId="8" borderId="1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49" fontId="1" fillId="5" borderId="18" xfId="0" applyNumberFormat="1" applyFont="1" applyFill="1" applyBorder="1" applyAlignment="1">
      <alignment horizontal="center" vertical="top" wrapText="1"/>
    </xf>
    <xf numFmtId="49" fontId="1" fillId="5" borderId="0" xfId="0" applyNumberFormat="1" applyFont="1" applyFill="1" applyBorder="1" applyAlignment="1">
      <alignment horizontal="center" vertical="top" wrapText="1"/>
    </xf>
    <xf numFmtId="49" fontId="1" fillId="5" borderId="31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164" fontId="1" fillId="0" borderId="41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164" fontId="4" fillId="0" borderId="57" xfId="0" applyNumberFormat="1" applyFont="1" applyFill="1" applyBorder="1" applyAlignment="1">
      <alignment horizontal="left" vertical="top" wrapText="1"/>
    </xf>
    <xf numFmtId="164" fontId="1" fillId="0" borderId="38" xfId="0" applyNumberFormat="1" applyFont="1" applyFill="1" applyBorder="1" applyAlignment="1">
      <alignment horizontal="left" vertical="top" wrapText="1"/>
    </xf>
    <xf numFmtId="164" fontId="4" fillId="0" borderId="18" xfId="0" applyNumberFormat="1" applyFont="1" applyFill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6" fillId="0" borderId="18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vertical="top" wrapText="1"/>
    </xf>
    <xf numFmtId="0" fontId="4" fillId="0" borderId="42" xfId="0" applyFont="1" applyBorder="1" applyAlignment="1">
      <alignment vertical="top"/>
    </xf>
    <xf numFmtId="0" fontId="4" fillId="0" borderId="58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center" vertical="top"/>
    </xf>
    <xf numFmtId="0" fontId="5" fillId="8" borderId="5" xfId="0" applyFont="1" applyFill="1" applyBorder="1" applyAlignment="1">
      <alignment horizontal="center" vertical="top"/>
    </xf>
    <xf numFmtId="0" fontId="4" fillId="5" borderId="6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61" xfId="0" applyNumberFormat="1" applyFont="1" applyFill="1" applyBorder="1" applyAlignment="1">
      <alignment horizontal="center" vertical="top"/>
    </xf>
    <xf numFmtId="165" fontId="4" fillId="5" borderId="42" xfId="0" applyNumberFormat="1" applyFont="1" applyFill="1" applyBorder="1" applyAlignment="1">
      <alignment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vertical="top" wrapText="1"/>
    </xf>
    <xf numFmtId="164" fontId="4" fillId="0" borderId="41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13" fillId="0" borderId="18" xfId="0" applyFont="1" applyBorder="1" applyAlignment="1">
      <alignment vertical="center" textRotation="90"/>
    </xf>
    <xf numFmtId="0" fontId="4" fillId="0" borderId="38" xfId="0" applyFont="1" applyFill="1" applyBorder="1" applyAlignment="1">
      <alignment horizontal="left" vertical="top" wrapText="1"/>
    </xf>
    <xf numFmtId="0" fontId="4" fillId="8" borderId="60" xfId="0" applyFont="1" applyFill="1" applyBorder="1" applyAlignment="1">
      <alignment horizontal="center" vertical="top" wrapText="1"/>
    </xf>
    <xf numFmtId="0" fontId="4" fillId="8" borderId="40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vertical="top" wrapText="1"/>
    </xf>
    <xf numFmtId="0" fontId="4" fillId="0" borderId="68" xfId="0" applyNumberFormat="1" applyFont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0" fontId="1" fillId="0" borderId="53" xfId="0" applyNumberFormat="1" applyFont="1" applyBorder="1" applyAlignment="1">
      <alignment horizontal="center" vertical="top"/>
    </xf>
    <xf numFmtId="0" fontId="5" fillId="5" borderId="2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5" borderId="75" xfId="0" applyNumberFormat="1" applyFont="1" applyFill="1" applyBorder="1" applyAlignment="1">
      <alignment horizontal="center" vertical="top"/>
    </xf>
    <xf numFmtId="165" fontId="4" fillId="5" borderId="78" xfId="0" applyNumberFormat="1" applyFont="1" applyFill="1" applyBorder="1" applyAlignment="1">
      <alignment horizontal="left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9" borderId="48" xfId="0" applyFont="1" applyFill="1" applyBorder="1" applyAlignment="1">
      <alignment horizontal="center" vertical="top" wrapText="1"/>
    </xf>
    <xf numFmtId="1" fontId="4" fillId="0" borderId="67" xfId="0" applyNumberFormat="1" applyFont="1" applyBorder="1" applyAlignment="1">
      <alignment horizontal="center" vertical="top"/>
    </xf>
    <xf numFmtId="1" fontId="4" fillId="0" borderId="63" xfId="0" applyNumberFormat="1" applyFont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62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1" fontId="5" fillId="8" borderId="17" xfId="0" applyNumberFormat="1" applyFont="1" applyFill="1" applyBorder="1" applyAlignment="1">
      <alignment horizontal="center" vertical="top"/>
    </xf>
    <xf numFmtId="1" fontId="4" fillId="8" borderId="17" xfId="0" applyNumberFormat="1" applyFont="1" applyFill="1" applyBorder="1" applyAlignment="1">
      <alignment horizontal="center" vertical="top"/>
    </xf>
    <xf numFmtId="1" fontId="5" fillId="8" borderId="63" xfId="0" applyNumberFormat="1" applyFont="1" applyFill="1" applyBorder="1" applyAlignment="1">
      <alignment horizontal="center" vertical="top"/>
    </xf>
    <xf numFmtId="1" fontId="4" fillId="0" borderId="63" xfId="0" applyNumberFormat="1" applyFont="1" applyFill="1" applyBorder="1" applyAlignment="1">
      <alignment horizontal="center" vertical="top"/>
    </xf>
    <xf numFmtId="1" fontId="4" fillId="8" borderId="63" xfId="0" applyNumberFormat="1" applyFont="1" applyFill="1" applyBorder="1" applyAlignment="1">
      <alignment horizontal="center" vertical="top"/>
    </xf>
    <xf numFmtId="1" fontId="1" fillId="8" borderId="62" xfId="0" applyNumberFormat="1" applyFont="1" applyFill="1" applyBorder="1" applyAlignment="1">
      <alignment horizontal="center" vertical="top"/>
    </xf>
    <xf numFmtId="1" fontId="5" fillId="9" borderId="48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 wrapText="1"/>
    </xf>
    <xf numFmtId="1" fontId="5" fillId="9" borderId="48" xfId="0" applyNumberFormat="1" applyFont="1" applyFill="1" applyBorder="1" applyAlignment="1">
      <alignment horizontal="center" wrapText="1"/>
    </xf>
    <xf numFmtId="1" fontId="5" fillId="9" borderId="46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67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/>
    </xf>
    <xf numFmtId="1" fontId="5" fillId="9" borderId="67" xfId="0" applyNumberFormat="1" applyFont="1" applyFill="1" applyBorder="1" applyAlignment="1">
      <alignment horizontal="center" vertical="top"/>
    </xf>
    <xf numFmtId="1" fontId="4" fillId="5" borderId="62" xfId="0" applyNumberFormat="1" applyFont="1" applyFill="1" applyBorder="1" applyAlignment="1">
      <alignment horizontal="center" vertical="top"/>
    </xf>
    <xf numFmtId="1" fontId="4" fillId="5" borderId="17" xfId="0" applyNumberFormat="1" applyFont="1" applyFill="1" applyBorder="1" applyAlignment="1">
      <alignment horizontal="center" vertical="top"/>
    </xf>
    <xf numFmtId="1" fontId="4" fillId="5" borderId="63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 wrapText="1"/>
    </xf>
    <xf numFmtId="1" fontId="5" fillId="9" borderId="62" xfId="0" applyNumberFormat="1" applyFont="1" applyFill="1" applyBorder="1" applyAlignment="1">
      <alignment horizontal="center" vertical="top" wrapText="1"/>
    </xf>
    <xf numFmtId="1" fontId="4" fillId="5" borderId="67" xfId="0" applyNumberFormat="1" applyFont="1" applyFill="1" applyBorder="1" applyAlignment="1">
      <alignment horizontal="center" vertical="top" wrapText="1"/>
    </xf>
    <xf numFmtId="1" fontId="4" fillId="5" borderId="62" xfId="0" applyNumberFormat="1" applyFont="1" applyFill="1" applyBorder="1" applyAlignment="1">
      <alignment horizontal="center" vertical="top" wrapText="1"/>
    </xf>
    <xf numFmtId="1" fontId="5" fillId="9" borderId="6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78" xfId="0" applyNumberFormat="1" applyFont="1" applyFill="1" applyBorder="1" applyAlignment="1">
      <alignment horizontal="center" vertical="top" wrapText="1"/>
    </xf>
    <xf numFmtId="1" fontId="4" fillId="0" borderId="63" xfId="0" applyNumberFormat="1" applyFont="1" applyFill="1" applyBorder="1" applyAlignment="1">
      <alignment horizontal="center" vertical="top" wrapText="1"/>
    </xf>
    <xf numFmtId="1" fontId="5" fillId="9" borderId="57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1" fontId="2" fillId="9" borderId="48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" fontId="1" fillId="0" borderId="67" xfId="0" applyNumberFormat="1" applyFont="1" applyFill="1" applyBorder="1" applyAlignment="1">
      <alignment horizontal="center" vertical="top" wrapText="1"/>
    </xf>
    <xf numFmtId="1" fontId="1" fillId="0" borderId="63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1" fillId="8" borderId="67" xfId="0" applyNumberFormat="1" applyFont="1" applyFill="1" applyBorder="1" applyAlignment="1">
      <alignment horizontal="center" vertical="top"/>
    </xf>
    <xf numFmtId="1" fontId="1" fillId="8" borderId="63" xfId="0" applyNumberFormat="1" applyFont="1" applyFill="1" applyBorder="1" applyAlignment="1">
      <alignment horizontal="center" vertical="top"/>
    </xf>
    <xf numFmtId="1" fontId="1" fillId="0" borderId="59" xfId="0" applyNumberFormat="1" applyFont="1" applyBorder="1" applyAlignment="1">
      <alignment horizontal="center" vertical="top"/>
    </xf>
    <xf numFmtId="1" fontId="2" fillId="9" borderId="27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" fontId="2" fillId="2" borderId="55" xfId="0" applyNumberFormat="1" applyFont="1" applyFill="1" applyBorder="1" applyAlignment="1">
      <alignment horizontal="center" vertical="top"/>
    </xf>
    <xf numFmtId="1" fontId="5" fillId="2" borderId="55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 wrapText="1"/>
    </xf>
    <xf numFmtId="1" fontId="1" fillId="0" borderId="35" xfId="0" applyNumberFormat="1" applyFont="1" applyBorder="1" applyAlignment="1">
      <alignment horizontal="center" vertical="top" wrapText="1"/>
    </xf>
    <xf numFmtId="1" fontId="2" fillId="4" borderId="55" xfId="0" applyNumberFormat="1" applyFont="1" applyFill="1" applyBorder="1" applyAlignment="1">
      <alignment horizontal="center" vertical="top" wrapText="1"/>
    </xf>
    <xf numFmtId="1" fontId="1" fillId="5" borderId="58" xfId="0" applyNumberFormat="1" applyFont="1" applyFill="1" applyBorder="1" applyAlignment="1">
      <alignment horizontal="center" vertical="top" wrapText="1"/>
    </xf>
    <xf numFmtId="1" fontId="1" fillId="5" borderId="35" xfId="0" applyNumberFormat="1" applyFont="1" applyFill="1" applyBorder="1" applyAlignment="1">
      <alignment horizontal="center" vertical="top" wrapText="1"/>
    </xf>
    <xf numFmtId="1" fontId="2" fillId="9" borderId="55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2" fillId="3" borderId="23" xfId="0" applyNumberFormat="1" applyFont="1" applyFill="1" applyBorder="1" applyAlignment="1">
      <alignment horizontal="center" vertical="top"/>
    </xf>
    <xf numFmtId="1" fontId="2" fillId="4" borderId="50" xfId="0" applyNumberFormat="1" applyFont="1" applyFill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1" fontId="5" fillId="9" borderId="56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2" fillId="9" borderId="56" xfId="0" applyNumberFormat="1" applyFont="1" applyFill="1" applyBorder="1" applyAlignment="1">
      <alignment horizontal="center" vertical="top" wrapText="1"/>
    </xf>
    <xf numFmtId="1" fontId="2" fillId="2" borderId="2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" fontId="16" fillId="0" borderId="17" xfId="0" applyNumberFormat="1" applyFont="1" applyFill="1" applyBorder="1" applyAlignment="1">
      <alignment horizontal="center" vertical="top"/>
    </xf>
    <xf numFmtId="1" fontId="16" fillId="8" borderId="3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9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left" vertical="top"/>
    </xf>
    <xf numFmtId="0" fontId="1" fillId="8" borderId="18" xfId="0" applyNumberFormat="1" applyFont="1" applyFill="1" applyBorder="1" applyAlignment="1">
      <alignment horizontal="center" vertical="top"/>
    </xf>
    <xf numFmtId="0" fontId="1" fillId="8" borderId="3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1" fillId="8" borderId="3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textRotation="90" wrapText="1"/>
    </xf>
    <xf numFmtId="1" fontId="4" fillId="0" borderId="55" xfId="0" applyNumberFormat="1" applyFont="1" applyBorder="1" applyAlignment="1">
      <alignment horizontal="center" vertical="center" wrapText="1"/>
    </xf>
    <xf numFmtId="1" fontId="4" fillId="0" borderId="67" xfId="0" applyNumberFormat="1" applyFont="1" applyFill="1" applyBorder="1" applyAlignment="1">
      <alignment horizontal="center" vertical="top" wrapText="1"/>
    </xf>
    <xf numFmtId="164" fontId="2" fillId="8" borderId="0" xfId="0" applyNumberFormat="1" applyFont="1" applyFill="1" applyBorder="1" applyAlignment="1">
      <alignment horizontal="center" vertical="top"/>
    </xf>
    <xf numFmtId="49" fontId="2" fillId="8" borderId="3" xfId="0" applyNumberFormat="1" applyFont="1" applyFill="1" applyBorder="1" applyAlignment="1">
      <alignment horizontal="center" vertical="top"/>
    </xf>
    <xf numFmtId="49" fontId="2" fillId="8" borderId="3" xfId="0" applyNumberFormat="1" applyFont="1" applyFill="1" applyBorder="1" applyAlignment="1">
      <alignment horizontal="right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5" fillId="9" borderId="51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1" fillId="5" borderId="41" xfId="0" applyFont="1" applyFill="1" applyBorder="1" applyAlignment="1">
      <alignment horizontal="left" vertical="top"/>
    </xf>
    <xf numFmtId="0" fontId="1" fillId="8" borderId="18" xfId="0" applyNumberFormat="1" applyFont="1" applyFill="1" applyBorder="1" applyAlignment="1">
      <alignment horizontal="center" vertical="top"/>
    </xf>
    <xf numFmtId="0" fontId="1" fillId="8" borderId="31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textRotation="90" wrapText="1"/>
    </xf>
    <xf numFmtId="49" fontId="1" fillId="8" borderId="31" xfId="0" applyNumberFormat="1" applyFont="1" applyFill="1" applyBorder="1" applyAlignment="1">
      <alignment horizontal="center" vertical="top" wrapText="1"/>
    </xf>
    <xf numFmtId="0" fontId="1" fillId="5" borderId="38" xfId="0" applyFont="1" applyFill="1" applyBorder="1" applyAlignment="1">
      <alignment horizontal="left" vertical="top" wrapText="1"/>
    </xf>
    <xf numFmtId="0" fontId="1" fillId="8" borderId="8" xfId="0" applyFont="1" applyFill="1" applyBorder="1" applyAlignment="1">
      <alignment horizontal="center" vertical="top"/>
    </xf>
    <xf numFmtId="164" fontId="1" fillId="9" borderId="37" xfId="0" applyNumberFormat="1" applyFont="1" applyFill="1" applyBorder="1" applyAlignment="1">
      <alignment horizontal="center" vertical="top"/>
    </xf>
    <xf numFmtId="164" fontId="15" fillId="9" borderId="38" xfId="0" applyNumberFormat="1" applyFont="1" applyFill="1" applyBorder="1" applyAlignment="1">
      <alignment horizontal="center" vertical="top"/>
    </xf>
    <xf numFmtId="164" fontId="15" fillId="0" borderId="60" xfId="0" applyNumberFormat="1" applyFont="1" applyBorder="1" applyAlignment="1">
      <alignment horizontal="center" vertical="top"/>
    </xf>
    <xf numFmtId="164" fontId="1" fillId="0" borderId="4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31" xfId="0" applyNumberFormat="1" applyFont="1" applyBorder="1" applyAlignment="1">
      <alignment horizontal="center" vertical="top"/>
    </xf>
    <xf numFmtId="164" fontId="15" fillId="9" borderId="41" xfId="0" applyNumberFormat="1" applyFont="1" applyFill="1" applyBorder="1" applyAlignment="1">
      <alignment horizontal="center" vertical="top"/>
    </xf>
    <xf numFmtId="164" fontId="15" fillId="0" borderId="18" xfId="0" applyNumberFormat="1" applyFont="1" applyFill="1" applyBorder="1" applyAlignment="1">
      <alignment horizontal="center" vertical="top"/>
    </xf>
    <xf numFmtId="164" fontId="15" fillId="0" borderId="31" xfId="0" applyNumberFormat="1" applyFont="1" applyFill="1" applyBorder="1" applyAlignment="1">
      <alignment horizontal="center" vertical="top"/>
    </xf>
    <xf numFmtId="164" fontId="16" fillId="9" borderId="41" xfId="0" applyNumberFormat="1" applyFont="1" applyFill="1" applyBorder="1" applyAlignment="1">
      <alignment horizontal="center" vertical="top"/>
    </xf>
    <xf numFmtId="164" fontId="16" fillId="8" borderId="18" xfId="0" applyNumberFormat="1" applyFont="1" applyFill="1" applyBorder="1" applyAlignment="1">
      <alignment horizontal="center" vertical="top"/>
    </xf>
    <xf numFmtId="164" fontId="16" fillId="8" borderId="31" xfId="0" applyNumberFormat="1" applyFont="1" applyFill="1" applyBorder="1" applyAlignment="1">
      <alignment horizontal="center" vertical="top"/>
    </xf>
    <xf numFmtId="164" fontId="5" fillId="8" borderId="69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164" fontId="5" fillId="8" borderId="8" xfId="0" applyNumberFormat="1" applyFont="1" applyFill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/>
    </xf>
    <xf numFmtId="164" fontId="1" fillId="0" borderId="28" xfId="0" applyNumberFormat="1" applyFont="1" applyBorder="1" applyAlignment="1">
      <alignment horizontal="center" vertical="top"/>
    </xf>
    <xf numFmtId="164" fontId="1" fillId="0" borderId="62" xfId="0" applyNumberFormat="1" applyFont="1" applyBorder="1" applyAlignment="1">
      <alignment horizontal="center" vertical="top"/>
    </xf>
    <xf numFmtId="164" fontId="5" fillId="8" borderId="58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5" fillId="8" borderId="5" xfId="0" applyNumberFormat="1" applyFont="1" applyFill="1" applyBorder="1" applyAlignment="1">
      <alignment horizontal="center" vertical="top"/>
    </xf>
    <xf numFmtId="164" fontId="1" fillId="9" borderId="38" xfId="0" applyNumberFormat="1" applyFont="1" applyFill="1" applyBorder="1" applyAlignment="1">
      <alignment horizontal="center" vertical="top"/>
    </xf>
    <xf numFmtId="164" fontId="1" fillId="8" borderId="60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/>
    </xf>
    <xf numFmtId="164" fontId="4" fillId="8" borderId="8" xfId="0" applyNumberFormat="1" applyFont="1" applyFill="1" applyBorder="1" applyAlignment="1">
      <alignment horizontal="center" vertical="top"/>
    </xf>
    <xf numFmtId="164" fontId="1" fillId="9" borderId="62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5" fillId="8" borderId="18" xfId="0" applyNumberFormat="1" applyFont="1" applyFill="1" applyBorder="1" applyAlignment="1">
      <alignment horizontal="center" vertical="top"/>
    </xf>
    <xf numFmtId="164" fontId="2" fillId="8" borderId="72" xfId="0" applyNumberFormat="1" applyFont="1" applyFill="1" applyBorder="1" applyAlignment="1">
      <alignment horizontal="center" vertical="top"/>
    </xf>
    <xf numFmtId="164" fontId="2" fillId="8" borderId="40" xfId="0" applyNumberFormat="1" applyFont="1" applyFill="1" applyBorder="1" applyAlignment="1">
      <alignment horizontal="center" vertical="top"/>
    </xf>
    <xf numFmtId="164" fontId="5" fillId="2" borderId="23" xfId="0" applyNumberFormat="1" applyFont="1" applyFill="1" applyBorder="1" applyAlignment="1">
      <alignment horizontal="center" vertical="top"/>
    </xf>
    <xf numFmtId="164" fontId="5" fillId="3" borderId="23" xfId="0" applyNumberFormat="1" applyFont="1" applyFill="1" applyBorder="1" applyAlignment="1">
      <alignment horizontal="center" vertical="top"/>
    </xf>
    <xf numFmtId="164" fontId="4" fillId="5" borderId="15" xfId="0" applyNumberFormat="1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164" fontId="4" fillId="5" borderId="28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1" fillId="5" borderId="77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vertical="top"/>
    </xf>
    <xf numFmtId="164" fontId="1" fillId="9" borderId="9" xfId="0" applyNumberFormat="1" applyFont="1" applyFill="1" applyBorder="1" applyAlignment="1">
      <alignment horizontal="center" vertical="top"/>
    </xf>
    <xf numFmtId="164" fontId="4" fillId="0" borderId="2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textRotation="90" wrapText="1"/>
    </xf>
    <xf numFmtId="3" fontId="1" fillId="9" borderId="37" xfId="0" applyNumberFormat="1" applyFont="1" applyFill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1" fillId="0" borderId="43" xfId="0" applyNumberFormat="1" applyFont="1" applyFill="1" applyBorder="1" applyAlignment="1">
      <alignment horizontal="center" vertical="top"/>
    </xf>
    <xf numFmtId="3" fontId="1" fillId="0" borderId="61" xfId="0" applyNumberFormat="1" applyFont="1" applyFill="1" applyBorder="1" applyAlignment="1">
      <alignment horizontal="center" vertical="top"/>
    </xf>
    <xf numFmtId="3" fontId="1" fillId="9" borderId="38" xfId="0" applyNumberFormat="1" applyFont="1" applyFill="1" applyBorder="1" applyAlignment="1">
      <alignment horizontal="center" vertical="top"/>
    </xf>
    <xf numFmtId="3" fontId="1" fillId="8" borderId="60" xfId="0" applyNumberFormat="1" applyFont="1" applyFill="1" applyBorder="1" applyAlignment="1">
      <alignment horizontal="center" vertical="top"/>
    </xf>
    <xf numFmtId="3" fontId="1" fillId="8" borderId="40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4" fillId="9" borderId="41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/>
    </xf>
    <xf numFmtId="3" fontId="1" fillId="8" borderId="8" xfId="0" applyNumberFormat="1" applyFont="1" applyFill="1" applyBorder="1" applyAlignment="1">
      <alignment horizontal="center" vertical="top"/>
    </xf>
    <xf numFmtId="3" fontId="5" fillId="8" borderId="17" xfId="0" applyNumberFormat="1" applyFont="1" applyFill="1" applyBorder="1" applyAlignment="1">
      <alignment horizontal="center" vertical="top"/>
    </xf>
    <xf numFmtId="3" fontId="5" fillId="9" borderId="41" xfId="0" applyNumberFormat="1" applyFont="1" applyFill="1" applyBorder="1" applyAlignment="1">
      <alignment horizontal="center" vertical="top"/>
    </xf>
    <xf numFmtId="3" fontId="5" fillId="8" borderId="69" xfId="0" applyNumberFormat="1" applyFont="1" applyFill="1" applyBorder="1" applyAlignment="1">
      <alignment horizontal="center" vertical="top"/>
    </xf>
    <xf numFmtId="3" fontId="5" fillId="8" borderId="7" xfId="0" applyNumberFormat="1" applyFont="1" applyFill="1" applyBorder="1" applyAlignment="1">
      <alignment horizontal="center" vertical="top"/>
    </xf>
    <xf numFmtId="3" fontId="5" fillId="8" borderId="8" xfId="0" applyNumberFormat="1" applyFont="1" applyFill="1" applyBorder="1" applyAlignment="1">
      <alignment horizontal="center" vertical="top"/>
    </xf>
    <xf numFmtId="3" fontId="4" fillId="9" borderId="17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 vertical="top"/>
    </xf>
    <xf numFmtId="3" fontId="4" fillId="8" borderId="17" xfId="0" applyNumberFormat="1" applyFont="1" applyFill="1" applyBorder="1" applyAlignment="1">
      <alignment horizontal="center" vertical="top"/>
    </xf>
    <xf numFmtId="3" fontId="1" fillId="9" borderId="41" xfId="0" applyNumberFormat="1" applyFont="1" applyFill="1" applyBorder="1" applyAlignment="1">
      <alignment horizontal="center" vertical="top"/>
    </xf>
    <xf numFmtId="3" fontId="1" fillId="8" borderId="69" xfId="0" applyNumberFormat="1" applyFont="1" applyFill="1" applyBorder="1" applyAlignment="1">
      <alignment horizontal="center" vertical="top"/>
    </xf>
    <xf numFmtId="3" fontId="1" fillId="8" borderId="18" xfId="0" applyNumberFormat="1" applyFont="1" applyFill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1" fillId="8" borderId="31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Border="1" applyAlignment="1">
      <alignment horizontal="center" vertical="top"/>
    </xf>
    <xf numFmtId="3" fontId="5" fillId="8" borderId="18" xfId="0" applyNumberFormat="1" applyFont="1" applyFill="1" applyBorder="1" applyAlignment="1">
      <alignment horizontal="center" vertical="top"/>
    </xf>
    <xf numFmtId="3" fontId="1" fillId="8" borderId="7" xfId="0" applyNumberFormat="1" applyFont="1" applyFill="1" applyBorder="1" applyAlignment="1">
      <alignment horizontal="center" vertical="top"/>
    </xf>
    <xf numFmtId="3" fontId="4" fillId="8" borderId="8" xfId="0" applyNumberFormat="1" applyFont="1" applyFill="1" applyBorder="1" applyAlignment="1">
      <alignment horizontal="center" vertical="top"/>
    </xf>
    <xf numFmtId="3" fontId="4" fillId="8" borderId="7" xfId="0" applyNumberFormat="1" applyFont="1" applyFill="1" applyBorder="1" applyAlignment="1">
      <alignment horizontal="center" vertical="top"/>
    </xf>
    <xf numFmtId="3" fontId="1" fillId="9" borderId="17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/>
    </xf>
    <xf numFmtId="3" fontId="4" fillId="0" borderId="69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1" fillId="8" borderId="17" xfId="0" applyNumberFormat="1" applyFont="1" applyFill="1" applyBorder="1" applyAlignment="1">
      <alignment horizontal="center" vertical="top"/>
    </xf>
    <xf numFmtId="3" fontId="2" fillId="8" borderId="69" xfId="0" applyNumberFormat="1" applyFont="1" applyFill="1" applyBorder="1" applyAlignment="1">
      <alignment horizontal="center" vertical="top"/>
    </xf>
    <xf numFmtId="3" fontId="2" fillId="8" borderId="31" xfId="0" applyNumberFormat="1" applyFont="1" applyFill="1" applyBorder="1" applyAlignment="1">
      <alignment horizontal="center" vertical="top"/>
    </xf>
    <xf numFmtId="3" fontId="5" fillId="9" borderId="48" xfId="0" applyNumberFormat="1" applyFont="1" applyFill="1" applyBorder="1" applyAlignment="1">
      <alignment horizontal="center" vertical="top" wrapText="1"/>
    </xf>
    <xf numFmtId="3" fontId="5" fillId="9" borderId="48" xfId="0" applyNumberFormat="1" applyFont="1" applyFill="1" applyBorder="1" applyAlignment="1">
      <alignment horizontal="center" vertical="top"/>
    </xf>
    <xf numFmtId="3" fontId="1" fillId="9" borderId="78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/>
    </xf>
    <xf numFmtId="3" fontId="4" fillId="8" borderId="30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3" fontId="1" fillId="0" borderId="58" xfId="0" applyNumberFormat="1" applyFont="1" applyFill="1" applyBorder="1" applyAlignment="1">
      <alignment horizontal="center" vertical="top"/>
    </xf>
    <xf numFmtId="3" fontId="5" fillId="9" borderId="4" xfId="0" applyNumberFormat="1" applyFont="1" applyFill="1" applyBorder="1" applyAlignment="1">
      <alignment horizontal="center" vertical="top"/>
    </xf>
    <xf numFmtId="3" fontId="5" fillId="9" borderId="73" xfId="0" applyNumberFormat="1" applyFont="1" applyFill="1" applyBorder="1" applyAlignment="1">
      <alignment horizontal="center" vertical="top"/>
    </xf>
    <xf numFmtId="3" fontId="5" fillId="9" borderId="51" xfId="0" applyNumberFormat="1" applyFont="1" applyFill="1" applyBorder="1" applyAlignment="1">
      <alignment horizontal="center" vertical="top"/>
    </xf>
    <xf numFmtId="3" fontId="5" fillId="9" borderId="56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0" borderId="69" xfId="0" applyNumberFormat="1" applyFont="1" applyFill="1" applyBorder="1" applyAlignment="1">
      <alignment horizontal="center" vertical="top"/>
    </xf>
    <xf numFmtId="3" fontId="2" fillId="9" borderId="56" xfId="0" applyNumberFormat="1" applyFont="1" applyFill="1" applyBorder="1" applyAlignment="1">
      <alignment horizontal="center" vertical="top"/>
    </xf>
    <xf numFmtId="3" fontId="2" fillId="9" borderId="51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1" fillId="9" borderId="16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/>
    </xf>
    <xf numFmtId="3" fontId="4" fillId="8" borderId="24" xfId="0" applyNumberFormat="1" applyFont="1" applyFill="1" applyBorder="1" applyAlignment="1">
      <alignment horizontal="center" vertical="top"/>
    </xf>
    <xf numFmtId="3" fontId="2" fillId="2" borderId="23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9" borderId="22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5" fillId="9" borderId="48" xfId="0" applyNumberFormat="1" applyFont="1" applyFill="1" applyBorder="1" applyAlignment="1">
      <alignment horizontal="center" wrapText="1"/>
    </xf>
    <xf numFmtId="3" fontId="5" fillId="9" borderId="48" xfId="0" applyNumberFormat="1" applyFont="1" applyFill="1" applyBorder="1" applyAlignment="1">
      <alignment horizontal="center"/>
    </xf>
    <xf numFmtId="3" fontId="5" fillId="9" borderId="4" xfId="0" applyNumberFormat="1" applyFont="1" applyFill="1" applyBorder="1" applyAlignment="1">
      <alignment horizontal="center"/>
    </xf>
    <xf numFmtId="3" fontId="5" fillId="9" borderId="46" xfId="0" applyNumberFormat="1" applyFont="1" applyFill="1" applyBorder="1" applyAlignment="1">
      <alignment horizontal="center"/>
    </xf>
    <xf numFmtId="3" fontId="5" fillId="9" borderId="45" xfId="0" applyNumberFormat="1" applyFont="1" applyFill="1" applyBorder="1" applyAlignment="1">
      <alignment horizontal="center"/>
    </xf>
    <xf numFmtId="3" fontId="5" fillId="9" borderId="56" xfId="0" applyNumberFormat="1" applyFont="1" applyFill="1" applyBorder="1" applyAlignment="1">
      <alignment horizontal="center"/>
    </xf>
    <xf numFmtId="3" fontId="4" fillId="0" borderId="74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/>
    </xf>
    <xf numFmtId="3" fontId="5" fillId="9" borderId="46" xfId="0" applyNumberFormat="1" applyFont="1" applyFill="1" applyBorder="1" applyAlignment="1">
      <alignment horizontal="center" vertical="top" wrapText="1"/>
    </xf>
    <xf numFmtId="3" fontId="5" fillId="9" borderId="47" xfId="0" applyNumberFormat="1" applyFont="1" applyFill="1" applyBorder="1" applyAlignment="1">
      <alignment horizontal="center" vertical="top"/>
    </xf>
    <xf numFmtId="3" fontId="5" fillId="9" borderId="46" xfId="0" applyNumberFormat="1" applyFont="1" applyFill="1" applyBorder="1" applyAlignment="1">
      <alignment horizontal="center" vertical="top"/>
    </xf>
    <xf numFmtId="3" fontId="5" fillId="9" borderId="45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 wrapText="1"/>
    </xf>
    <xf numFmtId="3" fontId="1" fillId="9" borderId="36" xfId="0" applyNumberFormat="1" applyFont="1" applyFill="1" applyBorder="1" applyAlignment="1">
      <alignment horizontal="center" vertical="top"/>
    </xf>
    <xf numFmtId="3" fontId="1" fillId="5" borderId="29" xfId="0" applyNumberFormat="1" applyFont="1" applyFill="1" applyBorder="1" applyAlignment="1">
      <alignment horizontal="center" vertical="top"/>
    </xf>
    <xf numFmtId="3" fontId="1" fillId="5" borderId="30" xfId="0" applyNumberFormat="1" applyFont="1" applyFill="1" applyBorder="1" applyAlignment="1">
      <alignment horizontal="center" vertical="top"/>
    </xf>
    <xf numFmtId="3" fontId="2" fillId="9" borderId="48" xfId="0" applyNumberFormat="1" applyFont="1" applyFill="1" applyBorder="1" applyAlignment="1">
      <alignment horizontal="center" vertical="top"/>
    </xf>
    <xf numFmtId="3" fontId="2" fillId="9" borderId="4" xfId="0" applyNumberFormat="1" applyFont="1" applyFill="1" applyBorder="1" applyAlignment="1">
      <alignment horizontal="center" vertical="top"/>
    </xf>
    <xf numFmtId="3" fontId="2" fillId="9" borderId="46" xfId="0" applyNumberFormat="1" applyFont="1" applyFill="1" applyBorder="1" applyAlignment="1">
      <alignment horizontal="center" vertical="top"/>
    </xf>
    <xf numFmtId="3" fontId="2" fillId="9" borderId="45" xfId="0" applyNumberFormat="1" applyFont="1" applyFill="1" applyBorder="1" applyAlignment="1">
      <alignment horizontal="center" vertical="top"/>
    </xf>
    <xf numFmtId="3" fontId="4" fillId="0" borderId="74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9" borderId="42" xfId="0" applyNumberFormat="1" applyFont="1" applyFill="1" applyBorder="1" applyAlignment="1">
      <alignment horizontal="center" vertical="top"/>
    </xf>
    <xf numFmtId="3" fontId="4" fillId="0" borderId="69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4" fillId="0" borderId="65" xfId="0" applyNumberFormat="1" applyFont="1" applyBorder="1" applyAlignment="1">
      <alignment horizontal="center" vertical="top"/>
    </xf>
    <xf numFmtId="3" fontId="2" fillId="9" borderId="47" xfId="0" applyNumberFormat="1" applyFont="1" applyFill="1" applyBorder="1" applyAlignment="1">
      <alignment horizontal="center" vertical="top"/>
    </xf>
    <xf numFmtId="3" fontId="1" fillId="9" borderId="42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/>
    </xf>
    <xf numFmtId="3" fontId="5" fillId="2" borderId="23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/>
    </xf>
    <xf numFmtId="3" fontId="2" fillId="3" borderId="23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3" fontId="5" fillId="3" borderId="23" xfId="0" applyNumberFormat="1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/>
    </xf>
    <xf numFmtId="3" fontId="4" fillId="9" borderId="37" xfId="0" applyNumberFormat="1" applyFont="1" applyFill="1" applyBorder="1" applyAlignment="1">
      <alignment horizontal="center" vertical="top"/>
    </xf>
    <xf numFmtId="3" fontId="4" fillId="5" borderId="52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/>
    </xf>
    <xf numFmtId="3" fontId="4" fillId="0" borderId="28" xfId="0" applyNumberFormat="1" applyFont="1" applyFill="1" applyBorder="1" applyAlignment="1">
      <alignment horizontal="center" vertical="top"/>
    </xf>
    <xf numFmtId="3" fontId="4" fillId="9" borderId="38" xfId="0" applyNumberFormat="1" applyFont="1" applyFill="1" applyBorder="1" applyAlignment="1">
      <alignment horizontal="center" vertical="top"/>
    </xf>
    <xf numFmtId="3" fontId="4" fillId="5" borderId="3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/>
    </xf>
    <xf numFmtId="3" fontId="4" fillId="5" borderId="61" xfId="0" applyNumberFormat="1" applyFont="1" applyFill="1" applyBorder="1" applyAlignment="1">
      <alignment horizontal="center" vertical="top"/>
    </xf>
    <xf numFmtId="3" fontId="4" fillId="5" borderId="8" xfId="0" applyNumberFormat="1" applyFont="1" applyFill="1" applyBorder="1" applyAlignment="1">
      <alignment horizontal="center" vertical="top"/>
    </xf>
    <xf numFmtId="3" fontId="5" fillId="9" borderId="67" xfId="0" applyNumberFormat="1" applyFont="1" applyFill="1" applyBorder="1" applyAlignment="1">
      <alignment horizontal="center" vertical="top"/>
    </xf>
    <xf numFmtId="3" fontId="5" fillId="9" borderId="68" xfId="0" applyNumberFormat="1" applyFont="1" applyFill="1" applyBorder="1" applyAlignment="1">
      <alignment horizontal="center" vertical="top"/>
    </xf>
    <xf numFmtId="3" fontId="5" fillId="9" borderId="26" xfId="0" applyNumberFormat="1" applyFont="1" applyFill="1" applyBorder="1" applyAlignment="1">
      <alignment horizontal="center" vertical="top"/>
    </xf>
    <xf numFmtId="3" fontId="5" fillId="9" borderId="2" xfId="0" applyNumberFormat="1" applyFont="1" applyFill="1" applyBorder="1" applyAlignment="1">
      <alignment horizontal="center" vertical="top"/>
    </xf>
    <xf numFmtId="3" fontId="4" fillId="5" borderId="62" xfId="0" applyNumberFormat="1" applyFont="1" applyFill="1" applyBorder="1" applyAlignment="1">
      <alignment horizontal="center" vertical="top"/>
    </xf>
    <xf numFmtId="3" fontId="4" fillId="5" borderId="60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/>
    </xf>
    <xf numFmtId="3" fontId="4" fillId="5" borderId="17" xfId="0" applyNumberFormat="1" applyFont="1" applyFill="1" applyBorder="1" applyAlignment="1">
      <alignment horizontal="center" vertical="top"/>
    </xf>
    <xf numFmtId="3" fontId="4" fillId="5" borderId="18" xfId="0" applyNumberFormat="1" applyFont="1" applyFill="1" applyBorder="1" applyAlignment="1">
      <alignment horizontal="center" vertical="top"/>
    </xf>
    <xf numFmtId="3" fontId="4" fillId="5" borderId="7" xfId="0" applyNumberFormat="1" applyFont="1" applyFill="1" applyBorder="1" applyAlignment="1">
      <alignment horizontal="center" vertical="top"/>
    </xf>
    <xf numFmtId="3" fontId="4" fillId="5" borderId="63" xfId="0" applyNumberFormat="1" applyFont="1" applyFill="1" applyBorder="1" applyAlignment="1">
      <alignment horizontal="center" vertical="top"/>
    </xf>
    <xf numFmtId="3" fontId="4" fillId="9" borderId="63" xfId="0" applyNumberFormat="1" applyFont="1" applyFill="1" applyBorder="1" applyAlignment="1">
      <alignment horizontal="center" vertical="top"/>
    </xf>
    <xf numFmtId="3" fontId="4" fillId="5" borderId="43" xfId="0" applyNumberFormat="1" applyFont="1" applyFill="1" applyBorder="1" applyAlignment="1">
      <alignment horizontal="center" vertical="top"/>
    </xf>
    <xf numFmtId="3" fontId="4" fillId="5" borderId="15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5" borderId="31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 wrapText="1"/>
    </xf>
    <xf numFmtId="3" fontId="4" fillId="5" borderId="27" xfId="0" applyNumberFormat="1" applyFont="1" applyFill="1" applyBorder="1" applyAlignment="1">
      <alignment horizontal="center" vertical="top"/>
    </xf>
    <xf numFmtId="3" fontId="4" fillId="5" borderId="28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68" xfId="0" applyNumberFormat="1" applyFont="1" applyFill="1" applyBorder="1" applyAlignment="1">
      <alignment horizontal="center" vertical="top"/>
    </xf>
    <xf numFmtId="3" fontId="4" fillId="5" borderId="26" xfId="0" applyNumberFormat="1" applyFont="1" applyFill="1" applyBorder="1" applyAlignment="1">
      <alignment horizontal="center" vertical="top"/>
    </xf>
    <xf numFmtId="3" fontId="5" fillId="9" borderId="62" xfId="0" applyNumberFormat="1" applyFont="1" applyFill="1" applyBorder="1" applyAlignment="1">
      <alignment horizontal="center" vertical="top" wrapText="1"/>
    </xf>
    <xf numFmtId="3" fontId="2" fillId="9" borderId="38" xfId="0" applyNumberFormat="1" applyFont="1" applyFill="1" applyBorder="1" applyAlignment="1">
      <alignment horizontal="center" vertical="top"/>
    </xf>
    <xf numFmtId="3" fontId="2" fillId="9" borderId="27" xfId="0" applyNumberFormat="1" applyFont="1" applyFill="1" applyBorder="1" applyAlignment="1">
      <alignment horizontal="center" vertical="top"/>
    </xf>
    <xf numFmtId="3" fontId="2" fillId="9" borderId="60" xfId="0" applyNumberFormat="1" applyFont="1" applyFill="1" applyBorder="1" applyAlignment="1">
      <alignment horizontal="center" vertical="top"/>
    </xf>
    <xf numFmtId="3" fontId="2" fillId="9" borderId="28" xfId="0" applyNumberFormat="1" applyFont="1" applyFill="1" applyBorder="1" applyAlignment="1">
      <alignment horizontal="center" vertical="top"/>
    </xf>
    <xf numFmtId="3" fontId="4" fillId="5" borderId="74" xfId="0" applyNumberFormat="1" applyFont="1" applyFill="1" applyBorder="1" applyAlignment="1">
      <alignment horizontal="center" vertical="top"/>
    </xf>
    <xf numFmtId="3" fontId="4" fillId="8" borderId="33" xfId="0" applyNumberFormat="1" applyFont="1" applyFill="1" applyBorder="1" applyAlignment="1">
      <alignment horizontal="center" vertical="top"/>
    </xf>
    <xf numFmtId="3" fontId="4" fillId="8" borderId="68" xfId="0" applyNumberFormat="1" applyFont="1" applyFill="1" applyBorder="1" applyAlignment="1">
      <alignment horizontal="center" vertical="top"/>
    </xf>
    <xf numFmtId="3" fontId="4" fillId="8" borderId="53" xfId="0" applyNumberFormat="1" applyFont="1" applyFill="1" applyBorder="1" applyAlignment="1">
      <alignment horizontal="center" vertical="top"/>
    </xf>
    <xf numFmtId="3" fontId="4" fillId="5" borderId="67" xfId="0" applyNumberFormat="1" applyFont="1" applyFill="1" applyBorder="1" applyAlignment="1">
      <alignment horizontal="center" vertical="top" wrapText="1"/>
    </xf>
    <xf numFmtId="3" fontId="4" fillId="5" borderId="33" xfId="0" applyNumberFormat="1" applyFont="1" applyFill="1" applyBorder="1" applyAlignment="1">
      <alignment horizontal="center" vertical="top"/>
    </xf>
    <xf numFmtId="3" fontId="4" fillId="5" borderId="62" xfId="0" applyNumberFormat="1" applyFont="1" applyFill="1" applyBorder="1" applyAlignment="1">
      <alignment horizontal="center" vertical="top" wrapText="1"/>
    </xf>
    <xf numFmtId="3" fontId="4" fillId="5" borderId="72" xfId="0" applyNumberFormat="1" applyFont="1" applyFill="1" applyBorder="1" applyAlignment="1">
      <alignment horizontal="center" vertical="top"/>
    </xf>
    <xf numFmtId="3" fontId="2" fillId="9" borderId="72" xfId="0" applyNumberFormat="1" applyFont="1" applyFill="1" applyBorder="1" applyAlignment="1">
      <alignment horizontal="center" vertical="top"/>
    </xf>
    <xf numFmtId="3" fontId="2" fillId="9" borderId="40" xfId="0" applyNumberFormat="1" applyFont="1" applyFill="1" applyBorder="1" applyAlignment="1">
      <alignment horizontal="center" vertical="top"/>
    </xf>
    <xf numFmtId="3" fontId="2" fillId="9" borderId="6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/>
    </xf>
    <xf numFmtId="3" fontId="5" fillId="9" borderId="67" xfId="0" applyNumberFormat="1" applyFont="1" applyFill="1" applyBorder="1" applyAlignment="1">
      <alignment horizontal="center" vertical="top" wrapText="1"/>
    </xf>
    <xf numFmtId="3" fontId="5" fillId="9" borderId="35" xfId="0" applyNumberFormat="1" applyFont="1" applyFill="1" applyBorder="1" applyAlignment="1">
      <alignment horizontal="center" vertical="top"/>
    </xf>
    <xf numFmtId="3" fontId="5" fillId="9" borderId="37" xfId="0" applyNumberFormat="1" applyFont="1" applyFill="1" applyBorder="1" applyAlignment="1">
      <alignment horizontal="center" vertical="top"/>
    </xf>
    <xf numFmtId="3" fontId="5" fillId="9" borderId="6" xfId="0" applyNumberFormat="1" applyFont="1" applyFill="1" applyBorder="1" applyAlignment="1">
      <alignment horizontal="center" vertical="top"/>
    </xf>
    <xf numFmtId="3" fontId="5" fillId="9" borderId="28" xfId="0" applyNumberFormat="1" applyFont="1" applyFill="1" applyBorder="1" applyAlignment="1">
      <alignment horizontal="center" vertical="top"/>
    </xf>
    <xf numFmtId="3" fontId="2" fillId="9" borderId="49" xfId="0" applyNumberFormat="1" applyFont="1" applyFill="1" applyBorder="1" applyAlignment="1">
      <alignment horizontal="center" vertical="top"/>
    </xf>
    <xf numFmtId="3" fontId="2" fillId="9" borderId="73" xfId="0" applyNumberFormat="1" applyFont="1" applyFill="1" applyBorder="1" applyAlignment="1">
      <alignment horizontal="center" vertical="top"/>
    </xf>
    <xf numFmtId="3" fontId="1" fillId="9" borderId="22" xfId="0" applyNumberFormat="1" applyFont="1" applyFill="1" applyBorder="1" applyAlignment="1">
      <alignment horizontal="center" vertical="top"/>
    </xf>
    <xf numFmtId="3" fontId="1" fillId="5" borderId="3" xfId="0" applyNumberFormat="1" applyFont="1" applyFill="1" applyBorder="1" applyAlignment="1">
      <alignment horizontal="center" vertical="top"/>
    </xf>
    <xf numFmtId="3" fontId="1" fillId="5" borderId="66" xfId="0" applyNumberFormat="1" applyFont="1" applyFill="1" applyBorder="1" applyAlignment="1">
      <alignment horizontal="center" vertical="top"/>
    </xf>
    <xf numFmtId="3" fontId="1" fillId="5" borderId="39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/>
    </xf>
    <xf numFmtId="3" fontId="1" fillId="5" borderId="54" xfId="0" applyNumberFormat="1" applyFont="1" applyFill="1" applyBorder="1" applyAlignment="1">
      <alignment horizontal="center" vertical="top"/>
    </xf>
    <xf numFmtId="3" fontId="1" fillId="5" borderId="61" xfId="0" applyNumberFormat="1" applyFont="1" applyFill="1" applyBorder="1" applyAlignment="1">
      <alignment horizontal="center" vertical="top"/>
    </xf>
    <xf numFmtId="3" fontId="1" fillId="8" borderId="10" xfId="0" applyNumberFormat="1" applyFont="1" applyFill="1" applyBorder="1" applyAlignment="1">
      <alignment horizontal="center" vertical="top"/>
    </xf>
    <xf numFmtId="3" fontId="4" fillId="0" borderId="78" xfId="0" applyNumberFormat="1" applyFont="1" applyFill="1" applyBorder="1" applyAlignment="1">
      <alignment horizontal="center" vertical="top" wrapText="1"/>
    </xf>
    <xf numFmtId="3" fontId="1" fillId="5" borderId="59" xfId="0" applyNumberFormat="1" applyFont="1" applyFill="1" applyBorder="1" applyAlignment="1">
      <alignment horizontal="center" vertical="top"/>
    </xf>
    <xf numFmtId="3" fontId="1" fillId="5" borderId="77" xfId="0" applyNumberFormat="1" applyFont="1" applyFill="1" applyBorder="1" applyAlignment="1">
      <alignment horizontal="center" vertical="top"/>
    </xf>
    <xf numFmtId="3" fontId="4" fillId="8" borderId="60" xfId="0" applyNumberFormat="1" applyFont="1" applyFill="1" applyBorder="1" applyAlignment="1">
      <alignment horizontal="center" vertical="top"/>
    </xf>
    <xf numFmtId="3" fontId="4" fillId="8" borderId="4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 wrapText="1"/>
    </xf>
    <xf numFmtId="3" fontId="5" fillId="9" borderId="49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 wrapText="1"/>
    </xf>
    <xf numFmtId="3" fontId="4" fillId="0" borderId="58" xfId="0" applyNumberFormat="1" applyFont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horizontal="center" vertical="top"/>
    </xf>
    <xf numFmtId="3" fontId="5" fillId="9" borderId="57" xfId="0" applyNumberFormat="1" applyFont="1" applyFill="1" applyBorder="1" applyAlignment="1">
      <alignment horizontal="center" vertical="top" wrapText="1"/>
    </xf>
    <xf numFmtId="3" fontId="5" fillId="9" borderId="20" xfId="0" applyNumberFormat="1" applyFont="1" applyFill="1" applyBorder="1" applyAlignment="1">
      <alignment horizontal="center" vertical="top"/>
    </xf>
    <xf numFmtId="3" fontId="5" fillId="9" borderId="44" xfId="0" applyNumberFormat="1" applyFont="1" applyFill="1" applyBorder="1" applyAlignment="1">
      <alignment horizontal="center" vertical="top"/>
    </xf>
    <xf numFmtId="3" fontId="5" fillId="9" borderId="19" xfId="0" applyNumberFormat="1" applyFont="1" applyFill="1" applyBorder="1" applyAlignment="1">
      <alignment horizontal="center" vertical="top"/>
    </xf>
    <xf numFmtId="3" fontId="2" fillId="9" borderId="71" xfId="0" applyNumberFormat="1" applyFont="1" applyFill="1" applyBorder="1" applyAlignment="1">
      <alignment horizontal="center" vertical="top"/>
    </xf>
    <xf numFmtId="3" fontId="2" fillId="9" borderId="50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horizontal="center" vertical="top"/>
    </xf>
    <xf numFmtId="3" fontId="5" fillId="2" borderId="12" xfId="0" applyNumberFormat="1" applyFont="1" applyFill="1" applyBorder="1" applyAlignment="1">
      <alignment horizontal="center" vertical="top"/>
    </xf>
    <xf numFmtId="3" fontId="5" fillId="2" borderId="11" xfId="0" applyNumberFormat="1" applyFont="1" applyFill="1" applyBorder="1" applyAlignment="1">
      <alignment horizontal="center" vertical="top"/>
    </xf>
    <xf numFmtId="3" fontId="5" fillId="2" borderId="55" xfId="0" applyNumberFormat="1" applyFont="1" applyFill="1" applyBorder="1" applyAlignment="1">
      <alignment horizontal="center" vertical="top"/>
    </xf>
    <xf numFmtId="3" fontId="5" fillId="2" borderId="79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vertical="top"/>
    </xf>
    <xf numFmtId="3" fontId="5" fillId="9" borderId="56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3" fontId="1" fillId="8" borderId="13" xfId="0" applyNumberFormat="1" applyFont="1" applyFill="1" applyBorder="1" applyAlignment="1">
      <alignment horizontal="center" vertical="top"/>
    </xf>
    <xf numFmtId="3" fontId="1" fillId="8" borderId="39" xfId="0" applyNumberFormat="1" applyFont="1" applyFill="1" applyBorder="1" applyAlignment="1">
      <alignment horizontal="center" vertical="top"/>
    </xf>
    <xf numFmtId="3" fontId="1" fillId="8" borderId="24" xfId="0" applyNumberFormat="1" applyFont="1" applyFill="1" applyBorder="1" applyAlignment="1">
      <alignment horizontal="center" vertical="top"/>
    </xf>
    <xf numFmtId="3" fontId="1" fillId="8" borderId="43" xfId="0" applyNumberFormat="1" applyFont="1" applyFill="1" applyBorder="1" applyAlignment="1">
      <alignment horizontal="center" vertical="top"/>
    </xf>
    <xf numFmtId="3" fontId="2" fillId="9" borderId="56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center" vertical="top"/>
    </xf>
    <xf numFmtId="3" fontId="2" fillId="2" borderId="25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5" borderId="13" xfId="0" applyNumberFormat="1" applyFont="1" applyFill="1" applyBorder="1" applyAlignment="1">
      <alignment horizontal="center" vertical="top"/>
    </xf>
    <xf numFmtId="3" fontId="1" fillId="5" borderId="74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horizontal="center" vertical="top"/>
    </xf>
    <xf numFmtId="3" fontId="1" fillId="5" borderId="31" xfId="0" applyNumberFormat="1" applyFont="1" applyFill="1" applyBorder="1" applyAlignment="1">
      <alignment horizontal="center" vertical="top"/>
    </xf>
    <xf numFmtId="3" fontId="1" fillId="8" borderId="5" xfId="0" applyNumberFormat="1" applyFont="1" applyFill="1" applyBorder="1" applyAlignment="1">
      <alignment horizontal="center" vertical="top"/>
    </xf>
    <xf numFmtId="3" fontId="1" fillId="8" borderId="15" xfId="0" applyNumberFormat="1" applyFont="1" applyFill="1" applyBorder="1" applyAlignment="1">
      <alignment horizontal="center" vertical="top"/>
    </xf>
    <xf numFmtId="3" fontId="1" fillId="8" borderId="63" xfId="0" applyNumberFormat="1" applyFont="1" applyFill="1" applyBorder="1" applyAlignment="1">
      <alignment horizontal="center" vertical="top"/>
    </xf>
    <xf numFmtId="3" fontId="2" fillId="9" borderId="48" xfId="0" applyNumberFormat="1" applyFont="1" applyFill="1" applyBorder="1" applyAlignment="1">
      <alignment horizontal="center" vertical="top" wrapText="1"/>
    </xf>
    <xf numFmtId="3" fontId="1" fillId="0" borderId="59" xfId="0" applyNumberFormat="1" applyFont="1" applyBorder="1" applyAlignment="1">
      <alignment horizontal="center" vertical="top"/>
    </xf>
    <xf numFmtId="3" fontId="1" fillId="9" borderId="9" xfId="0" applyNumberFormat="1" applyFont="1" applyFill="1" applyBorder="1" applyAlignment="1">
      <alignment horizontal="center" vertical="top"/>
    </xf>
    <xf numFmtId="3" fontId="1" fillId="5" borderId="64" xfId="0" applyNumberFormat="1" applyFont="1" applyFill="1" applyBorder="1" applyAlignment="1">
      <alignment horizontal="center" vertical="top"/>
    </xf>
    <xf numFmtId="3" fontId="2" fillId="9" borderId="27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2" fillId="2" borderId="12" xfId="0" applyNumberFormat="1" applyFont="1" applyFill="1" applyBorder="1" applyAlignment="1">
      <alignment horizontal="center" vertical="top"/>
    </xf>
    <xf numFmtId="3" fontId="2" fillId="2" borderId="79" xfId="0" applyNumberFormat="1" applyFont="1" applyFill="1" applyBorder="1" applyAlignment="1">
      <alignment horizontal="center" vertical="top"/>
    </xf>
    <xf numFmtId="3" fontId="2" fillId="3" borderId="20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center" vertical="top"/>
    </xf>
    <xf numFmtId="3" fontId="2" fillId="3" borderId="21" xfId="0" applyNumberFormat="1" applyFont="1" applyFill="1" applyBorder="1" applyAlignment="1">
      <alignment horizontal="center" vertical="top"/>
    </xf>
    <xf numFmtId="3" fontId="2" fillId="3" borderId="55" xfId="0" applyNumberFormat="1" applyFont="1" applyFill="1" applyBorder="1" applyAlignment="1">
      <alignment horizontal="center" vertical="top"/>
    </xf>
    <xf numFmtId="3" fontId="2" fillId="4" borderId="50" xfId="0" applyNumberFormat="1" applyFont="1" applyFill="1" applyBorder="1" applyAlignment="1">
      <alignment horizontal="center" vertical="top"/>
    </xf>
    <xf numFmtId="3" fontId="2" fillId="4" borderId="20" xfId="0" applyNumberFormat="1" applyFont="1" applyFill="1" applyBorder="1" applyAlignment="1">
      <alignment horizontal="center" vertical="top"/>
    </xf>
    <xf numFmtId="3" fontId="2" fillId="4" borderId="19" xfId="0" applyNumberFormat="1" applyFont="1" applyFill="1" applyBorder="1" applyAlignment="1">
      <alignment horizontal="center" vertical="top"/>
    </xf>
    <xf numFmtId="3" fontId="2" fillId="4" borderId="21" xfId="0" applyNumberFormat="1" applyFont="1" applyFill="1" applyBorder="1" applyAlignment="1">
      <alignment horizontal="center" vertical="top"/>
    </xf>
    <xf numFmtId="3" fontId="2" fillId="4" borderId="44" xfId="0" applyNumberFormat="1" applyFont="1" applyFill="1" applyBorder="1" applyAlignment="1">
      <alignment horizontal="center" vertical="top"/>
    </xf>
    <xf numFmtId="3" fontId="2" fillId="8" borderId="3" xfId="0" applyNumberFormat="1" applyFont="1" applyFill="1" applyBorder="1" applyAlignment="1">
      <alignment horizontal="center" vertical="top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top" wrapText="1"/>
    </xf>
    <xf numFmtId="3" fontId="5" fillId="4" borderId="10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2" fillId="4" borderId="55" xfId="0" applyNumberFormat="1" applyFont="1" applyFill="1" applyBorder="1" applyAlignment="1">
      <alignment horizontal="center" vertical="top" wrapText="1"/>
    </xf>
    <xf numFmtId="3" fontId="5" fillId="4" borderId="23" xfId="0" applyNumberFormat="1" applyFont="1" applyFill="1" applyBorder="1" applyAlignment="1">
      <alignment horizontal="center" vertical="top" wrapText="1"/>
    </xf>
    <xf numFmtId="3" fontId="1" fillId="5" borderId="5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1" fillId="5" borderId="3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2" fillId="9" borderId="55" xfId="0" applyNumberFormat="1" applyFont="1" applyFill="1" applyBorder="1" applyAlignment="1">
      <alignment horizontal="center" vertical="top" wrapText="1"/>
    </xf>
    <xf numFmtId="3" fontId="5" fillId="9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textRotation="90" wrapText="1"/>
    </xf>
    <xf numFmtId="3" fontId="1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49" fontId="2" fillId="8" borderId="0" xfId="0" applyNumberFormat="1" applyFont="1" applyFill="1" applyBorder="1" applyAlignment="1">
      <alignment horizontal="center" vertical="top"/>
    </xf>
    <xf numFmtId="49" fontId="2" fillId="8" borderId="0" xfId="0" applyNumberFormat="1" applyFont="1" applyFill="1" applyBorder="1" applyAlignment="1">
      <alignment horizontal="right" vertical="top"/>
    </xf>
    <xf numFmtId="1" fontId="2" fillId="8" borderId="0" xfId="0" applyNumberFormat="1" applyFont="1" applyFill="1" applyBorder="1" applyAlignment="1">
      <alignment horizontal="center" vertical="top"/>
    </xf>
    <xf numFmtId="3" fontId="4" fillId="8" borderId="3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2" borderId="55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49" fontId="2" fillId="2" borderId="14" xfId="0" applyNumberFormat="1" applyFont="1" applyFill="1" applyBorder="1" applyAlignment="1">
      <alignment vertical="top"/>
    </xf>
    <xf numFmtId="49" fontId="2" fillId="2" borderId="76" xfId="0" applyNumberFormat="1" applyFont="1" applyFill="1" applyBorder="1" applyAlignment="1">
      <alignment vertical="top"/>
    </xf>
    <xf numFmtId="3" fontId="2" fillId="5" borderId="0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/>
    </xf>
    <xf numFmtId="3" fontId="1" fillId="0" borderId="61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3" fontId="4" fillId="5" borderId="22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16" xfId="0" applyNumberFormat="1" applyFont="1" applyBorder="1" applyAlignment="1">
      <alignment horizontal="left" vertical="top"/>
    </xf>
    <xf numFmtId="3" fontId="1" fillId="0" borderId="3" xfId="0" applyNumberFormat="1" applyFont="1" applyBorder="1" applyAlignment="1">
      <alignment horizontal="center" vertical="top"/>
    </xf>
    <xf numFmtId="3" fontId="4" fillId="5" borderId="41" xfId="0" applyNumberFormat="1" applyFont="1" applyFill="1" applyBorder="1" applyAlignment="1">
      <alignment horizontal="center" vertical="top"/>
    </xf>
    <xf numFmtId="3" fontId="1" fillId="8" borderId="68" xfId="0" applyNumberFormat="1" applyFont="1" applyFill="1" applyBorder="1" applyAlignment="1">
      <alignment horizontal="center" vertical="top"/>
    </xf>
    <xf numFmtId="3" fontId="1" fillId="8" borderId="53" xfId="0" applyNumberFormat="1" applyFont="1" applyFill="1" applyBorder="1" applyAlignment="1">
      <alignment horizontal="center" vertical="top"/>
    </xf>
    <xf numFmtId="3" fontId="1" fillId="8" borderId="2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3" fontId="1" fillId="8" borderId="6" xfId="0" applyNumberFormat="1" applyFont="1" applyFill="1" applyBorder="1" applyAlignment="1">
      <alignment horizontal="center" vertical="top"/>
    </xf>
    <xf numFmtId="3" fontId="1" fillId="0" borderId="18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 wrapText="1"/>
    </xf>
    <xf numFmtId="3" fontId="4" fillId="8" borderId="38" xfId="0" applyNumberFormat="1" applyFont="1" applyFill="1" applyBorder="1" applyAlignment="1">
      <alignment horizontal="center" vertical="top"/>
    </xf>
    <xf numFmtId="3" fontId="4" fillId="8" borderId="27" xfId="0" applyNumberFormat="1" applyFont="1" applyFill="1" applyBorder="1" applyAlignment="1">
      <alignment horizontal="center" vertical="top"/>
    </xf>
    <xf numFmtId="3" fontId="5" fillId="9" borderId="38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3" fontId="4" fillId="5" borderId="18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/>
    </xf>
    <xf numFmtId="3" fontId="1" fillId="0" borderId="40" xfId="0" applyNumberFormat="1" applyFont="1" applyBorder="1" applyAlignment="1">
      <alignment horizontal="center" vertical="top"/>
    </xf>
    <xf numFmtId="3" fontId="1" fillId="0" borderId="78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 wrapText="1"/>
    </xf>
    <xf numFmtId="3" fontId="5" fillId="9" borderId="51" xfId="0" applyNumberFormat="1" applyFont="1" applyFill="1" applyBorder="1" applyAlignment="1">
      <alignment horizontal="center" vertical="top" wrapText="1"/>
    </xf>
    <xf numFmtId="3" fontId="5" fillId="5" borderId="57" xfId="0" applyNumberFormat="1" applyFont="1" applyFill="1" applyBorder="1" applyAlignment="1">
      <alignment horizontal="center" vertical="top"/>
    </xf>
    <xf numFmtId="3" fontId="5" fillId="5" borderId="19" xfId="0" applyNumberFormat="1" applyFont="1" applyFill="1" applyBorder="1" applyAlignment="1">
      <alignment horizontal="center" vertical="top"/>
    </xf>
    <xf numFmtId="3" fontId="5" fillId="5" borderId="44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 vertical="top" wrapText="1"/>
    </xf>
    <xf numFmtId="3" fontId="5" fillId="5" borderId="13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 vertical="top" textRotation="180" wrapText="1"/>
    </xf>
    <xf numFmtId="3" fontId="5" fillId="0" borderId="24" xfId="0" applyNumberFormat="1" applyFont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/>
    </xf>
    <xf numFmtId="3" fontId="1" fillId="0" borderId="4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horizontal="left" vertical="top" wrapText="1"/>
    </xf>
    <xf numFmtId="3" fontId="4" fillId="0" borderId="58" xfId="0" applyNumberFormat="1" applyFont="1" applyFill="1" applyBorder="1" applyAlignment="1">
      <alignment horizontal="center" vertical="top" wrapText="1"/>
    </xf>
    <xf numFmtId="3" fontId="4" fillId="5" borderId="2" xfId="0" applyNumberFormat="1" applyFont="1" applyFill="1" applyBorder="1" applyAlignment="1">
      <alignment horizontal="center" vertical="top"/>
    </xf>
    <xf numFmtId="3" fontId="5" fillId="9" borderId="52" xfId="0" applyNumberFormat="1" applyFont="1" applyFill="1" applyBorder="1" applyAlignment="1">
      <alignment horizontal="center" vertical="top"/>
    </xf>
    <xf numFmtId="3" fontId="1" fillId="5" borderId="40" xfId="0" applyNumberFormat="1" applyFont="1" applyFill="1" applyBorder="1" applyAlignment="1">
      <alignment horizontal="center" vertical="top"/>
    </xf>
    <xf numFmtId="3" fontId="5" fillId="9" borderId="2" xfId="0" applyNumberFormat="1" applyFont="1" applyFill="1" applyBorder="1" applyAlignment="1">
      <alignment horizontal="center" vertical="top" wrapText="1"/>
    </xf>
    <xf numFmtId="3" fontId="5" fillId="0" borderId="68" xfId="0" applyNumberFormat="1" applyFont="1" applyBorder="1" applyAlignment="1">
      <alignment horizontal="center" vertical="top"/>
    </xf>
    <xf numFmtId="3" fontId="1" fillId="5" borderId="18" xfId="0" applyNumberFormat="1" applyFont="1" applyFill="1" applyBorder="1" applyAlignment="1">
      <alignment vertical="top"/>
    </xf>
    <xf numFmtId="3" fontId="5" fillId="9" borderId="6" xfId="0" applyNumberFormat="1" applyFont="1" applyFill="1" applyBorder="1" applyAlignment="1">
      <alignment horizontal="center" vertical="top" wrapText="1"/>
    </xf>
    <xf numFmtId="3" fontId="5" fillId="9" borderId="60" xfId="0" applyNumberFormat="1" applyFont="1" applyFill="1" applyBorder="1" applyAlignment="1">
      <alignment horizontal="center" vertical="top"/>
    </xf>
    <xf numFmtId="3" fontId="5" fillId="5" borderId="17" xfId="0" applyNumberFormat="1" applyFont="1" applyFill="1" applyBorder="1" applyAlignment="1">
      <alignment horizontal="left" vertical="top" wrapText="1"/>
    </xf>
    <xf numFmtId="3" fontId="2" fillId="6" borderId="46" xfId="0" applyNumberFormat="1" applyFont="1" applyFill="1" applyBorder="1" applyAlignment="1">
      <alignment vertical="top"/>
    </xf>
    <xf numFmtId="3" fontId="2" fillId="0" borderId="19" xfId="0" applyNumberFormat="1" applyFont="1" applyFill="1" applyBorder="1" applyAlignment="1">
      <alignment horizontal="center" vertical="top"/>
    </xf>
    <xf numFmtId="3" fontId="5" fillId="8" borderId="13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/>
    </xf>
    <xf numFmtId="3" fontId="2" fillId="6" borderId="56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/>
    </xf>
    <xf numFmtId="3" fontId="1" fillId="5" borderId="27" xfId="0" applyNumberFormat="1" applyFont="1" applyFill="1" applyBorder="1" applyAlignment="1">
      <alignment horizontal="center" vertical="top"/>
    </xf>
    <xf numFmtId="3" fontId="1" fillId="5" borderId="43" xfId="0" applyNumberFormat="1" applyFont="1" applyFill="1" applyBorder="1" applyAlignment="1">
      <alignment horizontal="center" vertical="top"/>
    </xf>
    <xf numFmtId="3" fontId="1" fillId="5" borderId="7" xfId="0" applyNumberFormat="1" applyFont="1" applyFill="1" applyBorder="1" applyAlignment="1">
      <alignment horizontal="center" vertical="top"/>
    </xf>
    <xf numFmtId="3" fontId="1" fillId="8" borderId="16" xfId="0" applyNumberFormat="1" applyFont="1" applyFill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 wrapText="1"/>
    </xf>
    <xf numFmtId="3" fontId="2" fillId="5" borderId="29" xfId="0" applyNumberFormat="1" applyFont="1" applyFill="1" applyBorder="1" applyAlignment="1">
      <alignment vertical="top" wrapText="1"/>
    </xf>
    <xf numFmtId="3" fontId="2" fillId="0" borderId="66" xfId="0" applyNumberFormat="1" applyFont="1" applyBorder="1" applyAlignment="1">
      <alignment horizontal="center" vertical="top"/>
    </xf>
    <xf numFmtId="3" fontId="1" fillId="5" borderId="16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vertical="top" wrapText="1"/>
    </xf>
    <xf numFmtId="3" fontId="1" fillId="5" borderId="18" xfId="0" applyNumberFormat="1" applyFont="1" applyFill="1" applyBorder="1" applyAlignment="1">
      <alignment vertical="top" wrapText="1"/>
    </xf>
    <xf numFmtId="3" fontId="2" fillId="5" borderId="61" xfId="0" applyNumberFormat="1" applyFont="1" applyFill="1" applyBorder="1" applyAlignment="1">
      <alignment horizontal="center" vertical="top"/>
    </xf>
    <xf numFmtId="3" fontId="1" fillId="8" borderId="69" xfId="0" applyNumberFormat="1" applyFont="1" applyFill="1" applyBorder="1" applyAlignment="1">
      <alignment horizontal="center" vertical="top" wrapText="1"/>
    </xf>
    <xf numFmtId="3" fontId="1" fillId="8" borderId="18" xfId="0" applyNumberFormat="1" applyFont="1" applyFill="1" applyBorder="1" applyAlignment="1">
      <alignment horizontal="center" vertical="top" wrapText="1"/>
    </xf>
    <xf numFmtId="3" fontId="1" fillId="8" borderId="31" xfId="0" applyNumberFormat="1" applyFont="1" applyFill="1" applyBorder="1" applyAlignment="1">
      <alignment horizontal="center" vertical="top" wrapText="1"/>
    </xf>
    <xf numFmtId="3" fontId="1" fillId="8" borderId="8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Fill="1" applyAlignment="1">
      <alignment vertical="top"/>
    </xf>
    <xf numFmtId="3" fontId="4" fillId="5" borderId="0" xfId="0" applyNumberFormat="1" applyFont="1" applyFill="1" applyAlignment="1">
      <alignment vertical="top"/>
    </xf>
    <xf numFmtId="3" fontId="4" fillId="0" borderId="56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center" vertical="top"/>
    </xf>
    <xf numFmtId="3" fontId="5" fillId="5" borderId="41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3" fontId="5" fillId="0" borderId="69" xfId="0" applyNumberFormat="1" applyFont="1" applyFill="1" applyBorder="1" applyAlignment="1">
      <alignment horizontal="center" vertical="top" wrapText="1"/>
    </xf>
    <xf numFmtId="3" fontId="5" fillId="0" borderId="69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/>
    </xf>
    <xf numFmtId="3" fontId="5" fillId="0" borderId="27" xfId="0" applyNumberFormat="1" applyFont="1" applyBorder="1" applyAlignment="1">
      <alignment horizontal="center" vertical="top"/>
    </xf>
    <xf numFmtId="3" fontId="5" fillId="0" borderId="58" xfId="0" applyNumberFormat="1" applyFont="1" applyBorder="1" applyAlignment="1">
      <alignment horizontal="center" vertical="top"/>
    </xf>
    <xf numFmtId="3" fontId="5" fillId="8" borderId="8" xfId="0" applyNumberFormat="1" applyFont="1" applyFill="1" applyBorder="1" applyAlignment="1">
      <alignment horizontal="center" vertical="top" wrapText="1"/>
    </xf>
    <xf numFmtId="3" fontId="4" fillId="0" borderId="40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center" textRotation="90"/>
    </xf>
    <xf numFmtId="3" fontId="1" fillId="0" borderId="45" xfId="0" applyNumberFormat="1" applyFont="1" applyBorder="1" applyAlignment="1">
      <alignment horizontal="center" vertical="center" textRotation="90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textRotation="90" wrapText="1"/>
    </xf>
    <xf numFmtId="3" fontId="5" fillId="2" borderId="12" xfId="0" applyNumberFormat="1" applyFont="1" applyFill="1" applyBorder="1" applyAlignment="1">
      <alignment horizontal="center" vertical="top"/>
    </xf>
    <xf numFmtId="3" fontId="1" fillId="0" borderId="60" xfId="0" applyNumberFormat="1" applyFont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4" fillId="5" borderId="60" xfId="0" applyNumberFormat="1" applyFont="1" applyFill="1" applyBorder="1" applyAlignment="1">
      <alignment horizontal="center" vertical="top"/>
    </xf>
    <xf numFmtId="3" fontId="4" fillId="5" borderId="18" xfId="0" applyNumberFormat="1" applyFont="1" applyFill="1" applyBorder="1" applyAlignment="1">
      <alignment horizontal="center" vertical="top"/>
    </xf>
    <xf numFmtId="3" fontId="2" fillId="6" borderId="46" xfId="0" applyNumberFormat="1" applyFont="1" applyFill="1" applyBorder="1" applyAlignment="1">
      <alignment horizontal="center" vertical="top"/>
    </xf>
    <xf numFmtId="3" fontId="4" fillId="8" borderId="60" xfId="0" applyNumberFormat="1" applyFont="1" applyFill="1" applyBorder="1" applyAlignment="1">
      <alignment horizontal="center" vertical="top" wrapText="1"/>
    </xf>
    <xf numFmtId="3" fontId="4" fillId="8" borderId="40" xfId="0" applyNumberFormat="1" applyFont="1" applyFill="1" applyBorder="1" applyAlignment="1">
      <alignment horizontal="center" vertical="top" wrapText="1"/>
    </xf>
    <xf numFmtId="3" fontId="4" fillId="5" borderId="57" xfId="0" applyNumberFormat="1" applyFont="1" applyFill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vertical="top"/>
    </xf>
    <xf numFmtId="3" fontId="1" fillId="8" borderId="0" xfId="0" applyNumberFormat="1" applyFont="1" applyFill="1" applyBorder="1" applyAlignment="1">
      <alignment horizontal="center" vertical="top" wrapText="1"/>
    </xf>
    <xf numFmtId="49" fontId="4" fillId="6" borderId="66" xfId="0" applyNumberFormat="1" applyFont="1" applyFill="1" applyBorder="1" applyAlignment="1">
      <alignment horizontal="center" vertical="top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32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32" xfId="0" applyNumberFormat="1" applyFont="1" applyFill="1" applyBorder="1" applyAlignment="1">
      <alignment horizontal="center" vertical="top"/>
    </xf>
    <xf numFmtId="49" fontId="1" fillId="6" borderId="54" xfId="0" applyNumberFormat="1" applyFont="1" applyFill="1" applyBorder="1" applyAlignment="1">
      <alignment horizontal="center" vertical="top"/>
    </xf>
    <xf numFmtId="49" fontId="2" fillId="6" borderId="70" xfId="0" applyNumberFormat="1" applyFont="1" applyFill="1" applyBorder="1" applyAlignment="1">
      <alignment vertical="top"/>
    </xf>
    <xf numFmtId="49" fontId="1" fillId="6" borderId="75" xfId="0" applyNumberFormat="1" applyFont="1" applyFill="1" applyBorder="1" applyAlignment="1">
      <alignment horizontal="center" vertical="top"/>
    </xf>
    <xf numFmtId="49" fontId="1" fillId="6" borderId="52" xfId="0" applyNumberFormat="1" applyFont="1" applyFill="1" applyBorder="1" applyAlignment="1">
      <alignment horizontal="center" vertical="top"/>
    </xf>
    <xf numFmtId="49" fontId="1" fillId="6" borderId="68" xfId="0" applyNumberFormat="1" applyFont="1" applyFill="1" applyBorder="1" applyAlignment="1">
      <alignment horizontal="center" vertical="top"/>
    </xf>
    <xf numFmtId="49" fontId="1" fillId="6" borderId="6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6" borderId="70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vertical="top" wrapText="1"/>
    </xf>
    <xf numFmtId="3" fontId="1" fillId="5" borderId="22" xfId="0" applyNumberFormat="1" applyFont="1" applyFill="1" applyBorder="1" applyAlignment="1">
      <alignment vertical="top" wrapText="1"/>
    </xf>
    <xf numFmtId="3" fontId="1" fillId="5" borderId="41" xfId="0" applyNumberFormat="1" applyFont="1" applyFill="1" applyBorder="1" applyAlignment="1">
      <alignment vertical="top" wrapText="1"/>
    </xf>
    <xf numFmtId="3" fontId="1" fillId="5" borderId="20" xfId="0" applyNumberFormat="1" applyFont="1" applyFill="1" applyBorder="1" applyAlignment="1">
      <alignment vertical="top" wrapText="1"/>
    </xf>
    <xf numFmtId="3" fontId="4" fillId="0" borderId="37" xfId="0" applyNumberFormat="1" applyFont="1" applyBorder="1" applyAlignment="1">
      <alignment horizontal="center" vertical="top"/>
    </xf>
    <xf numFmtId="3" fontId="1" fillId="0" borderId="67" xfId="0" applyNumberFormat="1" applyFont="1" applyFill="1" applyBorder="1" applyAlignment="1">
      <alignment horizontal="center" vertical="top"/>
    </xf>
    <xf numFmtId="3" fontId="4" fillId="0" borderId="68" xfId="0" applyNumberFormat="1" applyFont="1" applyFill="1" applyBorder="1" applyAlignment="1">
      <alignment horizontal="center" vertical="top"/>
    </xf>
    <xf numFmtId="3" fontId="1" fillId="0" borderId="60" xfId="0" applyNumberFormat="1" applyFont="1" applyFill="1" applyBorder="1" applyAlignment="1">
      <alignment horizontal="center" vertical="top"/>
    </xf>
    <xf numFmtId="3" fontId="1" fillId="0" borderId="27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 wrapText="1"/>
    </xf>
    <xf numFmtId="3" fontId="1" fillId="5" borderId="38" xfId="0" applyNumberFormat="1" applyFont="1" applyFill="1" applyBorder="1" applyAlignment="1">
      <alignment vertical="top" wrapText="1"/>
    </xf>
    <xf numFmtId="3" fontId="4" fillId="0" borderId="53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 applyAlignment="1">
      <alignment horizontal="center" vertical="top" wrapText="1"/>
    </xf>
    <xf numFmtId="3" fontId="1" fillId="0" borderId="63" xfId="0" applyNumberFormat="1" applyFont="1" applyFill="1" applyBorder="1" applyAlignment="1">
      <alignment horizontal="center" vertical="top"/>
    </xf>
    <xf numFmtId="3" fontId="1" fillId="0" borderId="62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3" fontId="4" fillId="8" borderId="37" xfId="0" applyNumberFormat="1" applyFont="1" applyFill="1" applyBorder="1" applyAlignment="1">
      <alignment horizontal="center" vertical="top"/>
    </xf>
    <xf numFmtId="3" fontId="1" fillId="5" borderId="37" xfId="0" applyNumberFormat="1" applyFont="1" applyFill="1" applyBorder="1" applyAlignment="1">
      <alignment vertical="top" wrapText="1"/>
    </xf>
    <xf numFmtId="3" fontId="4" fillId="0" borderId="30" xfId="0" applyNumberFormat="1" applyFont="1" applyBorder="1" applyAlignment="1">
      <alignment horizontal="center" vertical="top"/>
    </xf>
    <xf numFmtId="3" fontId="4" fillId="0" borderId="45" xfId="0" applyNumberFormat="1" applyFont="1" applyBorder="1" applyAlignment="1">
      <alignment horizontal="center" vertical="top"/>
    </xf>
    <xf numFmtId="3" fontId="1" fillId="0" borderId="42" xfId="0" applyNumberFormat="1" applyFont="1" applyBorder="1" applyAlignment="1">
      <alignment vertical="top" wrapText="1"/>
    </xf>
    <xf numFmtId="3" fontId="1" fillId="0" borderId="58" xfId="0" applyNumberFormat="1" applyFont="1" applyBorder="1" applyAlignment="1">
      <alignment horizontal="center" vertical="top" wrapText="1"/>
    </xf>
    <xf numFmtId="3" fontId="1" fillId="0" borderId="60" xfId="0" applyNumberFormat="1" applyFont="1" applyFill="1" applyBorder="1" applyAlignment="1">
      <alignment horizontal="center" vertical="top" wrapText="1"/>
    </xf>
    <xf numFmtId="3" fontId="4" fillId="8" borderId="4" xfId="0" applyNumberFormat="1" applyFont="1" applyFill="1" applyBorder="1" applyAlignment="1">
      <alignment horizontal="center" vertical="top"/>
    </xf>
    <xf numFmtId="3" fontId="4" fillId="8" borderId="45" xfId="0" applyNumberFormat="1" applyFont="1" applyFill="1" applyBorder="1" applyAlignment="1">
      <alignment horizontal="center" vertical="top"/>
    </xf>
    <xf numFmtId="3" fontId="4" fillId="5" borderId="17" xfId="0" applyNumberFormat="1" applyFont="1" applyFill="1" applyBorder="1" applyAlignment="1">
      <alignment horizontal="left" vertical="top"/>
    </xf>
    <xf numFmtId="3" fontId="2" fillId="0" borderId="18" xfId="0" applyNumberFormat="1" applyFont="1" applyBorder="1" applyAlignment="1">
      <alignment horizontal="center" vertical="top"/>
    </xf>
    <xf numFmtId="3" fontId="1" fillId="5" borderId="62" xfId="0" applyNumberFormat="1" applyFont="1" applyFill="1" applyBorder="1" applyAlignment="1">
      <alignment horizontal="center" vertical="top"/>
    </xf>
    <xf numFmtId="3" fontId="1" fillId="5" borderId="60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/>
    </xf>
    <xf numFmtId="3" fontId="1" fillId="5" borderId="63" xfId="0" applyNumberFormat="1" applyFont="1" applyFill="1" applyBorder="1" applyAlignment="1">
      <alignment horizontal="center" vertical="top"/>
    </xf>
    <xf numFmtId="3" fontId="2" fillId="0" borderId="60" xfId="0" applyNumberFormat="1" applyFont="1" applyBorder="1" applyAlignment="1">
      <alignment horizontal="center" vertical="top"/>
    </xf>
    <xf numFmtId="3" fontId="2" fillId="8" borderId="62" xfId="0" applyNumberFormat="1" applyFont="1" applyFill="1" applyBorder="1" applyAlignment="1">
      <alignment horizontal="center" vertical="top"/>
    </xf>
    <xf numFmtId="3" fontId="2" fillId="8" borderId="17" xfId="0" applyNumberFormat="1" applyFont="1" applyFill="1" applyBorder="1" applyAlignment="1">
      <alignment horizontal="center" vertical="top"/>
    </xf>
    <xf numFmtId="3" fontId="2" fillId="10" borderId="46" xfId="0" applyNumberFormat="1" applyFont="1" applyFill="1" applyBorder="1" applyAlignment="1">
      <alignment horizontal="center" vertical="top"/>
    </xf>
    <xf numFmtId="3" fontId="2" fillId="10" borderId="48" xfId="0" applyNumberFormat="1" applyFont="1" applyFill="1" applyBorder="1" applyAlignment="1">
      <alignment horizontal="center" vertical="top"/>
    </xf>
    <xf numFmtId="3" fontId="2" fillId="10" borderId="56" xfId="0" applyNumberFormat="1" applyFont="1" applyFill="1" applyBorder="1" applyAlignment="1">
      <alignment horizontal="center" vertical="top"/>
    </xf>
    <xf numFmtId="3" fontId="1" fillId="0" borderId="44" xfId="0" applyNumberFormat="1" applyFont="1" applyFill="1" applyBorder="1" applyAlignment="1">
      <alignment horizontal="center" vertical="top"/>
    </xf>
    <xf numFmtId="49" fontId="1" fillId="6" borderId="66" xfId="0" applyNumberFormat="1" applyFont="1" applyFill="1" applyBorder="1" applyAlignment="1">
      <alignment horizontal="center" vertical="top"/>
    </xf>
    <xf numFmtId="3" fontId="2" fillId="5" borderId="13" xfId="0" applyNumberFormat="1" applyFont="1" applyFill="1" applyBorder="1" applyAlignment="1">
      <alignment vertical="top" wrapText="1"/>
    </xf>
    <xf numFmtId="3" fontId="2" fillId="5" borderId="13" xfId="0" applyNumberFormat="1" applyFont="1" applyFill="1" applyBorder="1" applyAlignment="1">
      <alignment horizontal="center" vertical="top" wrapText="1"/>
    </xf>
    <xf numFmtId="3" fontId="1" fillId="8" borderId="0" xfId="0" applyNumberFormat="1" applyFont="1" applyFill="1" applyBorder="1" applyAlignment="1">
      <alignment horizontal="center" vertical="top"/>
    </xf>
    <xf numFmtId="3" fontId="1" fillId="0" borderId="74" xfId="0" applyNumberFormat="1" applyFont="1" applyFill="1" applyBorder="1" applyAlignment="1">
      <alignment horizontal="center" vertical="top"/>
    </xf>
    <xf numFmtId="3" fontId="2" fillId="0" borderId="7" xfId="0" applyNumberFormat="1" applyFont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49" fontId="2" fillId="5" borderId="0" xfId="0" applyNumberFormat="1" applyFont="1" applyFill="1" applyBorder="1" applyAlignment="1">
      <alignment horizontal="center" vertical="top"/>
    </xf>
    <xf numFmtId="3" fontId="1" fillId="8" borderId="35" xfId="0" applyNumberFormat="1" applyFont="1" applyFill="1" applyBorder="1" applyAlignment="1">
      <alignment horizontal="center" vertical="top"/>
    </xf>
    <xf numFmtId="3" fontId="1" fillId="5" borderId="68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/>
    </xf>
    <xf numFmtId="3" fontId="1" fillId="0" borderId="20" xfId="0" applyNumberFormat="1" applyFont="1" applyFill="1" applyBorder="1" applyAlignment="1">
      <alignment vertical="top" wrapText="1"/>
    </xf>
    <xf numFmtId="3" fontId="2" fillId="0" borderId="28" xfId="0" applyNumberFormat="1" applyFont="1" applyBorder="1" applyAlignment="1">
      <alignment horizontal="center" vertical="top"/>
    </xf>
    <xf numFmtId="3" fontId="1" fillId="0" borderId="22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2" fillId="5" borderId="18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Fill="1" applyBorder="1" applyAlignment="1">
      <alignment horizontal="center" vertical="top"/>
    </xf>
    <xf numFmtId="3" fontId="1" fillId="0" borderId="43" xfId="0" applyNumberFormat="1" applyFont="1" applyBorder="1" applyAlignment="1">
      <alignment vertical="top" wrapText="1"/>
    </xf>
    <xf numFmtId="3" fontId="2" fillId="0" borderId="43" xfId="0" applyNumberFormat="1" applyFont="1" applyFill="1" applyBorder="1" applyAlignment="1">
      <alignment horizontal="center" vertical="top" wrapText="1"/>
    </xf>
    <xf numFmtId="49" fontId="2" fillId="5" borderId="13" xfId="0" applyNumberFormat="1" applyFont="1" applyFill="1" applyBorder="1" applyAlignment="1">
      <alignment vertical="top"/>
    </xf>
    <xf numFmtId="49" fontId="2" fillId="5" borderId="18" xfId="0" applyNumberFormat="1" applyFont="1" applyFill="1" applyBorder="1" applyAlignment="1">
      <alignment vertical="top"/>
    </xf>
    <xf numFmtId="49" fontId="1" fillId="8" borderId="18" xfId="0" applyNumberFormat="1" applyFont="1" applyFill="1" applyBorder="1" applyAlignment="1">
      <alignment vertical="top"/>
    </xf>
    <xf numFmtId="49" fontId="1" fillId="8" borderId="43" xfId="0" applyNumberFormat="1" applyFont="1" applyFill="1" applyBorder="1" applyAlignment="1">
      <alignment vertical="top"/>
    </xf>
    <xf numFmtId="3" fontId="2" fillId="0" borderId="73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vertical="top" wrapText="1"/>
    </xf>
    <xf numFmtId="3" fontId="1" fillId="8" borderId="78" xfId="0" applyNumberFormat="1" applyFont="1" applyFill="1" applyBorder="1" applyAlignment="1">
      <alignment horizontal="center" vertical="top"/>
    </xf>
    <xf numFmtId="3" fontId="1" fillId="8" borderId="67" xfId="0" applyNumberFormat="1" applyFont="1" applyFill="1" applyBorder="1" applyAlignment="1">
      <alignment horizontal="center" vertical="top"/>
    </xf>
    <xf numFmtId="3" fontId="1" fillId="0" borderId="68" xfId="0" applyNumberFormat="1" applyFont="1" applyFill="1" applyBorder="1" applyAlignment="1">
      <alignment horizontal="center" vertical="top"/>
    </xf>
    <xf numFmtId="3" fontId="1" fillId="8" borderId="62" xfId="0" applyNumberFormat="1" applyFont="1" applyFill="1" applyBorder="1" applyAlignment="1">
      <alignment horizontal="center" vertical="top"/>
    </xf>
    <xf numFmtId="3" fontId="1" fillId="0" borderId="37" xfId="0" applyNumberFormat="1" applyFont="1" applyFill="1" applyBorder="1" applyAlignment="1">
      <alignment vertical="top" wrapText="1"/>
    </xf>
    <xf numFmtId="3" fontId="1" fillId="0" borderId="68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horizontal="center" vertical="top" wrapText="1"/>
    </xf>
    <xf numFmtId="3" fontId="2" fillId="0" borderId="60" xfId="0" applyNumberFormat="1" applyFont="1" applyFill="1" applyBorder="1" applyAlignment="1">
      <alignment horizontal="center" vertical="top" wrapText="1"/>
    </xf>
    <xf numFmtId="3" fontId="1" fillId="5" borderId="17" xfId="0" applyNumberFormat="1" applyFont="1" applyFill="1" applyBorder="1" applyAlignment="1">
      <alignment horizontal="center" vertical="top"/>
    </xf>
    <xf numFmtId="3" fontId="1" fillId="0" borderId="49" xfId="0" applyNumberFormat="1" applyFont="1" applyBorder="1" applyAlignment="1">
      <alignment vertical="top" wrapText="1"/>
    </xf>
    <xf numFmtId="3" fontId="1" fillId="8" borderId="69" xfId="0" applyNumberFormat="1" applyFont="1" applyFill="1" applyBorder="1" applyAlignment="1">
      <alignment vertical="top" wrapText="1"/>
    </xf>
    <xf numFmtId="3" fontId="1" fillId="8" borderId="3" xfId="0" applyNumberFormat="1" applyFont="1" applyFill="1" applyBorder="1" applyAlignment="1">
      <alignment horizontal="center" vertical="top"/>
    </xf>
    <xf numFmtId="3" fontId="1" fillId="5" borderId="68" xfId="0" applyNumberFormat="1" applyFont="1" applyFill="1" applyBorder="1" applyAlignment="1">
      <alignment vertical="top" wrapText="1"/>
    </xf>
    <xf numFmtId="3" fontId="1" fillId="5" borderId="26" xfId="0" applyNumberFormat="1" applyFont="1" applyFill="1" applyBorder="1" applyAlignment="1">
      <alignment horizontal="center" vertical="top"/>
    </xf>
    <xf numFmtId="3" fontId="1" fillId="8" borderId="58" xfId="0" applyNumberFormat="1" applyFont="1" applyFill="1" applyBorder="1" applyAlignment="1">
      <alignment horizontal="center" vertical="top"/>
    </xf>
    <xf numFmtId="3" fontId="1" fillId="8" borderId="68" xfId="0" applyNumberFormat="1" applyFont="1" applyFill="1" applyBorder="1" applyAlignment="1">
      <alignment vertical="top" wrapText="1"/>
    </xf>
    <xf numFmtId="3" fontId="1" fillId="5" borderId="28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left" vertical="top"/>
    </xf>
    <xf numFmtId="3" fontId="1" fillId="8" borderId="26" xfId="0" applyNumberFormat="1" applyFont="1" applyFill="1" applyBorder="1" applyAlignment="1">
      <alignment horizontal="center" vertical="top"/>
    </xf>
    <xf numFmtId="3" fontId="1" fillId="8" borderId="59" xfId="0" applyNumberFormat="1" applyFont="1" applyFill="1" applyBorder="1" applyAlignment="1">
      <alignment horizontal="center" vertical="top"/>
    </xf>
    <xf numFmtId="3" fontId="1" fillId="8" borderId="49" xfId="0" applyNumberFormat="1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horizontal="center" vertical="top"/>
    </xf>
    <xf numFmtId="3" fontId="1" fillId="8" borderId="45" xfId="0" applyNumberFormat="1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vertical="top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left" vertical="top" wrapText="1"/>
    </xf>
    <xf numFmtId="3" fontId="1" fillId="0" borderId="40" xfId="0" applyNumberFormat="1" applyFont="1" applyBorder="1" applyAlignment="1">
      <alignment vertical="top"/>
    </xf>
    <xf numFmtId="3" fontId="1" fillId="0" borderId="43" xfId="0" applyNumberFormat="1" applyFont="1" applyBorder="1" applyAlignment="1">
      <alignment vertical="top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left" vertical="center" wrapText="1"/>
    </xf>
    <xf numFmtId="3" fontId="1" fillId="5" borderId="60" xfId="0" applyNumberFormat="1" applyFont="1" applyFill="1" applyBorder="1" applyAlignment="1">
      <alignment vertical="top"/>
    </xf>
    <xf numFmtId="3" fontId="4" fillId="8" borderId="5" xfId="0" applyNumberFormat="1" applyFont="1" applyFill="1" applyBorder="1" applyAlignment="1">
      <alignment horizontal="center" vertical="top"/>
    </xf>
    <xf numFmtId="3" fontId="2" fillId="9" borderId="62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Fill="1" applyBorder="1" applyAlignment="1">
      <alignment horizontal="center" vertical="top" wrapText="1"/>
    </xf>
    <xf numFmtId="3" fontId="4" fillId="8" borderId="64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/>
    </xf>
    <xf numFmtId="3" fontId="4" fillId="0" borderId="53" xfId="0" applyNumberFormat="1" applyFont="1" applyBorder="1" applyAlignment="1">
      <alignment horizontal="center" vertical="top"/>
    </xf>
    <xf numFmtId="3" fontId="4" fillId="5" borderId="68" xfId="0" applyNumberFormat="1" applyFont="1" applyFill="1" applyBorder="1" applyAlignment="1">
      <alignment horizontal="center" vertical="top" wrapText="1"/>
    </xf>
    <xf numFmtId="3" fontId="4" fillId="5" borderId="53" xfId="0" applyNumberFormat="1" applyFont="1" applyFill="1" applyBorder="1" applyAlignment="1">
      <alignment horizontal="center" vertical="top" wrapText="1"/>
    </xf>
    <xf numFmtId="3" fontId="4" fillId="8" borderId="42" xfId="0" applyNumberFormat="1" applyFont="1" applyFill="1" applyBorder="1" applyAlignment="1">
      <alignment horizontal="center" vertical="top"/>
    </xf>
    <xf numFmtId="3" fontId="4" fillId="0" borderId="41" xfId="0" applyNumberFormat="1" applyFont="1" applyBorder="1" applyAlignment="1">
      <alignment vertical="top" wrapText="1"/>
    </xf>
    <xf numFmtId="3" fontId="4" fillId="5" borderId="31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Border="1" applyAlignment="1">
      <alignment vertical="top" wrapText="1"/>
    </xf>
    <xf numFmtId="3" fontId="4" fillId="5" borderId="60" xfId="0" applyNumberFormat="1" applyFont="1" applyFill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4" fillId="0" borderId="43" xfId="0" applyNumberFormat="1" applyFont="1" applyFill="1" applyBorder="1" applyAlignment="1">
      <alignment vertical="top" wrapText="1"/>
    </xf>
    <xf numFmtId="3" fontId="4" fillId="0" borderId="57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/>
    </xf>
    <xf numFmtId="3" fontId="4" fillId="0" borderId="40" xfId="0" applyNumberFormat="1" applyFont="1" applyBorder="1" applyAlignment="1">
      <alignment horizontal="center" vertical="top"/>
    </xf>
    <xf numFmtId="3" fontId="4" fillId="0" borderId="20" xfId="0" applyNumberFormat="1" applyFont="1" applyBorder="1" applyAlignment="1">
      <alignment vertical="top"/>
    </xf>
    <xf numFmtId="3" fontId="4" fillId="0" borderId="75" xfId="0" applyNumberFormat="1" applyFont="1" applyFill="1" applyBorder="1" applyAlignment="1">
      <alignment horizontal="center" vertical="top"/>
    </xf>
    <xf numFmtId="3" fontId="4" fillId="0" borderId="52" xfId="0" applyNumberFormat="1" applyFont="1" applyFill="1" applyBorder="1" applyAlignment="1">
      <alignment horizontal="center" vertical="top"/>
    </xf>
    <xf numFmtId="3" fontId="4" fillId="8" borderId="60" xfId="0" applyNumberFormat="1" applyFont="1" applyFill="1" applyBorder="1" applyAlignment="1">
      <alignment vertical="top" wrapText="1"/>
    </xf>
    <xf numFmtId="3" fontId="4" fillId="8" borderId="40" xfId="0" applyNumberFormat="1" applyFont="1" applyFill="1" applyBorder="1" applyAlignment="1">
      <alignment vertical="top" wrapText="1"/>
    </xf>
    <xf numFmtId="3" fontId="1" fillId="0" borderId="38" xfId="0" applyNumberFormat="1" applyFont="1" applyFill="1" applyBorder="1" applyAlignment="1">
      <alignment vertical="top" wrapText="1"/>
    </xf>
    <xf numFmtId="3" fontId="1" fillId="0" borderId="17" xfId="0" applyNumberFormat="1" applyFont="1" applyBorder="1" applyAlignment="1">
      <alignment vertical="top"/>
    </xf>
    <xf numFmtId="3" fontId="5" fillId="9" borderId="72" xfId="0" applyNumberFormat="1" applyFont="1" applyFill="1" applyBorder="1" applyAlignment="1">
      <alignment horizontal="center" vertical="top"/>
    </xf>
    <xf numFmtId="3" fontId="3" fillId="0" borderId="19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top"/>
    </xf>
    <xf numFmtId="3" fontId="4" fillId="0" borderId="34" xfId="0" applyNumberFormat="1" applyFont="1" applyFill="1" applyBorder="1" applyAlignment="1">
      <alignment horizontal="center" vertical="top"/>
    </xf>
    <xf numFmtId="3" fontId="3" fillId="0" borderId="18" xfId="0" applyNumberFormat="1" applyFont="1" applyBorder="1" applyAlignment="1">
      <alignment vertical="top"/>
    </xf>
    <xf numFmtId="3" fontId="3" fillId="0" borderId="31" xfId="0" applyNumberFormat="1" applyFont="1" applyBorder="1" applyAlignment="1">
      <alignment vertical="top"/>
    </xf>
    <xf numFmtId="3" fontId="4" fillId="0" borderId="54" xfId="0" applyNumberFormat="1" applyFont="1" applyFill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center" vertical="top"/>
    </xf>
    <xf numFmtId="3" fontId="4" fillId="0" borderId="27" xfId="0" applyNumberFormat="1" applyFont="1" applyBorder="1" applyAlignment="1">
      <alignment vertical="top"/>
    </xf>
    <xf numFmtId="3" fontId="5" fillId="0" borderId="32" xfId="0" applyNumberFormat="1" applyFont="1" applyFill="1" applyBorder="1" applyAlignment="1">
      <alignment horizontal="left" vertical="top" wrapText="1"/>
    </xf>
    <xf numFmtId="3" fontId="4" fillId="8" borderId="6" xfId="0" applyNumberFormat="1" applyFont="1" applyFill="1" applyBorder="1" applyAlignment="1">
      <alignment horizontal="center" vertical="top"/>
    </xf>
    <xf numFmtId="3" fontId="4" fillId="8" borderId="28" xfId="0" applyNumberFormat="1" applyFont="1" applyFill="1" applyBorder="1" applyAlignment="1">
      <alignment horizontal="center" vertical="top"/>
    </xf>
    <xf numFmtId="3" fontId="4" fillId="5" borderId="17" xfId="0" applyNumberFormat="1" applyFont="1" applyFill="1" applyBorder="1" applyAlignment="1">
      <alignment horizontal="left" vertical="top" wrapText="1"/>
    </xf>
    <xf numFmtId="3" fontId="5" fillId="9" borderId="34" xfId="0" applyNumberFormat="1" applyFont="1" applyFill="1" applyBorder="1" applyAlignment="1">
      <alignment horizontal="center" vertical="top"/>
    </xf>
    <xf numFmtId="3" fontId="4" fillId="8" borderId="77" xfId="0" applyNumberFormat="1" applyFont="1" applyFill="1" applyBorder="1" applyAlignment="1">
      <alignment horizontal="center" vertical="top"/>
    </xf>
    <xf numFmtId="3" fontId="4" fillId="8" borderId="15" xfId="0" applyNumberFormat="1" applyFont="1" applyFill="1" applyBorder="1" applyAlignment="1">
      <alignment horizontal="center" vertical="top"/>
    </xf>
    <xf numFmtId="3" fontId="4" fillId="0" borderId="17" xfId="0" applyNumberFormat="1" applyFont="1" applyBorder="1" applyAlignment="1">
      <alignment vertical="top"/>
    </xf>
    <xf numFmtId="3" fontId="4" fillId="8" borderId="26" xfId="0" applyNumberFormat="1" applyFont="1" applyFill="1" applyBorder="1" applyAlignment="1">
      <alignment horizontal="center" vertical="top"/>
    </xf>
    <xf numFmtId="3" fontId="4" fillId="0" borderId="67" xfId="0" applyNumberFormat="1" applyFont="1" applyBorder="1" applyAlignment="1">
      <alignment horizontal="center" vertical="top"/>
    </xf>
    <xf numFmtId="3" fontId="4" fillId="5" borderId="38" xfId="0" applyNumberFormat="1" applyFont="1" applyFill="1" applyBorder="1" applyAlignment="1">
      <alignment vertical="top" wrapText="1"/>
    </xf>
    <xf numFmtId="3" fontId="4" fillId="0" borderId="40" xfId="0" applyNumberFormat="1" applyFont="1" applyBorder="1" applyAlignment="1">
      <alignment horizontal="center" vertical="top" wrapText="1"/>
    </xf>
    <xf numFmtId="3" fontId="4" fillId="5" borderId="41" xfId="0" applyNumberFormat="1" applyFont="1" applyFill="1" applyBorder="1" applyAlignment="1">
      <alignment vertical="top" wrapText="1"/>
    </xf>
    <xf numFmtId="3" fontId="4" fillId="0" borderId="62" xfId="0" applyNumberFormat="1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/>
    </xf>
    <xf numFmtId="3" fontId="1" fillId="8" borderId="60" xfId="0" applyNumberFormat="1" applyFont="1" applyFill="1" applyBorder="1" applyAlignment="1">
      <alignment horizontal="center" vertical="top" wrapText="1"/>
    </xf>
    <xf numFmtId="3" fontId="1" fillId="8" borderId="40" xfId="0" applyNumberFormat="1" applyFont="1" applyFill="1" applyBorder="1" applyAlignment="1">
      <alignment horizontal="center" vertical="top" wrapText="1"/>
    </xf>
    <xf numFmtId="3" fontId="1" fillId="8" borderId="28" xfId="0" applyNumberFormat="1" applyFont="1" applyFill="1" applyBorder="1" applyAlignment="1">
      <alignment horizontal="center" vertical="top"/>
    </xf>
    <xf numFmtId="3" fontId="1" fillId="8" borderId="27" xfId="0" applyNumberFormat="1" applyFont="1" applyFill="1" applyBorder="1" applyAlignment="1">
      <alignment horizontal="center" vertical="top"/>
    </xf>
    <xf numFmtId="3" fontId="1" fillId="0" borderId="38" xfId="0" applyNumberFormat="1" applyFont="1" applyBorder="1" applyAlignment="1">
      <alignment vertical="top" wrapText="1"/>
    </xf>
    <xf numFmtId="3" fontId="1" fillId="8" borderId="0" xfId="0" applyNumberFormat="1" applyFont="1" applyFill="1" applyBorder="1" applyAlignment="1">
      <alignment vertical="top"/>
    </xf>
    <xf numFmtId="3" fontId="4" fillId="0" borderId="67" xfId="0" applyNumberFormat="1" applyFont="1" applyFill="1" applyBorder="1" applyAlignment="1">
      <alignment horizontal="center" vertical="top" wrapText="1"/>
    </xf>
    <xf numFmtId="3" fontId="5" fillId="4" borderId="16" xfId="0" applyNumberFormat="1" applyFont="1" applyFill="1" applyBorder="1" applyAlignment="1">
      <alignment horizontal="center" vertical="top" wrapText="1"/>
    </xf>
    <xf numFmtId="3" fontId="5" fillId="9" borderId="12" xfId="0" applyNumberFormat="1" applyFont="1" applyFill="1" applyBorder="1" applyAlignment="1">
      <alignment horizontal="center" vertical="top" wrapText="1"/>
    </xf>
    <xf numFmtId="3" fontId="5" fillId="4" borderId="12" xfId="0" applyNumberFormat="1" applyFont="1" applyFill="1" applyBorder="1" applyAlignment="1">
      <alignment horizontal="center" vertical="top" wrapText="1"/>
    </xf>
    <xf numFmtId="3" fontId="4" fillId="0" borderId="67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68" xfId="0" applyNumberFormat="1" applyFont="1" applyFill="1" applyBorder="1" applyAlignment="1">
      <alignment horizontal="center" vertical="top" wrapText="1"/>
    </xf>
    <xf numFmtId="3" fontId="4" fillId="0" borderId="60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 textRotation="90" wrapText="1"/>
    </xf>
    <xf numFmtId="3" fontId="1" fillId="0" borderId="18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1" fillId="5" borderId="41" xfId="0" applyNumberFormat="1" applyFont="1" applyFill="1" applyBorder="1" applyAlignment="1">
      <alignment horizontal="left" vertical="top" wrapText="1"/>
    </xf>
    <xf numFmtId="3" fontId="2" fillId="2" borderId="12" xfId="0" applyNumberFormat="1" applyFont="1" applyFill="1" applyBorder="1" applyAlignment="1">
      <alignment horizontal="center" vertical="top"/>
    </xf>
    <xf numFmtId="3" fontId="2" fillId="3" borderId="20" xfId="0" applyNumberFormat="1" applyFont="1" applyFill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 wrapText="1"/>
    </xf>
    <xf numFmtId="3" fontId="2" fillId="0" borderId="44" xfId="0" applyNumberFormat="1" applyFont="1" applyFill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3" fontId="5" fillId="5" borderId="0" xfId="0" applyNumberFormat="1" applyFont="1" applyFill="1" applyBorder="1" applyAlignment="1">
      <alignment horizontal="center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3" fontId="5" fillId="5" borderId="0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vertical="top" textRotation="90" wrapText="1"/>
    </xf>
    <xf numFmtId="3" fontId="4" fillId="0" borderId="48" xfId="0" applyNumberFormat="1" applyFont="1" applyFill="1" applyBorder="1" applyAlignment="1">
      <alignment horizontal="center" vertical="top" wrapText="1"/>
    </xf>
    <xf numFmtId="3" fontId="4" fillId="5" borderId="0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3" fontId="4" fillId="8" borderId="39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 wrapText="1"/>
    </xf>
    <xf numFmtId="3" fontId="4" fillId="8" borderId="16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3" fontId="4" fillId="8" borderId="3" xfId="0" applyNumberFormat="1" applyFont="1" applyFill="1" applyBorder="1" applyAlignment="1">
      <alignment horizontal="center" vertical="top"/>
    </xf>
    <xf numFmtId="3" fontId="4" fillId="8" borderId="63" xfId="0" applyNumberFormat="1" applyFont="1" applyFill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/>
    </xf>
    <xf numFmtId="3" fontId="4" fillId="5" borderId="58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center"/>
    </xf>
    <xf numFmtId="49" fontId="4" fillId="6" borderId="54" xfId="0" applyNumberFormat="1" applyFont="1" applyFill="1" applyBorder="1" applyAlignment="1">
      <alignment horizontal="center" vertical="top"/>
    </xf>
    <xf numFmtId="3" fontId="2" fillId="0" borderId="43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3" fontId="4" fillId="0" borderId="60" xfId="0" applyNumberFormat="1" applyFont="1" applyBorder="1" applyAlignment="1">
      <alignment horizontal="center" vertical="top" wrapText="1"/>
    </xf>
    <xf numFmtId="3" fontId="4" fillId="0" borderId="68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 wrapText="1"/>
    </xf>
    <xf numFmtId="3" fontId="1" fillId="0" borderId="41" xfId="0" applyNumberFormat="1" applyFont="1" applyBorder="1" applyAlignment="1">
      <alignment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3" fontId="2" fillId="6" borderId="51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top" textRotation="90" wrapText="1"/>
    </xf>
    <xf numFmtId="3" fontId="1" fillId="0" borderId="3" xfId="0" applyNumberFormat="1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vertical="top" textRotation="90" wrapText="1"/>
    </xf>
    <xf numFmtId="3" fontId="2" fillId="0" borderId="18" xfId="0" applyNumberFormat="1" applyFont="1" applyFill="1" applyBorder="1" applyAlignment="1">
      <alignment vertical="top" textRotation="90" wrapText="1"/>
    </xf>
    <xf numFmtId="3" fontId="2" fillId="0" borderId="19" xfId="0" applyNumberFormat="1" applyFont="1" applyFill="1" applyBorder="1" applyAlignment="1">
      <alignment vertical="top" textRotation="90" wrapText="1"/>
    </xf>
    <xf numFmtId="3" fontId="1" fillId="0" borderId="18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3" fontId="1" fillId="0" borderId="68" xfId="0" applyNumberFormat="1" applyFont="1" applyBorder="1" applyAlignment="1">
      <alignment horizontal="center" vertical="top" wrapText="1"/>
    </xf>
    <xf numFmtId="3" fontId="2" fillId="0" borderId="60" xfId="0" applyNumberFormat="1" applyFont="1" applyFill="1" applyBorder="1" applyAlignment="1">
      <alignment horizontal="center" vertical="top" textRotation="90" wrapText="1"/>
    </xf>
    <xf numFmtId="3" fontId="5" fillId="0" borderId="60" xfId="0" applyNumberFormat="1" applyFont="1" applyFill="1" applyBorder="1" applyAlignment="1">
      <alignment horizontal="center" vertical="top" textRotation="90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center" vertical="top"/>
    </xf>
    <xf numFmtId="3" fontId="1" fillId="5" borderId="6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vertical="top" wrapText="1"/>
    </xf>
    <xf numFmtId="3" fontId="2" fillId="0" borderId="39" xfId="0" applyNumberFormat="1" applyFont="1" applyBorder="1" applyAlignment="1">
      <alignment horizontal="center" vertical="top"/>
    </xf>
    <xf numFmtId="3" fontId="2" fillId="0" borderId="21" xfId="0" applyNumberFormat="1" applyFont="1" applyBorder="1" applyAlignment="1">
      <alignment horizontal="center" vertical="top"/>
    </xf>
    <xf numFmtId="3" fontId="1" fillId="0" borderId="68" xfId="0" applyNumberFormat="1" applyFont="1" applyBorder="1" applyAlignment="1">
      <alignment horizontal="center" vertical="top"/>
    </xf>
    <xf numFmtId="3" fontId="1" fillId="0" borderId="53" xfId="0" applyNumberFormat="1" applyFont="1" applyBorder="1" applyAlignment="1">
      <alignment horizontal="center" vertical="top"/>
    </xf>
    <xf numFmtId="3" fontId="1" fillId="0" borderId="37" xfId="0" applyNumberFormat="1" applyFont="1" applyBorder="1" applyAlignment="1">
      <alignment vertical="top" wrapText="1"/>
    </xf>
    <xf numFmtId="3" fontId="14" fillId="8" borderId="68" xfId="0" applyNumberFormat="1" applyFont="1" applyFill="1" applyBorder="1" applyAlignment="1">
      <alignment horizontal="center" vertical="top"/>
    </xf>
    <xf numFmtId="3" fontId="14" fillId="8" borderId="53" xfId="0" applyNumberFormat="1" applyFont="1" applyFill="1" applyBorder="1" applyAlignment="1">
      <alignment horizontal="center" vertical="top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5" borderId="37" xfId="0" applyNumberFormat="1" applyFont="1" applyFill="1" applyBorder="1" applyAlignment="1">
      <alignment horizontal="center" vertical="top"/>
    </xf>
    <xf numFmtId="3" fontId="4" fillId="5" borderId="62" xfId="0" applyNumberFormat="1" applyFont="1" applyFill="1" applyBorder="1" applyAlignment="1">
      <alignment vertical="top" wrapText="1"/>
    </xf>
    <xf numFmtId="3" fontId="4" fillId="5" borderId="27" xfId="0" applyNumberFormat="1" applyFont="1" applyFill="1" applyBorder="1" applyAlignment="1">
      <alignment horizontal="center" vertical="top" wrapText="1"/>
    </xf>
    <xf numFmtId="3" fontId="4" fillId="8" borderId="65" xfId="0" applyNumberFormat="1" applyFont="1" applyFill="1" applyBorder="1" applyAlignment="1">
      <alignment horizontal="center" vertical="top"/>
    </xf>
    <xf numFmtId="49" fontId="4" fillId="5" borderId="68" xfId="0" applyNumberFormat="1" applyFont="1" applyFill="1" applyBorder="1" applyAlignment="1">
      <alignment horizontal="center" vertical="top"/>
    </xf>
    <xf numFmtId="3" fontId="1" fillId="0" borderId="8" xfId="0" applyNumberFormat="1" applyFont="1" applyBorder="1" applyAlignment="1">
      <alignment vertical="top" wrapText="1"/>
    </xf>
    <xf numFmtId="3" fontId="4" fillId="8" borderId="43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/>
    </xf>
    <xf numFmtId="3" fontId="1" fillId="0" borderId="53" xfId="0" applyNumberFormat="1" applyFont="1" applyBorder="1" applyAlignment="1">
      <alignment horizontal="center" vertical="top" wrapText="1"/>
    </xf>
    <xf numFmtId="3" fontId="4" fillId="8" borderId="35" xfId="0" applyNumberFormat="1" applyFont="1" applyFill="1" applyBorder="1" applyAlignment="1">
      <alignment horizontal="center" vertical="top"/>
    </xf>
    <xf numFmtId="3" fontId="4" fillId="8" borderId="58" xfId="0" applyNumberFormat="1" applyFont="1" applyFill="1" applyBorder="1" applyAlignment="1">
      <alignment horizontal="center" vertical="top"/>
    </xf>
    <xf numFmtId="3" fontId="1" fillId="0" borderId="50" xfId="0" applyNumberFormat="1" applyFont="1" applyBorder="1" applyAlignment="1">
      <alignment vertical="top" wrapText="1"/>
    </xf>
    <xf numFmtId="49" fontId="4" fillId="5" borderId="43" xfId="0" applyNumberFormat="1" applyFont="1" applyFill="1" applyBorder="1" applyAlignment="1">
      <alignment horizontal="center" vertical="top"/>
    </xf>
    <xf numFmtId="49" fontId="4" fillId="5" borderId="19" xfId="0" applyNumberFormat="1" applyFont="1" applyFill="1" applyBorder="1" applyAlignment="1">
      <alignment horizontal="center" vertical="top"/>
    </xf>
    <xf numFmtId="3" fontId="5" fillId="0" borderId="19" xfId="0" applyNumberFormat="1" applyFont="1" applyFill="1" applyBorder="1" applyAlignment="1">
      <alignment horizontal="center" vertical="top" textRotation="90" wrapText="1"/>
    </xf>
    <xf numFmtId="3" fontId="5" fillId="0" borderId="13" xfId="0" applyNumberFormat="1" applyFont="1" applyFill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1" fillId="0" borderId="60" xfId="0" applyNumberFormat="1" applyFont="1" applyBorder="1" applyAlignment="1">
      <alignment horizontal="center" vertical="top" wrapText="1"/>
    </xf>
    <xf numFmtId="49" fontId="2" fillId="6" borderId="46" xfId="0" applyNumberFormat="1" applyFont="1" applyFill="1" applyBorder="1" applyAlignment="1">
      <alignment horizontal="center" vertical="top"/>
    </xf>
    <xf numFmtId="49" fontId="1" fillId="0" borderId="6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8" borderId="18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4" fillId="5" borderId="60" xfId="0" applyNumberFormat="1" applyFont="1" applyFill="1" applyBorder="1" applyAlignment="1">
      <alignment horizontal="center" vertical="top"/>
    </xf>
    <xf numFmtId="3" fontId="4" fillId="0" borderId="34" xfId="0" applyNumberFormat="1" applyFont="1" applyFill="1" applyBorder="1" applyAlignment="1">
      <alignment horizontal="left" vertical="top" wrapText="1"/>
    </xf>
    <xf numFmtId="49" fontId="1" fillId="10" borderId="32" xfId="0" applyNumberFormat="1" applyFont="1" applyFill="1" applyBorder="1" applyAlignment="1">
      <alignment horizontal="center" vertical="top"/>
    </xf>
    <xf numFmtId="49" fontId="1" fillId="10" borderId="34" xfId="0" applyNumberFormat="1" applyFont="1" applyFill="1" applyBorder="1" applyAlignment="1">
      <alignment horizontal="center" vertical="top"/>
    </xf>
    <xf numFmtId="49" fontId="1" fillId="10" borderId="54" xfId="0" applyNumberFormat="1" applyFont="1" applyFill="1" applyBorder="1" applyAlignment="1">
      <alignment horizontal="center" vertical="top"/>
    </xf>
    <xf numFmtId="3" fontId="2" fillId="6" borderId="51" xfId="0" applyNumberFormat="1" applyFont="1" applyFill="1" applyBorder="1" applyAlignment="1">
      <alignment horizontal="center" vertical="top"/>
    </xf>
    <xf numFmtId="49" fontId="1" fillId="8" borderId="60" xfId="0" applyNumberFormat="1" applyFont="1" applyFill="1" applyBorder="1" applyAlignment="1">
      <alignment vertical="top"/>
    </xf>
    <xf numFmtId="3" fontId="2" fillId="0" borderId="32" xfId="0" applyNumberFormat="1" applyFont="1" applyFill="1" applyBorder="1" applyAlignment="1">
      <alignment horizontal="center" vertical="top" textRotation="90" wrapText="1"/>
    </xf>
    <xf numFmtId="3" fontId="2" fillId="2" borderId="12" xfId="0" applyNumberFormat="1" applyFont="1" applyFill="1" applyBorder="1" applyAlignment="1">
      <alignment horizontal="center" vertical="top"/>
    </xf>
    <xf numFmtId="3" fontId="4" fillId="8" borderId="52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49" fontId="4" fillId="10" borderId="18" xfId="0" applyNumberFormat="1" applyFont="1" applyFill="1" applyBorder="1" applyAlignment="1">
      <alignment vertical="top"/>
    </xf>
    <xf numFmtId="49" fontId="4" fillId="10" borderId="0" xfId="0" applyNumberFormat="1" applyFont="1" applyFill="1" applyBorder="1" applyAlignment="1">
      <alignment horizontal="center" vertical="top"/>
    </xf>
    <xf numFmtId="3" fontId="5" fillId="0" borderId="31" xfId="0" applyNumberFormat="1" applyFont="1" applyFill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 wrapText="1"/>
    </xf>
    <xf numFmtId="3" fontId="5" fillId="10" borderId="46" xfId="0" applyNumberFormat="1" applyFont="1" applyFill="1" applyBorder="1" applyAlignment="1">
      <alignment vertical="top"/>
    </xf>
    <xf numFmtId="49" fontId="5" fillId="10" borderId="46" xfId="0" applyNumberFormat="1" applyFont="1" applyFill="1" applyBorder="1" applyAlignment="1">
      <alignment vertical="top"/>
    </xf>
    <xf numFmtId="49" fontId="1" fillId="8" borderId="68" xfId="0" applyNumberFormat="1" applyFont="1" applyFill="1" applyBorder="1" applyAlignment="1">
      <alignment vertical="top"/>
    </xf>
    <xf numFmtId="3" fontId="1" fillId="0" borderId="68" xfId="0" applyNumberFormat="1" applyFont="1" applyFill="1" applyBorder="1" applyAlignment="1">
      <alignment vertical="top" wrapText="1"/>
    </xf>
    <xf numFmtId="49" fontId="1" fillId="10" borderId="43" xfId="0" applyNumberFormat="1" applyFont="1" applyFill="1" applyBorder="1" applyAlignment="1">
      <alignment horizontal="center" vertical="top"/>
    </xf>
    <xf numFmtId="3" fontId="4" fillId="8" borderId="43" xfId="0" applyNumberFormat="1" applyFont="1" applyFill="1" applyBorder="1" applyAlignment="1">
      <alignment horizontal="left" vertical="top" wrapText="1"/>
    </xf>
    <xf numFmtId="3" fontId="5" fillId="0" borderId="43" xfId="0" applyNumberFormat="1" applyFont="1" applyFill="1" applyBorder="1" applyAlignment="1">
      <alignment vertical="top" textRotation="90" wrapText="1"/>
    </xf>
    <xf numFmtId="3" fontId="1" fillId="0" borderId="17" xfId="0" applyNumberFormat="1" applyFont="1" applyBorder="1" applyAlignment="1">
      <alignment vertical="top" wrapText="1"/>
    </xf>
    <xf numFmtId="3" fontId="1" fillId="0" borderId="43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Fill="1" applyBorder="1" applyAlignment="1">
      <alignment horizontal="center" vertical="top" wrapText="1"/>
    </xf>
    <xf numFmtId="3" fontId="4" fillId="5" borderId="19" xfId="0" applyNumberFormat="1" applyFont="1" applyFill="1" applyBorder="1" applyAlignment="1">
      <alignment horizontal="center" vertical="top" wrapText="1"/>
    </xf>
    <xf numFmtId="3" fontId="4" fillId="0" borderId="71" xfId="0" applyNumberFormat="1" applyFont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top"/>
    </xf>
    <xf numFmtId="3" fontId="4" fillId="8" borderId="12" xfId="0" applyNumberFormat="1" applyFont="1" applyFill="1" applyBorder="1" applyAlignment="1">
      <alignment horizontal="center" vertical="top"/>
    </xf>
    <xf numFmtId="3" fontId="4" fillId="8" borderId="1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3" fontId="4" fillId="8" borderId="76" xfId="0" applyNumberFormat="1" applyFont="1" applyFill="1" applyBorder="1" applyAlignment="1">
      <alignment horizontal="center" vertical="top"/>
    </xf>
    <xf numFmtId="3" fontId="4" fillId="0" borderId="23" xfId="0" applyNumberFormat="1" applyFont="1" applyFill="1" applyBorder="1" applyAlignment="1">
      <alignment horizontal="center" vertical="top"/>
    </xf>
    <xf numFmtId="3" fontId="4" fillId="0" borderId="76" xfId="0" applyNumberFormat="1" applyFont="1" applyFill="1" applyBorder="1" applyAlignment="1">
      <alignment horizontal="center" vertical="top"/>
    </xf>
    <xf numFmtId="3" fontId="4" fillId="8" borderId="12" xfId="0" applyNumberFormat="1" applyFont="1" applyFill="1" applyBorder="1" applyAlignment="1">
      <alignment vertical="top" wrapText="1"/>
    </xf>
    <xf numFmtId="3" fontId="4" fillId="8" borderId="11" xfId="0" applyNumberFormat="1" applyFont="1" applyFill="1" applyBorder="1" applyAlignment="1">
      <alignment horizontal="center" vertical="top"/>
    </xf>
    <xf numFmtId="3" fontId="4" fillId="8" borderId="79" xfId="0" applyNumberFormat="1" applyFont="1" applyFill="1" applyBorder="1" applyAlignment="1">
      <alignment horizontal="center" vertical="top"/>
    </xf>
    <xf numFmtId="3" fontId="4" fillId="8" borderId="34" xfId="0" applyNumberFormat="1" applyFont="1" applyFill="1" applyBorder="1" applyAlignment="1">
      <alignment horizontal="center" vertical="top"/>
    </xf>
    <xf numFmtId="3" fontId="4" fillId="0" borderId="35" xfId="0" applyNumberFormat="1" applyFont="1" applyFill="1" applyBorder="1" applyAlignment="1">
      <alignment horizontal="center" vertical="top"/>
    </xf>
    <xf numFmtId="3" fontId="5" fillId="4" borderId="59" xfId="0" applyNumberFormat="1" applyFont="1" applyFill="1" applyBorder="1" applyAlignment="1">
      <alignment vertical="top" wrapText="1"/>
    </xf>
    <xf numFmtId="3" fontId="5" fillId="4" borderId="77" xfId="0" applyNumberFormat="1" applyFont="1" applyFill="1" applyBorder="1" applyAlignment="1">
      <alignment vertical="top" wrapText="1"/>
    </xf>
    <xf numFmtId="3" fontId="4" fillId="0" borderId="35" xfId="0" applyNumberFormat="1" applyFont="1" applyFill="1" applyBorder="1" applyAlignment="1">
      <alignment vertical="top" wrapText="1"/>
    </xf>
    <xf numFmtId="3" fontId="4" fillId="0" borderId="26" xfId="0" applyNumberFormat="1" applyFont="1" applyFill="1" applyBorder="1" applyAlignment="1">
      <alignment vertical="top" wrapText="1"/>
    </xf>
    <xf numFmtId="3" fontId="4" fillId="0" borderId="46" xfId="0" applyNumberFormat="1" applyFont="1" applyFill="1" applyBorder="1" applyAlignment="1">
      <alignment vertical="top" wrapText="1"/>
    </xf>
    <xf numFmtId="3" fontId="4" fillId="0" borderId="51" xfId="0" applyNumberFormat="1" applyFont="1" applyFill="1" applyBorder="1" applyAlignment="1">
      <alignment vertical="top" wrapText="1"/>
    </xf>
    <xf numFmtId="3" fontId="5" fillId="9" borderId="55" xfId="0" applyNumberFormat="1" applyFont="1" applyFill="1" applyBorder="1" applyAlignment="1">
      <alignment vertical="top" wrapText="1"/>
    </xf>
    <xf numFmtId="3" fontId="5" fillId="9" borderId="76" xfId="0" applyNumberFormat="1" applyFont="1" applyFill="1" applyBorder="1" applyAlignment="1">
      <alignment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top" wrapText="1"/>
    </xf>
    <xf numFmtId="3" fontId="5" fillId="2" borderId="55" xfId="0" applyNumberFormat="1" applyFont="1" applyFill="1" applyBorder="1" applyAlignment="1">
      <alignment vertical="top"/>
    </xf>
    <xf numFmtId="3" fontId="4" fillId="8" borderId="2" xfId="0" applyNumberFormat="1" applyFont="1" applyFill="1" applyBorder="1" applyAlignment="1">
      <alignment horizontal="center" vertical="top"/>
    </xf>
    <xf numFmtId="3" fontId="5" fillId="6" borderId="56" xfId="0" applyNumberFormat="1" applyFont="1" applyFill="1" applyBorder="1" applyAlignment="1">
      <alignment horizontal="center" vertical="top" wrapText="1"/>
    </xf>
    <xf numFmtId="3" fontId="4" fillId="8" borderId="16" xfId="0" applyNumberFormat="1" applyFont="1" applyFill="1" applyBorder="1" applyAlignment="1">
      <alignment horizontal="left" vertical="top" wrapText="1"/>
    </xf>
    <xf numFmtId="3" fontId="4" fillId="8" borderId="13" xfId="0" applyNumberFormat="1" applyFont="1" applyFill="1" applyBorder="1" applyAlignment="1">
      <alignment horizontal="center" vertical="top" wrapText="1"/>
    </xf>
    <xf numFmtId="3" fontId="4" fillId="8" borderId="39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3" fontId="1" fillId="0" borderId="38" xfId="0" applyNumberFormat="1" applyFont="1" applyFill="1" applyBorder="1" applyAlignment="1">
      <alignment horizontal="left" vertical="top" wrapText="1"/>
    </xf>
    <xf numFmtId="3" fontId="1" fillId="5" borderId="42" xfId="0" applyNumberFormat="1" applyFont="1" applyFill="1" applyBorder="1" applyAlignment="1">
      <alignment horizontal="left" vertical="top" wrapText="1"/>
    </xf>
    <xf numFmtId="3" fontId="1" fillId="5" borderId="37" xfId="0" applyNumberFormat="1" applyFont="1" applyFill="1" applyBorder="1" applyAlignment="1">
      <alignment horizontal="left" vertical="top" wrapText="1"/>
    </xf>
    <xf numFmtId="3" fontId="2" fillId="0" borderId="44" xfId="0" applyNumberFormat="1" applyFont="1" applyFill="1" applyBorder="1" applyAlignment="1">
      <alignment horizontal="center" vertical="top"/>
    </xf>
    <xf numFmtId="49" fontId="1" fillId="8" borderId="60" xfId="0" applyNumberFormat="1" applyFont="1" applyFill="1" applyBorder="1" applyAlignment="1">
      <alignment horizontal="center" vertical="top"/>
    </xf>
    <xf numFmtId="49" fontId="1" fillId="8" borderId="18" xfId="0" applyNumberFormat="1" applyFont="1" applyFill="1" applyBorder="1" applyAlignment="1">
      <alignment horizontal="center" vertical="top"/>
    </xf>
    <xf numFmtId="3" fontId="2" fillId="0" borderId="69" xfId="0" applyNumberFormat="1" applyFont="1" applyFill="1" applyBorder="1" applyAlignment="1">
      <alignment horizontal="center" vertical="top" wrapText="1"/>
    </xf>
    <xf numFmtId="3" fontId="2" fillId="0" borderId="40" xfId="0" applyNumberFormat="1" applyFont="1" applyBorder="1" applyAlignment="1">
      <alignment horizontal="center" vertical="top"/>
    </xf>
    <xf numFmtId="3" fontId="1" fillId="0" borderId="62" xfId="0" applyNumberFormat="1" applyFont="1" applyBorder="1" applyAlignment="1">
      <alignment vertical="top" wrapText="1"/>
    </xf>
    <xf numFmtId="3" fontId="1" fillId="5" borderId="63" xfId="0" applyNumberFormat="1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3" fontId="2" fillId="3" borderId="57" xfId="0" applyNumberFormat="1" applyFont="1" applyFill="1" applyBorder="1" applyAlignment="1">
      <alignment horizontal="center" vertical="top"/>
    </xf>
    <xf numFmtId="3" fontId="2" fillId="4" borderId="57" xfId="0" applyNumberFormat="1" applyFont="1" applyFill="1" applyBorder="1" applyAlignment="1">
      <alignment horizontal="center" vertical="top"/>
    </xf>
    <xf numFmtId="3" fontId="5" fillId="3" borderId="12" xfId="0" applyNumberFormat="1" applyFont="1" applyFill="1" applyBorder="1" applyAlignment="1">
      <alignment horizontal="center" vertical="top"/>
    </xf>
    <xf numFmtId="3" fontId="1" fillId="8" borderId="37" xfId="0" applyNumberFormat="1" applyFont="1" applyFill="1" applyBorder="1" applyAlignment="1">
      <alignment vertical="top" wrapText="1"/>
    </xf>
    <xf numFmtId="3" fontId="1" fillId="8" borderId="41" xfId="0" applyNumberFormat="1" applyFont="1" applyFill="1" applyBorder="1" applyAlignment="1">
      <alignment vertical="top" wrapText="1"/>
    </xf>
    <xf numFmtId="3" fontId="4" fillId="5" borderId="7" xfId="0" applyNumberFormat="1" applyFont="1" applyFill="1" applyBorder="1" applyAlignment="1">
      <alignment horizontal="center" vertical="top" wrapText="1"/>
    </xf>
    <xf numFmtId="3" fontId="4" fillId="8" borderId="59" xfId="0" applyNumberFormat="1" applyFont="1" applyFill="1" applyBorder="1" applyAlignment="1">
      <alignment horizontal="center" vertical="top"/>
    </xf>
    <xf numFmtId="3" fontId="4" fillId="0" borderId="61" xfId="0" applyNumberFormat="1" applyFont="1" applyFill="1" applyBorder="1" applyAlignment="1">
      <alignment horizontal="center" vertical="top"/>
    </xf>
    <xf numFmtId="3" fontId="5" fillId="10" borderId="45" xfId="0" applyNumberFormat="1" applyFont="1" applyFill="1" applyBorder="1" applyAlignment="1">
      <alignment horizontal="center" vertical="top"/>
    </xf>
    <xf numFmtId="3" fontId="5" fillId="3" borderId="79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top"/>
    </xf>
    <xf numFmtId="3" fontId="2" fillId="9" borderId="67" xfId="0" applyNumberFormat="1" applyFont="1" applyFill="1" applyBorder="1" applyAlignment="1">
      <alignment horizontal="center" vertical="top"/>
    </xf>
    <xf numFmtId="3" fontId="4" fillId="8" borderId="66" xfId="0" applyNumberFormat="1" applyFont="1" applyFill="1" applyBorder="1" applyAlignment="1">
      <alignment horizontal="center" vertical="top"/>
    </xf>
    <xf numFmtId="3" fontId="4" fillId="0" borderId="34" xfId="0" applyNumberFormat="1" applyFont="1" applyBorder="1" applyAlignment="1">
      <alignment horizontal="center" vertical="top"/>
    </xf>
    <xf numFmtId="3" fontId="1" fillId="5" borderId="28" xfId="0" applyNumberFormat="1" applyFont="1" applyFill="1" applyBorder="1" applyAlignment="1">
      <alignment horizontal="center" vertical="top" wrapText="1"/>
    </xf>
    <xf numFmtId="3" fontId="1" fillId="5" borderId="27" xfId="0" applyNumberFormat="1" applyFont="1" applyFill="1" applyBorder="1" applyAlignment="1">
      <alignment horizontal="center" vertical="top" wrapText="1"/>
    </xf>
    <xf numFmtId="3" fontId="5" fillId="9" borderId="62" xfId="0" applyNumberFormat="1" applyFont="1" applyFill="1" applyBorder="1" applyAlignment="1">
      <alignment horizontal="center" vertical="top"/>
    </xf>
    <xf numFmtId="3" fontId="4" fillId="0" borderId="40" xfId="0" applyNumberFormat="1" applyFont="1" applyFill="1" applyBorder="1" applyAlignment="1">
      <alignment horizontal="center" vertical="top"/>
    </xf>
    <xf numFmtId="3" fontId="5" fillId="4" borderId="66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center" vertical="top" wrapText="1"/>
    </xf>
    <xf numFmtId="3" fontId="5" fillId="9" borderId="14" xfId="0" applyNumberFormat="1" applyFont="1" applyFill="1" applyBorder="1" applyAlignment="1">
      <alignment horizontal="center" vertical="top" wrapText="1"/>
    </xf>
    <xf numFmtId="3" fontId="5" fillId="4" borderId="36" xfId="0" applyNumberFormat="1" applyFont="1" applyFill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1" fillId="8" borderId="1" xfId="0" applyNumberFormat="1" applyFont="1" applyFill="1" applyBorder="1" applyAlignment="1">
      <alignment vertical="top" wrapText="1"/>
    </xf>
    <xf numFmtId="3" fontId="1" fillId="8" borderId="11" xfId="0" applyNumberFormat="1" applyFont="1" applyFill="1" applyBorder="1" applyAlignment="1">
      <alignment horizontal="center" vertical="top"/>
    </xf>
    <xf numFmtId="3" fontId="1" fillId="8" borderId="79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167" fontId="4" fillId="8" borderId="67" xfId="0" applyNumberFormat="1" applyFont="1" applyFill="1" applyBorder="1" applyAlignment="1">
      <alignment horizontal="center" vertical="top"/>
    </xf>
    <xf numFmtId="167" fontId="4" fillId="8" borderId="52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3" fontId="4" fillId="8" borderId="40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 textRotation="90" wrapText="1"/>
    </xf>
    <xf numFmtId="49" fontId="1" fillId="0" borderId="18" xfId="0" applyNumberFormat="1" applyFont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/>
    </xf>
    <xf numFmtId="3" fontId="2" fillId="2" borderId="12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 textRotation="90" wrapText="1"/>
    </xf>
    <xf numFmtId="49" fontId="1" fillId="0" borderId="60" xfId="0" applyNumberFormat="1" applyFont="1" applyFill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3" fontId="1" fillId="0" borderId="22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top" wrapText="1"/>
    </xf>
    <xf numFmtId="49" fontId="2" fillId="5" borderId="18" xfId="0" applyNumberFormat="1" applyFont="1" applyFill="1" applyBorder="1" applyAlignment="1">
      <alignment horizontal="center" vertical="top"/>
    </xf>
    <xf numFmtId="49" fontId="1" fillId="10" borderId="60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49" fontId="2" fillId="3" borderId="23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vertical="top"/>
    </xf>
    <xf numFmtId="49" fontId="2" fillId="2" borderId="13" xfId="0" applyNumberFormat="1" applyFont="1" applyFill="1" applyBorder="1" applyAlignment="1">
      <alignment vertical="top"/>
    </xf>
    <xf numFmtId="49" fontId="2" fillId="3" borderId="41" xfId="0" applyNumberFormat="1" applyFont="1" applyFill="1" applyBorder="1" applyAlignment="1">
      <alignment vertical="top"/>
    </xf>
    <xf numFmtId="49" fontId="2" fillId="2" borderId="18" xfId="0" applyNumberFormat="1" applyFont="1" applyFill="1" applyBorder="1" applyAlignment="1">
      <alignment vertical="top"/>
    </xf>
    <xf numFmtId="49" fontId="1" fillId="0" borderId="43" xfId="0" applyNumberFormat="1" applyFont="1" applyBorder="1" applyAlignment="1">
      <alignment vertical="top"/>
    </xf>
    <xf numFmtId="3" fontId="2" fillId="0" borderId="13" xfId="0" applyNumberFormat="1" applyFont="1" applyFill="1" applyBorder="1" applyAlignment="1">
      <alignment horizontal="left" vertical="top" wrapText="1"/>
    </xf>
    <xf numFmtId="3" fontId="2" fillId="0" borderId="39" xfId="0" applyNumberFormat="1" applyFont="1" applyFill="1" applyBorder="1" applyAlignment="1">
      <alignment horizontal="center" vertical="top"/>
    </xf>
    <xf numFmtId="3" fontId="1" fillId="0" borderId="27" xfId="0" applyNumberFormat="1" applyFont="1" applyBorder="1" applyAlignment="1">
      <alignment horizontal="center" vertical="top" wrapText="1"/>
    </xf>
    <xf numFmtId="3" fontId="1" fillId="8" borderId="38" xfId="0" applyNumberFormat="1" applyFont="1" applyFill="1" applyBorder="1" applyAlignment="1">
      <alignment vertical="top" wrapText="1"/>
    </xf>
    <xf numFmtId="49" fontId="1" fillId="0" borderId="43" xfId="0" applyNumberFormat="1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vertical="top" wrapText="1"/>
    </xf>
    <xf numFmtId="3" fontId="1" fillId="9" borderId="48" xfId="0" applyNumberFormat="1" applyFont="1" applyFill="1" applyBorder="1" applyAlignment="1">
      <alignment horizontal="center" vertical="top"/>
    </xf>
    <xf numFmtId="3" fontId="4" fillId="8" borderId="52" xfId="0" applyNumberFormat="1" applyFont="1" applyFill="1" applyBorder="1" applyAlignment="1">
      <alignment horizontal="center" vertical="top"/>
    </xf>
    <xf numFmtId="3" fontId="4" fillId="8" borderId="32" xfId="0" applyNumberFormat="1" applyFont="1" applyFill="1" applyBorder="1" applyAlignment="1">
      <alignment horizontal="center" vertical="top"/>
    </xf>
    <xf numFmtId="3" fontId="5" fillId="8" borderId="32" xfId="0" applyNumberFormat="1" applyFont="1" applyFill="1" applyBorder="1" applyAlignment="1">
      <alignment horizontal="center" vertical="top"/>
    </xf>
    <xf numFmtId="3" fontId="4" fillId="0" borderId="32" xfId="0" applyNumberFormat="1" applyFont="1" applyFill="1" applyBorder="1" applyAlignment="1">
      <alignment horizontal="center" vertical="top"/>
    </xf>
    <xf numFmtId="3" fontId="5" fillId="6" borderId="45" xfId="0" applyNumberFormat="1" applyFont="1" applyFill="1" applyBorder="1" applyAlignment="1">
      <alignment horizontal="center" vertical="top"/>
    </xf>
    <xf numFmtId="3" fontId="5" fillId="9" borderId="40" xfId="0" applyNumberFormat="1" applyFont="1" applyFill="1" applyBorder="1" applyAlignment="1">
      <alignment horizontal="center" vertical="top"/>
    </xf>
    <xf numFmtId="3" fontId="5" fillId="2" borderId="79" xfId="0" applyNumberFormat="1" applyFont="1" applyFill="1" applyBorder="1" applyAlignment="1">
      <alignment vertical="top"/>
    </xf>
    <xf numFmtId="3" fontId="5" fillId="2" borderId="14" xfId="0" applyNumberFormat="1" applyFont="1" applyFill="1" applyBorder="1" applyAlignment="1">
      <alignment horizontal="center" vertical="top"/>
    </xf>
    <xf numFmtId="3" fontId="5" fillId="6" borderId="47" xfId="0" applyNumberFormat="1" applyFont="1" applyFill="1" applyBorder="1" applyAlignment="1">
      <alignment horizontal="center" vertical="top"/>
    </xf>
    <xf numFmtId="3" fontId="5" fillId="3" borderId="21" xfId="0" applyNumberFormat="1" applyFont="1" applyFill="1" applyBorder="1" applyAlignment="1">
      <alignment horizontal="center" vertical="top"/>
    </xf>
    <xf numFmtId="3" fontId="5" fillId="4" borderId="21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3" fontId="2" fillId="0" borderId="31" xfId="0" applyNumberFormat="1" applyFont="1" applyBorder="1" applyAlignment="1">
      <alignment horizontal="center" vertical="top"/>
    </xf>
    <xf numFmtId="3" fontId="2" fillId="0" borderId="32" xfId="0" applyNumberFormat="1" applyFont="1" applyBorder="1" applyAlignment="1">
      <alignment horizontal="center" vertical="top"/>
    </xf>
    <xf numFmtId="3" fontId="2" fillId="0" borderId="18" xfId="0" applyNumberFormat="1" applyFont="1" applyFill="1" applyBorder="1" applyAlignment="1">
      <alignment vertical="top" textRotation="90" wrapText="1"/>
    </xf>
    <xf numFmtId="3" fontId="2" fillId="0" borderId="21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2" fillId="2" borderId="55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/>
    </xf>
    <xf numFmtId="3" fontId="4" fillId="8" borderId="61" xfId="0" applyNumberFormat="1" applyFont="1" applyFill="1" applyBorder="1" applyAlignment="1">
      <alignment horizontal="center" vertical="top"/>
    </xf>
    <xf numFmtId="3" fontId="1" fillId="0" borderId="60" xfId="0" applyNumberFormat="1" applyFont="1" applyFill="1" applyBorder="1" applyAlignment="1">
      <alignment vertical="top" wrapText="1"/>
    </xf>
    <xf numFmtId="3" fontId="4" fillId="0" borderId="62" xfId="0" applyNumberFormat="1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vertical="top" wrapText="1"/>
    </xf>
    <xf numFmtId="3" fontId="4" fillId="0" borderId="28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49" fontId="1" fillId="0" borderId="43" xfId="0" applyNumberFormat="1" applyFont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3" fontId="2" fillId="5" borderId="39" xfId="0" applyNumberFormat="1" applyFont="1" applyFill="1" applyBorder="1" applyAlignment="1">
      <alignment horizontal="center" vertical="top"/>
    </xf>
    <xf numFmtId="3" fontId="1" fillId="5" borderId="42" xfId="0" applyNumberFormat="1" applyFont="1" applyFill="1" applyBorder="1" applyAlignment="1">
      <alignment vertical="top" wrapText="1"/>
    </xf>
    <xf numFmtId="3" fontId="5" fillId="10" borderId="46" xfId="0" applyNumberFormat="1" applyFont="1" applyFill="1" applyBorder="1" applyAlignment="1">
      <alignment horizontal="center" vertical="top"/>
    </xf>
    <xf numFmtId="3" fontId="2" fillId="5" borderId="21" xfId="0" applyNumberFormat="1" applyFont="1" applyFill="1" applyBorder="1" applyAlignment="1">
      <alignment horizontal="center" vertical="top"/>
    </xf>
    <xf numFmtId="49" fontId="1" fillId="10" borderId="18" xfId="0" applyNumberFormat="1" applyFont="1" applyFill="1" applyBorder="1" applyAlignment="1">
      <alignment vertical="top"/>
    </xf>
    <xf numFmtId="49" fontId="1" fillId="10" borderId="43" xfId="0" applyNumberFormat="1" applyFont="1" applyFill="1" applyBorder="1" applyAlignment="1">
      <alignment vertical="top"/>
    </xf>
    <xf numFmtId="3" fontId="1" fillId="0" borderId="8" xfId="0" applyNumberFormat="1" applyFont="1" applyBorder="1" applyAlignment="1">
      <alignment horizontal="center" vertical="top" wrapText="1"/>
    </xf>
    <xf numFmtId="3" fontId="4" fillId="8" borderId="31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center"/>
    </xf>
    <xf numFmtId="3" fontId="4" fillId="8" borderId="68" xfId="0" applyNumberFormat="1" applyFont="1" applyFill="1" applyBorder="1" applyAlignment="1">
      <alignment horizontal="center" vertical="center"/>
    </xf>
    <xf numFmtId="3" fontId="4" fillId="8" borderId="35" xfId="0" applyNumberFormat="1" applyFont="1" applyFill="1" applyBorder="1" applyAlignment="1">
      <alignment horizontal="center" vertical="center"/>
    </xf>
    <xf numFmtId="3" fontId="4" fillId="5" borderId="66" xfId="0" applyNumberFormat="1" applyFont="1" applyFill="1" applyBorder="1" applyAlignment="1">
      <alignment horizontal="center" vertical="top"/>
    </xf>
    <xf numFmtId="3" fontId="4" fillId="8" borderId="52" xfId="0" applyNumberFormat="1" applyFont="1" applyFill="1" applyBorder="1" applyAlignment="1">
      <alignment horizontal="center" vertical="center"/>
    </xf>
    <xf numFmtId="3" fontId="4" fillId="8" borderId="67" xfId="0" applyNumberFormat="1" applyFont="1" applyFill="1" applyBorder="1" applyAlignment="1">
      <alignment horizontal="center" vertical="top" wrapText="1"/>
    </xf>
    <xf numFmtId="3" fontId="4" fillId="8" borderId="31" xfId="0" applyNumberFormat="1" applyFont="1" applyFill="1" applyBorder="1" applyAlignment="1">
      <alignment vertical="top"/>
    </xf>
    <xf numFmtId="3" fontId="4" fillId="8" borderId="61" xfId="0" applyNumberFormat="1" applyFont="1" applyFill="1" applyBorder="1" applyAlignment="1">
      <alignment vertical="top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6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vertical="top" wrapText="1"/>
    </xf>
    <xf numFmtId="3" fontId="5" fillId="9" borderId="33" xfId="0" applyNumberFormat="1" applyFont="1" applyFill="1" applyBorder="1" applyAlignment="1">
      <alignment horizontal="center" vertical="top"/>
    </xf>
    <xf numFmtId="3" fontId="4" fillId="8" borderId="41" xfId="0" applyNumberFormat="1" applyFont="1" applyFill="1" applyBorder="1" applyAlignment="1">
      <alignment horizontal="center" vertical="top"/>
    </xf>
    <xf numFmtId="49" fontId="2" fillId="5" borderId="54" xfId="0" applyNumberFormat="1" applyFont="1" applyFill="1" applyBorder="1" applyAlignment="1">
      <alignment horizontal="center" vertical="top"/>
    </xf>
    <xf numFmtId="3" fontId="5" fillId="5" borderId="42" xfId="0" applyNumberFormat="1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3" fontId="1" fillId="5" borderId="42" xfId="0" applyNumberFormat="1" applyFont="1" applyFill="1" applyBorder="1" applyAlignment="1">
      <alignment horizontal="left" vertical="top" wrapText="1"/>
    </xf>
    <xf numFmtId="3" fontId="2" fillId="0" borderId="18" xfId="0" applyNumberFormat="1" applyFont="1" applyFill="1" applyBorder="1" applyAlignment="1">
      <alignment vertical="top" textRotation="90" wrapText="1"/>
    </xf>
    <xf numFmtId="3" fontId="1" fillId="8" borderId="18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1" fillId="5" borderId="41" xfId="0" applyNumberFormat="1" applyFont="1" applyFill="1" applyBorder="1" applyAlignment="1">
      <alignment horizontal="left" vertical="top" wrapText="1"/>
    </xf>
    <xf numFmtId="3" fontId="1" fillId="5" borderId="37" xfId="0" applyNumberFormat="1" applyFont="1" applyFill="1" applyBorder="1" applyAlignment="1">
      <alignment horizontal="left" vertical="top" wrapText="1"/>
    </xf>
    <xf numFmtId="3" fontId="4" fillId="8" borderId="40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/>
    </xf>
    <xf numFmtId="3" fontId="4" fillId="8" borderId="61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 wrapText="1"/>
    </xf>
    <xf numFmtId="3" fontId="1" fillId="5" borderId="43" xfId="0" applyNumberFormat="1" applyFont="1" applyFill="1" applyBorder="1" applyAlignment="1">
      <alignment vertical="top" wrapText="1"/>
    </xf>
    <xf numFmtId="3" fontId="4" fillId="8" borderId="53" xfId="0" applyNumberFormat="1" applyFont="1" applyFill="1" applyBorder="1" applyAlignment="1">
      <alignment vertical="top"/>
    </xf>
    <xf numFmtId="3" fontId="5" fillId="8" borderId="34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horizontal="center" vertical="top"/>
    </xf>
    <xf numFmtId="49" fontId="4" fillId="6" borderId="18" xfId="0" applyNumberFormat="1" applyFont="1" applyFill="1" applyBorder="1" applyAlignment="1">
      <alignment horizontal="center" vertical="top"/>
    </xf>
    <xf numFmtId="49" fontId="4" fillId="6" borderId="43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vertical="top" textRotation="90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8" borderId="40" xfId="0" applyNumberFormat="1" applyFont="1" applyFill="1" applyBorder="1" applyAlignment="1">
      <alignment horizontal="center" vertical="top"/>
    </xf>
    <xf numFmtId="3" fontId="4" fillId="8" borderId="61" xfId="0" applyNumberFormat="1" applyFont="1" applyFill="1" applyBorder="1" applyAlignment="1">
      <alignment horizontal="center" vertical="top"/>
    </xf>
    <xf numFmtId="3" fontId="4" fillId="8" borderId="40" xfId="0" applyNumberFormat="1" applyFont="1" applyFill="1" applyBorder="1" applyAlignment="1">
      <alignment vertical="top"/>
    </xf>
    <xf numFmtId="49" fontId="1" fillId="8" borderId="34" xfId="0" applyNumberFormat="1" applyFont="1" applyFill="1" applyBorder="1" applyAlignment="1">
      <alignment horizontal="center" vertical="top"/>
    </xf>
    <xf numFmtId="49" fontId="1" fillId="8" borderId="54" xfId="0" applyNumberFormat="1" applyFont="1" applyFill="1" applyBorder="1" applyAlignment="1">
      <alignment horizontal="center" vertical="top"/>
    </xf>
    <xf numFmtId="3" fontId="18" fillId="5" borderId="31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Border="1" applyAlignment="1">
      <alignment horizontal="center" vertical="top"/>
    </xf>
    <xf numFmtId="3" fontId="1" fillId="0" borderId="42" xfId="0" applyNumberFormat="1" applyFont="1" applyFill="1" applyBorder="1" applyAlignment="1">
      <alignment horizontal="left" vertical="top" wrapText="1"/>
    </xf>
    <xf numFmtId="3" fontId="2" fillId="0" borderId="18" xfId="0" applyNumberFormat="1" applyFont="1" applyFill="1" applyBorder="1" applyAlignment="1">
      <alignment vertical="top" textRotation="90" wrapText="1"/>
    </xf>
    <xf numFmtId="3" fontId="2" fillId="0" borderId="40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49" fontId="1" fillId="0" borderId="54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wrapText="1"/>
    </xf>
    <xf numFmtId="3" fontId="2" fillId="0" borderId="43" xfId="0" applyNumberFormat="1" applyFont="1" applyFill="1" applyBorder="1" applyAlignment="1">
      <alignment vertical="top" textRotation="90" wrapText="1"/>
    </xf>
    <xf numFmtId="3" fontId="1" fillId="8" borderId="54" xfId="0" applyNumberFormat="1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vertical="top" textRotation="90" wrapText="1"/>
    </xf>
    <xf numFmtId="3" fontId="2" fillId="0" borderId="18" xfId="0" applyNumberFormat="1" applyFont="1" applyFill="1" applyBorder="1" applyAlignment="1">
      <alignment horizontal="center" vertical="top" textRotation="90" wrapText="1"/>
    </xf>
    <xf numFmtId="3" fontId="2" fillId="0" borderId="31" xfId="0" applyNumberFormat="1" applyFont="1" applyBorder="1" applyAlignment="1">
      <alignment horizontal="center" vertical="top"/>
    </xf>
    <xf numFmtId="3" fontId="5" fillId="2" borderId="25" xfId="0" applyNumberFormat="1" applyFont="1" applyFill="1" applyBorder="1" applyAlignment="1">
      <alignment horizontal="center" vertical="top"/>
    </xf>
    <xf numFmtId="3" fontId="5" fillId="3" borderId="25" xfId="0" applyNumberFormat="1" applyFont="1" applyFill="1" applyBorder="1" applyAlignment="1">
      <alignment horizontal="center" vertical="top"/>
    </xf>
    <xf numFmtId="3" fontId="5" fillId="3" borderId="11" xfId="0" applyNumberFormat="1" applyFont="1" applyFill="1" applyBorder="1" applyAlignment="1">
      <alignment horizontal="center" vertical="top"/>
    </xf>
    <xf numFmtId="3" fontId="5" fillId="0" borderId="7" xfId="0" applyNumberFormat="1" applyFont="1" applyBorder="1" applyAlignment="1">
      <alignment horizontal="center" vertical="top"/>
    </xf>
    <xf numFmtId="3" fontId="5" fillId="9" borderId="27" xfId="0" applyNumberFormat="1" applyFont="1" applyFill="1" applyBorder="1" applyAlignment="1">
      <alignment horizontal="center" vertical="top"/>
    </xf>
    <xf numFmtId="3" fontId="4" fillId="5" borderId="32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49" fontId="1" fillId="0" borderId="60" xfId="0" applyNumberFormat="1" applyFont="1" applyBorder="1" applyAlignment="1">
      <alignment vertical="top" wrapText="1"/>
    </xf>
    <xf numFmtId="3" fontId="2" fillId="5" borderId="40" xfId="0" applyNumberFormat="1" applyFont="1" applyFill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center" vertical="top" wrapText="1"/>
    </xf>
    <xf numFmtId="3" fontId="2" fillId="8" borderId="67" xfId="0" applyNumberFormat="1" applyFont="1" applyFill="1" applyBorder="1" applyAlignment="1">
      <alignment horizontal="center" vertical="top"/>
    </xf>
    <xf numFmtId="3" fontId="2" fillId="0" borderId="61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 wrapText="1"/>
    </xf>
    <xf numFmtId="3" fontId="18" fillId="0" borderId="18" xfId="0" applyNumberFormat="1" applyFont="1" applyFill="1" applyBorder="1" applyAlignment="1">
      <alignment vertical="top" textRotation="90" wrapText="1"/>
    </xf>
    <xf numFmtId="49" fontId="1" fillId="0" borderId="69" xfId="0" applyNumberFormat="1" applyFont="1" applyBorder="1" applyAlignment="1">
      <alignment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3" fontId="4" fillId="8" borderId="0" xfId="0" applyNumberFormat="1" applyFont="1" applyFill="1" applyBorder="1" applyAlignment="1">
      <alignment vertical="top"/>
    </xf>
    <xf numFmtId="49" fontId="1" fillId="10" borderId="60" xfId="0" applyNumberFormat="1" applyFont="1" applyFill="1" applyBorder="1" applyAlignment="1">
      <alignment horizontal="center" vertical="top"/>
    </xf>
    <xf numFmtId="3" fontId="4" fillId="8" borderId="68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49" fontId="1" fillId="10" borderId="60" xfId="0" applyNumberFormat="1" applyFont="1" applyFill="1" applyBorder="1" applyAlignment="1">
      <alignment vertical="top"/>
    </xf>
    <xf numFmtId="3" fontId="1" fillId="0" borderId="33" xfId="0" applyNumberFormat="1" applyFont="1" applyBorder="1" applyAlignment="1">
      <alignment vertical="top" wrapText="1"/>
    </xf>
    <xf numFmtId="49" fontId="5" fillId="10" borderId="70" xfId="0" applyNumberFormat="1" applyFont="1" applyFill="1" applyBorder="1" applyAlignment="1">
      <alignment horizontal="right" vertical="top"/>
    </xf>
    <xf numFmtId="3" fontId="1" fillId="0" borderId="22" xfId="0" applyNumberFormat="1" applyFont="1" applyBorder="1" applyAlignment="1">
      <alignment vertical="top" wrapText="1"/>
    </xf>
    <xf numFmtId="3" fontId="5" fillId="10" borderId="48" xfId="0" applyNumberFormat="1" applyFont="1" applyFill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3" fontId="4" fillId="5" borderId="67" xfId="0" applyNumberFormat="1" applyFont="1" applyFill="1" applyBorder="1" applyAlignment="1">
      <alignment vertical="top" wrapText="1"/>
    </xf>
    <xf numFmtId="3" fontId="4" fillId="5" borderId="35" xfId="0" applyNumberFormat="1" applyFont="1" applyFill="1" applyBorder="1" applyAlignment="1">
      <alignment horizontal="center" vertical="top" wrapText="1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3" fontId="2" fillId="0" borderId="31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3" fontId="2" fillId="0" borderId="18" xfId="0" applyNumberFormat="1" applyFont="1" applyFill="1" applyBorder="1" applyAlignment="1">
      <alignment vertical="top" textRotation="90" wrapText="1"/>
    </xf>
    <xf numFmtId="3" fontId="1" fillId="8" borderId="19" xfId="0" applyNumberFormat="1" applyFont="1" applyFill="1" applyBorder="1" applyAlignment="1">
      <alignment horizontal="center" vertical="top"/>
    </xf>
    <xf numFmtId="3" fontId="1" fillId="0" borderId="19" xfId="0" applyNumberFormat="1" applyFont="1" applyBorder="1" applyAlignment="1">
      <alignment horizontal="center" vertical="top"/>
    </xf>
    <xf numFmtId="3" fontId="1" fillId="8" borderId="18" xfId="0" applyNumberFormat="1" applyFont="1" applyFill="1" applyBorder="1" applyAlignment="1">
      <alignment horizontal="center" vertical="top"/>
    </xf>
    <xf numFmtId="3" fontId="1" fillId="8" borderId="68" xfId="0" applyNumberFormat="1" applyFont="1" applyFill="1" applyBorder="1" applyAlignment="1">
      <alignment horizontal="center" vertical="top" wrapText="1"/>
    </xf>
    <xf numFmtId="3" fontId="2" fillId="8" borderId="32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1" fillId="0" borderId="62" xfId="0" applyNumberFormat="1" applyFont="1" applyBorder="1" applyAlignment="1">
      <alignment vertical="top"/>
    </xf>
    <xf numFmtId="3" fontId="1" fillId="0" borderId="35" xfId="0" applyNumberFormat="1" applyFont="1" applyFill="1" applyBorder="1" applyAlignment="1">
      <alignment horizontal="center" vertical="top" wrapText="1"/>
    </xf>
    <xf numFmtId="3" fontId="4" fillId="8" borderId="29" xfId="0" applyNumberFormat="1" applyFont="1" applyFill="1" applyBorder="1" applyAlignment="1">
      <alignment horizontal="center" vertical="top"/>
    </xf>
    <xf numFmtId="3" fontId="4" fillId="8" borderId="3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3" fontId="5" fillId="5" borderId="0" xfId="0" applyNumberFormat="1" applyFont="1" applyFill="1" applyBorder="1" applyAlignment="1">
      <alignment horizontal="center" vertical="top" wrapText="1"/>
    </xf>
    <xf numFmtId="3" fontId="4" fillId="8" borderId="0" xfId="0" applyNumberFormat="1" applyFont="1" applyFill="1" applyBorder="1" applyAlignment="1">
      <alignment horizontal="center" vertical="top" wrapText="1"/>
    </xf>
    <xf numFmtId="3" fontId="4" fillId="8" borderId="0" xfId="0" applyNumberFormat="1" applyFont="1" applyFill="1" applyBorder="1" applyAlignment="1">
      <alignment vertical="top"/>
    </xf>
    <xf numFmtId="3" fontId="2" fillId="0" borderId="31" xfId="0" applyNumberFormat="1" applyFont="1" applyBorder="1" applyAlignment="1">
      <alignment horizontal="center" vertical="top"/>
    </xf>
    <xf numFmtId="3" fontId="4" fillId="5" borderId="18" xfId="0" applyNumberFormat="1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center" vertical="top"/>
    </xf>
    <xf numFmtId="3" fontId="5" fillId="5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top" textRotation="90" wrapText="1"/>
    </xf>
    <xf numFmtId="3" fontId="1" fillId="0" borderId="37" xfId="0" applyNumberFormat="1" applyFont="1" applyBorder="1" applyAlignment="1">
      <alignment horizontal="left" vertical="top" wrapText="1"/>
    </xf>
    <xf numFmtId="3" fontId="2" fillId="0" borderId="44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3" fontId="2" fillId="0" borderId="32" xfId="0" applyNumberFormat="1" applyFont="1" applyBorder="1" applyAlignment="1">
      <alignment horizontal="center" vertical="top"/>
    </xf>
    <xf numFmtId="3" fontId="2" fillId="0" borderId="18" xfId="0" applyNumberFormat="1" applyFont="1" applyFill="1" applyBorder="1" applyAlignment="1">
      <alignment vertical="top" textRotation="90" wrapText="1"/>
    </xf>
    <xf numFmtId="3" fontId="2" fillId="0" borderId="21" xfId="0" applyNumberFormat="1" applyFont="1" applyFill="1" applyBorder="1" applyAlignment="1">
      <alignment horizontal="center" vertical="top"/>
    </xf>
    <xf numFmtId="3" fontId="2" fillId="5" borderId="32" xfId="0" applyNumberFormat="1" applyFont="1" applyFill="1" applyBorder="1" applyAlignment="1">
      <alignment horizontal="center" vertical="top"/>
    </xf>
    <xf numFmtId="3" fontId="1" fillId="0" borderId="38" xfId="0" applyNumberFormat="1" applyFont="1" applyFill="1" applyBorder="1" applyAlignment="1">
      <alignment horizontal="left" vertical="top" wrapText="1"/>
    </xf>
    <xf numFmtId="3" fontId="1" fillId="5" borderId="38" xfId="0" applyNumberFormat="1" applyFont="1" applyFill="1" applyBorder="1" applyAlignment="1">
      <alignment horizontal="left" vertical="top" wrapText="1"/>
    </xf>
    <xf numFmtId="3" fontId="1" fillId="5" borderId="41" xfId="0" applyNumberFormat="1" applyFont="1" applyFill="1" applyBorder="1" applyAlignment="1">
      <alignment horizontal="left" vertical="top" wrapText="1"/>
    </xf>
    <xf numFmtId="3" fontId="1" fillId="0" borderId="41" xfId="0" applyNumberFormat="1" applyFont="1" applyBorder="1" applyAlignment="1">
      <alignment horizontal="left" vertical="top" wrapText="1"/>
    </xf>
    <xf numFmtId="3" fontId="1" fillId="5" borderId="42" xfId="0" applyNumberFormat="1" applyFont="1" applyFill="1" applyBorder="1" applyAlignment="1">
      <alignment horizontal="left" vertical="top" wrapText="1"/>
    </xf>
    <xf numFmtId="3" fontId="1" fillId="5" borderId="37" xfId="0" applyNumberFormat="1" applyFont="1" applyFill="1" applyBorder="1" applyAlignment="1">
      <alignment horizontal="left" vertical="top" wrapText="1"/>
    </xf>
    <xf numFmtId="3" fontId="1" fillId="0" borderId="38" xfId="0" applyNumberFormat="1" applyFont="1" applyBorder="1" applyAlignment="1">
      <alignment horizontal="left" vertical="top" wrapText="1"/>
    </xf>
    <xf numFmtId="3" fontId="1" fillId="8" borderId="18" xfId="0" applyNumberFormat="1" applyFont="1" applyFill="1" applyBorder="1" applyAlignment="1">
      <alignment horizontal="center" vertical="top"/>
    </xf>
    <xf numFmtId="3" fontId="4" fillId="0" borderId="62" xfId="0" applyNumberFormat="1" applyFont="1" applyBorder="1" applyAlignment="1">
      <alignment horizontal="left" vertical="top" wrapText="1"/>
    </xf>
    <xf numFmtId="3" fontId="5" fillId="0" borderId="4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1" fillId="0" borderId="0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left" vertical="top" wrapText="1"/>
    </xf>
    <xf numFmtId="49" fontId="2" fillId="5" borderId="18" xfId="0" applyNumberFormat="1" applyFont="1" applyFill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 wrapText="1"/>
    </xf>
    <xf numFmtId="49" fontId="5" fillId="3" borderId="16" xfId="0" applyNumberFormat="1" applyFont="1" applyFill="1" applyBorder="1" applyAlignment="1">
      <alignment horizontal="center" vertical="top"/>
    </xf>
    <xf numFmtId="3" fontId="1" fillId="8" borderId="68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textRotation="90" wrapText="1"/>
    </xf>
    <xf numFmtId="3" fontId="1" fillId="0" borderId="17" xfId="0" applyNumberFormat="1" applyFont="1" applyFill="1" applyBorder="1" applyAlignment="1">
      <alignment horizontal="left" vertical="top" wrapText="1"/>
    </xf>
    <xf numFmtId="3" fontId="4" fillId="5" borderId="36" xfId="0" applyNumberFormat="1" applyFont="1" applyFill="1" applyBorder="1" applyAlignment="1">
      <alignment horizontal="center" vertical="top"/>
    </xf>
    <xf numFmtId="166" fontId="1" fillId="0" borderId="3" xfId="0" applyNumberFormat="1" applyFont="1" applyFill="1" applyBorder="1" applyAlignment="1">
      <alignment horizontal="center" vertical="top"/>
    </xf>
    <xf numFmtId="166" fontId="1" fillId="0" borderId="10" xfId="0" applyNumberFormat="1" applyFont="1" applyFill="1" applyBorder="1" applyAlignment="1">
      <alignment horizontal="center" vertical="top"/>
    </xf>
    <xf numFmtId="166" fontId="5" fillId="9" borderId="51" xfId="0" applyNumberFormat="1" applyFont="1" applyFill="1" applyBorder="1" applyAlignment="1">
      <alignment horizontal="center" vertical="top"/>
    </xf>
    <xf numFmtId="166" fontId="5" fillId="9" borderId="56" xfId="0" applyNumberFormat="1" applyFont="1" applyFill="1" applyBorder="1" applyAlignment="1">
      <alignment horizontal="center" vertical="top"/>
    </xf>
    <xf numFmtId="166" fontId="1" fillId="8" borderId="16" xfId="0" applyNumberFormat="1" applyFont="1" applyFill="1" applyBorder="1" applyAlignment="1">
      <alignment horizontal="center" vertical="top"/>
    </xf>
    <xf numFmtId="166" fontId="1" fillId="8" borderId="10" xfId="0" applyNumberFormat="1" applyFont="1" applyFill="1" applyBorder="1" applyAlignment="1">
      <alignment horizontal="center" vertical="top"/>
    </xf>
    <xf numFmtId="166" fontId="1" fillId="8" borderId="0" xfId="0" applyNumberFormat="1" applyFont="1" applyFill="1" applyBorder="1" applyAlignment="1">
      <alignment horizontal="center" vertical="top"/>
    </xf>
    <xf numFmtId="166" fontId="1" fillId="8" borderId="8" xfId="0" applyNumberFormat="1" applyFont="1" applyFill="1" applyBorder="1" applyAlignment="1">
      <alignment horizontal="center" vertical="top"/>
    </xf>
    <xf numFmtId="166" fontId="5" fillId="9" borderId="28" xfId="0" applyNumberFormat="1" applyFont="1" applyFill="1" applyBorder="1" applyAlignment="1">
      <alignment horizontal="center" vertical="top"/>
    </xf>
    <xf numFmtId="166" fontId="1" fillId="0" borderId="7" xfId="0" applyNumberFormat="1" applyFont="1" applyFill="1" applyBorder="1" applyAlignment="1">
      <alignment horizontal="center" vertical="top"/>
    </xf>
    <xf numFmtId="166" fontId="1" fillId="0" borderId="26" xfId="0" applyNumberFormat="1" applyFont="1" applyFill="1" applyBorder="1" applyAlignment="1">
      <alignment horizontal="center" vertical="top"/>
    </xf>
    <xf numFmtId="166" fontId="5" fillId="9" borderId="26" xfId="0" applyNumberFormat="1" applyFont="1" applyFill="1" applyBorder="1" applyAlignment="1">
      <alignment horizontal="center" vertical="top"/>
    </xf>
    <xf numFmtId="166" fontId="5" fillId="9" borderId="2" xfId="0" applyNumberFormat="1" applyFont="1" applyFill="1" applyBorder="1" applyAlignment="1">
      <alignment horizontal="center" vertical="top"/>
    </xf>
    <xf numFmtId="166" fontId="4" fillId="8" borderId="8" xfId="0" applyNumberFormat="1" applyFont="1" applyFill="1" applyBorder="1" applyAlignment="1">
      <alignment horizontal="center" vertical="top"/>
    </xf>
    <xf numFmtId="166" fontId="4" fillId="8" borderId="7" xfId="0" applyNumberFormat="1" applyFont="1" applyFill="1" applyBorder="1" applyAlignment="1">
      <alignment horizontal="center" vertical="top"/>
    </xf>
    <xf numFmtId="166" fontId="1" fillId="0" borderId="7" xfId="0" applyNumberFormat="1" applyFont="1" applyBorder="1" applyAlignment="1">
      <alignment horizontal="center" vertical="top"/>
    </xf>
    <xf numFmtId="166" fontId="1" fillId="0" borderId="8" xfId="0" applyNumberFormat="1" applyFont="1" applyBorder="1" applyAlignment="1">
      <alignment horizontal="center" vertical="top"/>
    </xf>
    <xf numFmtId="166" fontId="1" fillId="8" borderId="62" xfId="0" applyNumberFormat="1" applyFont="1" applyFill="1" applyBorder="1" applyAlignment="1">
      <alignment horizontal="center" vertical="top"/>
    </xf>
    <xf numFmtId="166" fontId="1" fillId="0" borderId="28" xfId="0" applyNumberFormat="1" applyFont="1" applyFill="1" applyBorder="1" applyAlignment="1">
      <alignment horizontal="center" vertical="top"/>
    </xf>
    <xf numFmtId="166" fontId="1" fillId="8" borderId="17" xfId="0" applyNumberFormat="1" applyFont="1" applyFill="1" applyBorder="1" applyAlignment="1">
      <alignment horizontal="center" vertical="top"/>
    </xf>
    <xf numFmtId="166" fontId="1" fillId="8" borderId="7" xfId="0" applyNumberFormat="1" applyFont="1" applyFill="1" applyBorder="1" applyAlignment="1">
      <alignment horizontal="center" vertical="top"/>
    </xf>
    <xf numFmtId="166" fontId="1" fillId="8" borderId="24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/>
    </xf>
    <xf numFmtId="166" fontId="4" fillId="0" borderId="24" xfId="0" applyNumberFormat="1" applyFont="1" applyFill="1" applyBorder="1" applyAlignment="1">
      <alignment horizontal="center" vertical="top"/>
    </xf>
    <xf numFmtId="166" fontId="4" fillId="0" borderId="8" xfId="0" applyNumberFormat="1" applyFont="1" applyFill="1" applyBorder="1" applyAlignment="1">
      <alignment horizontal="center" vertical="top"/>
    </xf>
    <xf numFmtId="166" fontId="1" fillId="0" borderId="6" xfId="0" applyNumberFormat="1" applyFont="1" applyFill="1" applyBorder="1" applyAlignment="1">
      <alignment horizontal="center" vertical="top"/>
    </xf>
    <xf numFmtId="166" fontId="4" fillId="8" borderId="63" xfId="0" applyNumberFormat="1" applyFont="1" applyFill="1" applyBorder="1" applyAlignment="1">
      <alignment horizontal="center" vertical="top"/>
    </xf>
    <xf numFmtId="166" fontId="1" fillId="0" borderId="58" xfId="0" applyNumberFormat="1" applyFont="1" applyFill="1" applyBorder="1" applyAlignment="1">
      <alignment horizontal="center" vertical="top"/>
    </xf>
    <xf numFmtId="166" fontId="1" fillId="0" borderId="62" xfId="0" applyNumberFormat="1" applyFont="1" applyFill="1" applyBorder="1" applyAlignment="1">
      <alignment horizontal="center" vertical="top"/>
    </xf>
    <xf numFmtId="166" fontId="1" fillId="8" borderId="27" xfId="0" applyNumberFormat="1" applyFont="1" applyFill="1" applyBorder="1" applyAlignment="1">
      <alignment horizontal="center" vertical="top"/>
    </xf>
    <xf numFmtId="166" fontId="1" fillId="8" borderId="6" xfId="0" applyNumberFormat="1" applyFont="1" applyFill="1" applyBorder="1" applyAlignment="1">
      <alignment horizontal="center" vertical="top"/>
    </xf>
    <xf numFmtId="166" fontId="5" fillId="9" borderId="48" xfId="0" applyNumberFormat="1" applyFont="1" applyFill="1" applyBorder="1" applyAlignment="1">
      <alignment horizontal="center" vertical="top"/>
    </xf>
    <xf numFmtId="166" fontId="2" fillId="9" borderId="48" xfId="0" applyNumberFormat="1" applyFont="1" applyFill="1" applyBorder="1" applyAlignment="1">
      <alignment horizontal="center" vertical="top"/>
    </xf>
    <xf numFmtId="166" fontId="2" fillId="9" borderId="46" xfId="0" applyNumberFormat="1" applyFont="1" applyFill="1" applyBorder="1" applyAlignment="1">
      <alignment horizontal="center" vertical="top"/>
    </xf>
    <xf numFmtId="166" fontId="2" fillId="9" borderId="56" xfId="0" applyNumberFormat="1" applyFont="1" applyFill="1" applyBorder="1" applyAlignment="1">
      <alignment horizontal="center" vertical="top"/>
    </xf>
    <xf numFmtId="166" fontId="4" fillId="8" borderId="10" xfId="0" applyNumberFormat="1" applyFont="1" applyFill="1" applyBorder="1" applyAlignment="1">
      <alignment horizontal="center" vertical="top"/>
    </xf>
    <xf numFmtId="166" fontId="4" fillId="8" borderId="16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center" vertical="top"/>
    </xf>
    <xf numFmtId="166" fontId="5" fillId="2" borderId="12" xfId="0" applyNumberFormat="1" applyFont="1" applyFill="1" applyBorder="1" applyAlignment="1">
      <alignment horizontal="center" vertical="top"/>
    </xf>
    <xf numFmtId="166" fontId="5" fillId="2" borderId="1" xfId="0" applyNumberFormat="1" applyFont="1" applyFill="1" applyBorder="1" applyAlignment="1">
      <alignment horizontal="center" vertical="top"/>
    </xf>
    <xf numFmtId="166" fontId="5" fillId="3" borderId="12" xfId="0" applyNumberFormat="1" applyFont="1" applyFill="1" applyBorder="1" applyAlignment="1">
      <alignment horizontal="center" vertical="top"/>
    </xf>
    <xf numFmtId="166" fontId="5" fillId="3" borderId="1" xfId="0" applyNumberFormat="1" applyFont="1" applyFill="1" applyBorder="1" applyAlignment="1">
      <alignment horizontal="center" vertical="top"/>
    </xf>
    <xf numFmtId="166" fontId="4" fillId="0" borderId="6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166" fontId="5" fillId="9" borderId="62" xfId="0" applyNumberFormat="1" applyFont="1" applyFill="1" applyBorder="1" applyAlignment="1">
      <alignment horizontal="center" vertical="top"/>
    </xf>
    <xf numFmtId="166" fontId="5" fillId="9" borderId="27" xfId="0" applyNumberFormat="1" applyFont="1" applyFill="1" applyBorder="1" applyAlignment="1">
      <alignment horizontal="center" vertical="top"/>
    </xf>
    <xf numFmtId="166" fontId="5" fillId="9" borderId="6" xfId="0" applyNumberFormat="1" applyFont="1" applyFill="1" applyBorder="1" applyAlignment="1">
      <alignment horizontal="center" vertical="top"/>
    </xf>
    <xf numFmtId="166" fontId="1" fillId="0" borderId="8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top" wrapText="1"/>
    </xf>
    <xf numFmtId="166" fontId="1" fillId="0" borderId="8" xfId="0" applyNumberFormat="1" applyFont="1" applyFill="1" applyBorder="1" applyAlignment="1">
      <alignment horizontal="center" vertical="top" wrapText="1"/>
    </xf>
    <xf numFmtId="166" fontId="1" fillId="5" borderId="17" xfId="0" applyNumberFormat="1" applyFont="1" applyFill="1" applyBorder="1" applyAlignment="1">
      <alignment horizontal="center" vertical="top"/>
    </xf>
    <xf numFmtId="166" fontId="1" fillId="5" borderId="0" xfId="0" applyNumberFormat="1" applyFont="1" applyFill="1" applyBorder="1" applyAlignment="1">
      <alignment horizontal="center" vertical="top"/>
    </xf>
    <xf numFmtId="166" fontId="5" fillId="9" borderId="67" xfId="0" applyNumberFormat="1" applyFont="1" applyFill="1" applyBorder="1" applyAlignment="1">
      <alignment horizontal="center" vertical="top"/>
    </xf>
    <xf numFmtId="166" fontId="1" fillId="0" borderId="8" xfId="0" applyNumberFormat="1" applyFont="1" applyFill="1" applyBorder="1" applyAlignment="1">
      <alignment horizontal="center" vertical="top"/>
    </xf>
    <xf numFmtId="166" fontId="4" fillId="8" borderId="6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6" fontId="1" fillId="0" borderId="17" xfId="0" applyNumberFormat="1" applyFont="1" applyFill="1" applyBorder="1" applyAlignment="1">
      <alignment horizontal="center" vertical="top"/>
    </xf>
    <xf numFmtId="166" fontId="1" fillId="0" borderId="5" xfId="0" applyNumberFormat="1" applyFont="1" applyFill="1" applyBorder="1" applyAlignment="1">
      <alignment horizontal="center" vertical="center" wrapText="1"/>
    </xf>
    <xf numFmtId="166" fontId="4" fillId="0" borderId="28" xfId="0" applyNumberFormat="1" applyFont="1" applyFill="1" applyBorder="1" applyAlignment="1">
      <alignment horizontal="center" vertical="top"/>
    </xf>
    <xf numFmtId="166" fontId="4" fillId="0" borderId="26" xfId="0" applyNumberFormat="1" applyFont="1" applyFill="1" applyBorder="1" applyAlignment="1">
      <alignment horizontal="center" vertical="top"/>
    </xf>
    <xf numFmtId="166" fontId="4" fillId="8" borderId="67" xfId="0" applyNumberFormat="1" applyFont="1" applyFill="1" applyBorder="1" applyAlignment="1">
      <alignment horizontal="center" vertical="center"/>
    </xf>
    <xf numFmtId="166" fontId="1" fillId="8" borderId="67" xfId="0" applyNumberFormat="1" applyFont="1" applyFill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top"/>
    </xf>
    <xf numFmtId="166" fontId="2" fillId="9" borderId="73" xfId="0" applyNumberFormat="1" applyFont="1" applyFill="1" applyBorder="1" applyAlignment="1">
      <alignment horizontal="center" vertical="top"/>
    </xf>
    <xf numFmtId="166" fontId="2" fillId="9" borderId="51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6" fontId="2" fillId="9" borderId="28" xfId="0" applyNumberFormat="1" applyFont="1" applyFill="1" applyBorder="1" applyAlignment="1">
      <alignment horizontal="center" vertical="top"/>
    </xf>
    <xf numFmtId="166" fontId="2" fillId="9" borderId="62" xfId="0" applyNumberFormat="1" applyFont="1" applyFill="1" applyBorder="1" applyAlignment="1">
      <alignment horizontal="center" vertical="top"/>
    </xf>
    <xf numFmtId="166" fontId="1" fillId="8" borderId="37" xfId="0" applyNumberFormat="1" applyFont="1" applyFill="1" applyBorder="1" applyAlignment="1">
      <alignment horizontal="center" vertical="top"/>
    </xf>
    <xf numFmtId="166" fontId="2" fillId="9" borderId="6" xfId="0" applyNumberFormat="1" applyFont="1" applyFill="1" applyBorder="1" applyAlignment="1">
      <alignment horizontal="center" vertical="top"/>
    </xf>
    <xf numFmtId="166" fontId="1" fillId="5" borderId="6" xfId="0" applyNumberFormat="1" applyFont="1" applyFill="1" applyBorder="1" applyAlignment="1">
      <alignment horizontal="center" vertical="top" wrapText="1"/>
    </xf>
    <xf numFmtId="166" fontId="2" fillId="2" borderId="12" xfId="0" applyNumberFormat="1" applyFont="1" applyFill="1" applyBorder="1" applyAlignment="1">
      <alignment horizontal="center" vertical="top"/>
    </xf>
    <xf numFmtId="166" fontId="2" fillId="2" borderId="23" xfId="0" applyNumberFormat="1" applyFont="1" applyFill="1" applyBorder="1" applyAlignment="1">
      <alignment horizontal="center" vertical="top"/>
    </xf>
    <xf numFmtId="166" fontId="1" fillId="5" borderId="28" xfId="0" applyNumberFormat="1" applyFont="1" applyFill="1" applyBorder="1" applyAlignment="1">
      <alignment horizontal="center" vertical="top" wrapText="1"/>
    </xf>
    <xf numFmtId="166" fontId="1" fillId="0" borderId="17" xfId="0" applyNumberFormat="1" applyFont="1" applyBorder="1" applyAlignment="1">
      <alignment horizontal="center" vertical="top"/>
    </xf>
    <xf numFmtId="166" fontId="1" fillId="5" borderId="16" xfId="0" applyNumberFormat="1" applyFont="1" applyFill="1" applyBorder="1" applyAlignment="1">
      <alignment horizontal="center" vertical="top"/>
    </xf>
    <xf numFmtId="166" fontId="1" fillId="5" borderId="62" xfId="0" applyNumberFormat="1" applyFont="1" applyFill="1" applyBorder="1" applyAlignment="1">
      <alignment horizontal="center" vertical="top"/>
    </xf>
    <xf numFmtId="166" fontId="2" fillId="3" borderId="57" xfId="0" applyNumberFormat="1" applyFont="1" applyFill="1" applyBorder="1" applyAlignment="1">
      <alignment horizontal="center" vertical="top"/>
    </xf>
    <xf numFmtId="166" fontId="2" fillId="3" borderId="20" xfId="0" applyNumberFormat="1" applyFont="1" applyFill="1" applyBorder="1" applyAlignment="1">
      <alignment horizontal="center" vertical="top"/>
    </xf>
    <xf numFmtId="166" fontId="2" fillId="4" borderId="57" xfId="0" applyNumberFormat="1" applyFont="1" applyFill="1" applyBorder="1" applyAlignment="1">
      <alignment horizontal="center" vertical="top"/>
    </xf>
    <xf numFmtId="166" fontId="2" fillId="4" borderId="20" xfId="0" applyNumberFormat="1" applyFont="1" applyFill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 wrapText="1"/>
    </xf>
    <xf numFmtId="166" fontId="5" fillId="4" borderId="36" xfId="0" applyNumberFormat="1" applyFont="1" applyFill="1" applyBorder="1" applyAlignment="1">
      <alignment horizontal="center" vertical="top" wrapText="1"/>
    </xf>
    <xf numFmtId="166" fontId="4" fillId="0" borderId="37" xfId="0" applyNumberFormat="1" applyFont="1" applyFill="1" applyBorder="1" applyAlignment="1">
      <alignment horizontal="center" vertical="top" wrapText="1"/>
    </xf>
    <xf numFmtId="166" fontId="4" fillId="0" borderId="5" xfId="0" applyNumberFormat="1" applyFont="1" applyFill="1" applyBorder="1" applyAlignment="1">
      <alignment horizontal="center" vertical="top" wrapText="1"/>
    </xf>
    <xf numFmtId="166" fontId="4" fillId="0" borderId="6" xfId="0" applyNumberFormat="1" applyFont="1" applyBorder="1" applyAlignment="1">
      <alignment horizontal="center" vertical="top" wrapText="1"/>
    </xf>
    <xf numFmtId="166" fontId="4" fillId="0" borderId="38" xfId="0" applyNumberFormat="1" applyFont="1" applyBorder="1" applyAlignment="1">
      <alignment horizontal="center" vertical="top" wrapText="1"/>
    </xf>
    <xf numFmtId="166" fontId="4" fillId="0" borderId="49" xfId="0" applyNumberFormat="1" applyFont="1" applyFill="1" applyBorder="1" applyAlignment="1">
      <alignment horizontal="center" vertical="top" wrapText="1"/>
    </xf>
    <xf numFmtId="166" fontId="4" fillId="0" borderId="56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5" fillId="9" borderId="1" xfId="0" applyNumberFormat="1" applyFont="1" applyFill="1" applyBorder="1" applyAlignment="1">
      <alignment horizontal="center" vertical="top" wrapText="1"/>
    </xf>
    <xf numFmtId="166" fontId="5" fillId="9" borderId="23" xfId="0" applyNumberFormat="1" applyFont="1" applyFill="1" applyBorder="1" applyAlignment="1">
      <alignment horizontal="center" vertical="top" wrapText="1"/>
    </xf>
    <xf numFmtId="166" fontId="1" fillId="0" borderId="0" xfId="0" applyNumberFormat="1" applyFont="1" applyBorder="1" applyAlignment="1">
      <alignment vertical="top"/>
    </xf>
    <xf numFmtId="166" fontId="1" fillId="0" borderId="0" xfId="0" applyNumberFormat="1" applyFont="1" applyAlignment="1">
      <alignment vertical="top"/>
    </xf>
    <xf numFmtId="166" fontId="1" fillId="0" borderId="59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 wrapText="1"/>
    </xf>
    <xf numFmtId="166" fontId="4" fillId="0" borderId="6" xfId="0" applyNumberFormat="1" applyFont="1" applyBorder="1" applyAlignment="1">
      <alignment horizontal="center" vertical="top"/>
    </xf>
    <xf numFmtId="166" fontId="4" fillId="0" borderId="8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6" fontId="4" fillId="0" borderId="7" xfId="0" applyNumberFormat="1" applyFont="1" applyFill="1" applyBorder="1" applyAlignment="1">
      <alignment horizontal="center" vertical="top"/>
    </xf>
    <xf numFmtId="166" fontId="15" fillId="8" borderId="7" xfId="0" applyNumberFormat="1" applyFont="1" applyFill="1" applyBorder="1" applyAlignment="1">
      <alignment horizontal="center" vertical="top"/>
    </xf>
    <xf numFmtId="3" fontId="4" fillId="0" borderId="17" xfId="0" applyNumberFormat="1" applyFont="1" applyBorder="1" applyAlignment="1">
      <alignment vertical="top" wrapText="1"/>
    </xf>
    <xf numFmtId="3" fontId="4" fillId="0" borderId="42" xfId="0" applyNumberFormat="1" applyFont="1" applyBorder="1" applyAlignment="1">
      <alignment vertical="top"/>
    </xf>
    <xf numFmtId="3" fontId="4" fillId="5" borderId="62" xfId="0" applyNumberFormat="1" applyFont="1" applyFill="1" applyBorder="1" applyAlignment="1">
      <alignment horizontal="left" vertical="top"/>
    </xf>
    <xf numFmtId="3" fontId="4" fillId="5" borderId="63" xfId="0" applyNumberFormat="1" applyFont="1" applyFill="1" applyBorder="1" applyAlignment="1">
      <alignment horizontal="left" vertical="top"/>
    </xf>
    <xf numFmtId="3" fontId="1" fillId="8" borderId="53" xfId="0" applyNumberFormat="1" applyFont="1" applyFill="1" applyBorder="1" applyAlignment="1">
      <alignment horizontal="center" vertical="top" wrapText="1"/>
    </xf>
    <xf numFmtId="3" fontId="4" fillId="8" borderId="17" xfId="0" applyNumberFormat="1" applyFont="1" applyFill="1" applyBorder="1" applyAlignment="1">
      <alignment vertical="top" wrapText="1"/>
    </xf>
    <xf numFmtId="3" fontId="14" fillId="8" borderId="43" xfId="0" applyNumberFormat="1" applyFont="1" applyFill="1" applyBorder="1" applyAlignment="1">
      <alignment horizontal="center" vertical="top"/>
    </xf>
    <xf numFmtId="3" fontId="14" fillId="8" borderId="61" xfId="0" applyNumberFormat="1" applyFont="1" applyFill="1" applyBorder="1" applyAlignment="1">
      <alignment horizontal="center" vertical="top"/>
    </xf>
    <xf numFmtId="166" fontId="4" fillId="8" borderId="17" xfId="0" applyNumberFormat="1" applyFont="1" applyFill="1" applyBorder="1" applyAlignment="1">
      <alignment horizontal="center" vertical="top"/>
    </xf>
    <xf numFmtId="166" fontId="4" fillId="5" borderId="17" xfId="0" applyNumberFormat="1" applyFont="1" applyFill="1" applyBorder="1" applyAlignment="1">
      <alignment horizontal="center" vertical="top"/>
    </xf>
    <xf numFmtId="166" fontId="1" fillId="0" borderId="6" xfId="0" applyNumberFormat="1" applyFont="1" applyFill="1" applyBorder="1" applyAlignment="1">
      <alignment horizontal="center" vertical="top" wrapText="1"/>
    </xf>
    <xf numFmtId="166" fontId="1" fillId="0" borderId="5" xfId="0" applyNumberFormat="1" applyFont="1" applyFill="1" applyBorder="1" applyAlignment="1">
      <alignment horizontal="center" vertical="top" wrapText="1"/>
    </xf>
    <xf numFmtId="3" fontId="5" fillId="3" borderId="14" xfId="0" applyNumberFormat="1" applyFont="1" applyFill="1" applyBorder="1" applyAlignment="1">
      <alignment vertical="top" wrapText="1"/>
    </xf>
    <xf numFmtId="3" fontId="5" fillId="3" borderId="55" xfId="0" applyNumberFormat="1" applyFont="1" applyFill="1" applyBorder="1" applyAlignment="1">
      <alignment vertical="top" wrapText="1"/>
    </xf>
    <xf numFmtId="3" fontId="1" fillId="8" borderId="32" xfId="0" applyNumberFormat="1" applyFont="1" applyFill="1" applyBorder="1" applyAlignment="1">
      <alignment horizontal="center" vertical="top" wrapText="1"/>
    </xf>
    <xf numFmtId="3" fontId="4" fillId="5" borderId="5" xfId="0" applyNumberFormat="1" applyFont="1" applyFill="1" applyBorder="1" applyAlignment="1">
      <alignment horizontal="center" vertical="top"/>
    </xf>
    <xf numFmtId="3" fontId="4" fillId="8" borderId="2" xfId="0" applyNumberFormat="1" applyFont="1" applyFill="1" applyBorder="1" applyAlignment="1">
      <alignment horizontal="center" vertical="top" wrapText="1"/>
    </xf>
    <xf numFmtId="3" fontId="2" fillId="8" borderId="57" xfId="0" applyNumberFormat="1" applyFont="1" applyFill="1" applyBorder="1" applyAlignment="1">
      <alignment vertical="top" wrapText="1"/>
    </xf>
    <xf numFmtId="166" fontId="1" fillId="0" borderId="16" xfId="0" applyNumberFormat="1" applyFont="1" applyBorder="1" applyAlignment="1">
      <alignment horizontal="center" vertical="top"/>
    </xf>
    <xf numFmtId="166" fontId="1" fillId="8" borderId="28" xfId="0" applyNumberFormat="1" applyFont="1" applyFill="1" applyBorder="1" applyAlignment="1">
      <alignment horizontal="center" vertical="top"/>
    </xf>
    <xf numFmtId="3" fontId="1" fillId="0" borderId="8" xfId="0" applyNumberFormat="1" applyFont="1" applyBorder="1" applyAlignment="1">
      <alignment vertical="top"/>
    </xf>
    <xf numFmtId="166" fontId="1" fillId="5" borderId="10" xfId="0" applyNumberFormat="1" applyFont="1" applyFill="1" applyBorder="1" applyAlignment="1">
      <alignment horizontal="center" vertical="top"/>
    </xf>
    <xf numFmtId="3" fontId="2" fillId="0" borderId="69" xfId="0" applyNumberFormat="1" applyFont="1" applyFill="1" applyBorder="1" applyAlignment="1">
      <alignment vertical="top" textRotation="90" wrapText="1"/>
    </xf>
    <xf numFmtId="3" fontId="2" fillId="0" borderId="44" xfId="0" applyNumberFormat="1" applyFont="1" applyFill="1" applyBorder="1" applyAlignment="1">
      <alignment horizontal="center" vertical="top" textRotation="90" wrapText="1"/>
    </xf>
    <xf numFmtId="3" fontId="2" fillId="5" borderId="71" xfId="0" applyNumberFormat="1" applyFont="1" applyFill="1" applyBorder="1" applyAlignment="1">
      <alignment horizontal="center" vertical="top"/>
    </xf>
    <xf numFmtId="166" fontId="4" fillId="5" borderId="16" xfId="0" applyNumberFormat="1" applyFont="1" applyFill="1" applyBorder="1" applyAlignment="1">
      <alignment horizontal="center" vertical="top"/>
    </xf>
    <xf numFmtId="166" fontId="4" fillId="5" borderId="62" xfId="0" applyNumberFormat="1" applyFont="1" applyFill="1" applyBorder="1" applyAlignment="1">
      <alignment horizontal="center" vertical="top"/>
    </xf>
    <xf numFmtId="166" fontId="4" fillId="5" borderId="67" xfId="0" applyNumberFormat="1" applyFont="1" applyFill="1" applyBorder="1" applyAlignment="1">
      <alignment horizontal="center" vertical="top"/>
    </xf>
    <xf numFmtId="166" fontId="1" fillId="5" borderId="67" xfId="0" applyNumberFormat="1" applyFont="1" applyFill="1" applyBorder="1" applyAlignment="1">
      <alignment horizontal="center" vertical="top"/>
    </xf>
    <xf numFmtId="166" fontId="1" fillId="8" borderId="62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166" fontId="1" fillId="0" borderId="26" xfId="0" applyNumberFormat="1" applyFont="1" applyFill="1" applyBorder="1" applyAlignment="1">
      <alignment horizontal="center" vertical="center"/>
    </xf>
    <xf numFmtId="166" fontId="2" fillId="2" borderId="76" xfId="0" applyNumberFormat="1" applyFont="1" applyFill="1" applyBorder="1" applyAlignment="1">
      <alignment horizontal="center" vertical="top"/>
    </xf>
    <xf numFmtId="166" fontId="1" fillId="5" borderId="8" xfId="0" applyNumberFormat="1" applyFont="1" applyFill="1" applyBorder="1" applyAlignment="1">
      <alignment horizontal="center" vertical="top"/>
    </xf>
    <xf numFmtId="166" fontId="1" fillId="5" borderId="2" xfId="0" applyNumberFormat="1" applyFont="1" applyFill="1" applyBorder="1" applyAlignment="1">
      <alignment horizontal="center" vertical="top"/>
    </xf>
    <xf numFmtId="166" fontId="4" fillId="5" borderId="78" xfId="0" applyNumberFormat="1" applyFont="1" applyFill="1" applyBorder="1" applyAlignment="1">
      <alignment horizontal="center" vertical="top"/>
    </xf>
    <xf numFmtId="166" fontId="4" fillId="8" borderId="67" xfId="0" applyNumberFormat="1" applyFont="1" applyFill="1" applyBorder="1" applyAlignment="1">
      <alignment horizontal="center" vertical="top"/>
    </xf>
    <xf numFmtId="166" fontId="4" fillId="8" borderId="32" xfId="0" applyNumberFormat="1" applyFont="1" applyFill="1" applyBorder="1" applyAlignment="1">
      <alignment horizontal="center" vertical="top"/>
    </xf>
    <xf numFmtId="166" fontId="4" fillId="0" borderId="17" xfId="0" applyNumberFormat="1" applyFont="1" applyBorder="1" applyAlignment="1">
      <alignment horizontal="center" vertical="top"/>
    </xf>
    <xf numFmtId="166" fontId="15" fillId="8" borderId="8" xfId="0" applyNumberFormat="1" applyFont="1" applyFill="1" applyBorder="1" applyAlignment="1">
      <alignment horizontal="center" vertical="top"/>
    </xf>
    <xf numFmtId="3" fontId="1" fillId="0" borderId="16" xfId="0" applyNumberFormat="1" applyFont="1" applyBorder="1" applyAlignment="1">
      <alignment vertical="top"/>
    </xf>
    <xf numFmtId="166" fontId="4" fillId="0" borderId="23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/>
    </xf>
    <xf numFmtId="3" fontId="5" fillId="3" borderId="55" xfId="0" applyNumberFormat="1" applyFont="1" applyFill="1" applyBorder="1" applyAlignment="1">
      <alignment horizontal="center" vertical="top" wrapText="1"/>
    </xf>
    <xf numFmtId="3" fontId="5" fillId="3" borderId="76" xfId="0" applyNumberFormat="1" applyFont="1" applyFill="1" applyBorder="1" applyAlignment="1">
      <alignment horizontal="center" vertical="top" wrapText="1"/>
    </xf>
    <xf numFmtId="3" fontId="2" fillId="8" borderId="19" xfId="0" applyNumberFormat="1" applyFont="1" applyFill="1" applyBorder="1" applyAlignment="1">
      <alignment horizontal="center" vertical="top" wrapText="1"/>
    </xf>
    <xf numFmtId="3" fontId="2" fillId="8" borderId="71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textRotation="90" wrapText="1"/>
    </xf>
    <xf numFmtId="49" fontId="1" fillId="0" borderId="44" xfId="0" applyNumberFormat="1" applyFont="1" applyBorder="1" applyAlignment="1">
      <alignment horizontal="center" vertical="top" wrapText="1"/>
    </xf>
    <xf numFmtId="3" fontId="2" fillId="8" borderId="70" xfId="0" applyNumberFormat="1" applyFont="1" applyFill="1" applyBorder="1" applyAlignment="1">
      <alignment horizontal="center" vertical="top"/>
    </xf>
    <xf numFmtId="3" fontId="15" fillId="8" borderId="70" xfId="0" applyNumberFormat="1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 wrapText="1"/>
    </xf>
    <xf numFmtId="3" fontId="16" fillId="0" borderId="8" xfId="0" applyNumberFormat="1" applyFont="1" applyBorder="1" applyAlignment="1">
      <alignment horizontal="center" vertical="top"/>
    </xf>
    <xf numFmtId="166" fontId="16" fillId="0" borderId="17" xfId="0" applyNumberFormat="1" applyFont="1" applyBorder="1" applyAlignment="1">
      <alignment horizontal="center" vertical="top"/>
    </xf>
    <xf numFmtId="166" fontId="16" fillId="8" borderId="8" xfId="0" applyNumberFormat="1" applyFont="1" applyFill="1" applyBorder="1" applyAlignment="1">
      <alignment horizontal="center" vertical="top" wrapText="1"/>
    </xf>
    <xf numFmtId="166" fontId="16" fillId="0" borderId="7" xfId="0" applyNumberFormat="1" applyFont="1" applyBorder="1" applyAlignment="1">
      <alignment horizontal="center" vertical="top" wrapText="1"/>
    </xf>
    <xf numFmtId="3" fontId="16" fillId="0" borderId="5" xfId="0" applyNumberFormat="1" applyFont="1" applyBorder="1" applyAlignment="1">
      <alignment horizontal="center" vertical="top"/>
    </xf>
    <xf numFmtId="166" fontId="16" fillId="8" borderId="17" xfId="0" applyNumberFormat="1" applyFont="1" applyFill="1" applyBorder="1" applyAlignment="1">
      <alignment horizontal="center" vertical="top"/>
    </xf>
    <xf numFmtId="166" fontId="16" fillId="0" borderId="8" xfId="0" applyNumberFormat="1" applyFont="1" applyFill="1" applyBorder="1" applyAlignment="1">
      <alignment horizontal="center" vertical="top"/>
    </xf>
    <xf numFmtId="166" fontId="16" fillId="0" borderId="7" xfId="0" applyNumberFormat="1" applyFont="1" applyFill="1" applyBorder="1" applyAlignment="1">
      <alignment horizontal="center" vertical="top"/>
    </xf>
    <xf numFmtId="3" fontId="1" fillId="8" borderId="60" xfId="0" applyNumberFormat="1" applyFont="1" applyFill="1" applyBorder="1" applyAlignment="1">
      <alignment vertical="top" wrapText="1"/>
    </xf>
    <xf numFmtId="3" fontId="1" fillId="8" borderId="19" xfId="0" applyNumberFormat="1" applyFont="1" applyFill="1" applyBorder="1" applyAlignment="1">
      <alignment vertical="top" wrapText="1"/>
    </xf>
    <xf numFmtId="166" fontId="16" fillId="0" borderId="8" xfId="0" applyNumberFormat="1" applyFont="1" applyBorder="1" applyAlignment="1">
      <alignment horizontal="center" vertical="top" wrapText="1"/>
    </xf>
    <xf numFmtId="166" fontId="4" fillId="8" borderId="8" xfId="0" applyNumberFormat="1" applyFont="1" applyFill="1" applyBorder="1" applyAlignment="1">
      <alignment horizontal="center" vertical="top" wrapText="1"/>
    </xf>
    <xf numFmtId="166" fontId="4" fillId="0" borderId="7" xfId="0" applyNumberFormat="1" applyFont="1" applyBorder="1" applyAlignment="1">
      <alignment horizontal="center" vertical="top" wrapText="1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3" fontId="5" fillId="0" borderId="60" xfId="0" applyNumberFormat="1" applyFont="1" applyFill="1" applyBorder="1" applyAlignment="1">
      <alignment horizontal="center" vertical="top" textRotation="90" wrapText="1"/>
    </xf>
    <xf numFmtId="3" fontId="1" fillId="0" borderId="41" xfId="0" applyNumberFormat="1" applyFont="1" applyFill="1" applyBorder="1" applyAlignment="1">
      <alignment horizontal="left" vertical="top" wrapText="1"/>
    </xf>
    <xf numFmtId="3" fontId="1" fillId="0" borderId="38" xfId="0" applyNumberFormat="1" applyFont="1" applyFill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center" vertical="top"/>
    </xf>
    <xf numFmtId="3" fontId="1" fillId="8" borderId="43" xfId="0" applyNumberFormat="1" applyFont="1" applyFill="1" applyBorder="1" applyAlignment="1">
      <alignment horizontal="left" vertical="top" wrapText="1"/>
    </xf>
    <xf numFmtId="3" fontId="1" fillId="8" borderId="18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 wrapText="1"/>
    </xf>
    <xf numFmtId="3" fontId="4" fillId="0" borderId="60" xfId="0" applyNumberFormat="1" applyFont="1" applyFill="1" applyBorder="1" applyAlignment="1">
      <alignment horizontal="center" vertical="top" wrapText="1"/>
    </xf>
    <xf numFmtId="3" fontId="5" fillId="0" borderId="43" xfId="0" applyNumberFormat="1" applyFont="1" applyFill="1" applyBorder="1" applyAlignment="1">
      <alignment horizontal="center" vertical="top" wrapText="1"/>
    </xf>
    <xf numFmtId="3" fontId="5" fillId="0" borderId="60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center" vertical="top"/>
    </xf>
    <xf numFmtId="49" fontId="1" fillId="10" borderId="60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 wrapText="1"/>
    </xf>
    <xf numFmtId="49" fontId="2" fillId="3" borderId="42" xfId="0" applyNumberFormat="1" applyFont="1" applyFill="1" applyBorder="1" applyAlignment="1">
      <alignment horizontal="center" vertical="top"/>
    </xf>
    <xf numFmtId="49" fontId="4" fillId="6" borderId="70" xfId="0" applyNumberFormat="1" applyFont="1" applyFill="1" applyBorder="1" applyAlignment="1">
      <alignment horizontal="center" vertical="top"/>
    </xf>
    <xf numFmtId="3" fontId="5" fillId="5" borderId="57" xfId="0" applyNumberFormat="1" applyFont="1" applyFill="1" applyBorder="1" applyAlignment="1">
      <alignment horizontal="left" vertical="top" wrapText="1"/>
    </xf>
    <xf numFmtId="3" fontId="4" fillId="5" borderId="19" xfId="0" applyNumberFormat="1" applyFont="1" applyFill="1" applyBorder="1" applyAlignment="1">
      <alignment horizontal="center" vertical="top"/>
    </xf>
    <xf numFmtId="3" fontId="4" fillId="5" borderId="44" xfId="0" applyNumberFormat="1" applyFont="1" applyFill="1" applyBorder="1" applyAlignment="1">
      <alignment horizontal="center" vertical="top"/>
    </xf>
    <xf numFmtId="3" fontId="1" fillId="5" borderId="21" xfId="0" applyNumberFormat="1" applyFont="1" applyFill="1" applyBorder="1" applyAlignment="1">
      <alignment horizontal="center" vertical="top"/>
    </xf>
    <xf numFmtId="3" fontId="1" fillId="0" borderId="43" xfId="0" applyNumberFormat="1" applyFont="1" applyFill="1" applyBorder="1" applyAlignment="1">
      <alignment vertical="top" wrapText="1"/>
    </xf>
    <xf numFmtId="49" fontId="1" fillId="8" borderId="29" xfId="0" applyNumberFormat="1" applyFont="1" applyFill="1" applyBorder="1" applyAlignment="1">
      <alignment vertical="top"/>
    </xf>
    <xf numFmtId="3" fontId="2" fillId="0" borderId="29" xfId="0" applyNumberFormat="1" applyFont="1" applyFill="1" applyBorder="1" applyAlignment="1">
      <alignment vertical="top" wrapText="1"/>
    </xf>
    <xf numFmtId="3" fontId="1" fillId="5" borderId="36" xfId="0" applyNumberFormat="1" applyFont="1" applyFill="1" applyBorder="1" applyAlignment="1">
      <alignment vertical="top" wrapText="1"/>
    </xf>
    <xf numFmtId="3" fontId="1" fillId="0" borderId="59" xfId="0" applyNumberFormat="1" applyFont="1" applyFill="1" applyBorder="1" applyAlignment="1">
      <alignment horizontal="center" vertical="top"/>
    </xf>
    <xf numFmtId="3" fontId="1" fillId="0" borderId="30" xfId="0" applyNumberFormat="1" applyFont="1" applyBorder="1" applyAlignment="1">
      <alignment horizontal="center" vertical="top"/>
    </xf>
    <xf numFmtId="3" fontId="1" fillId="8" borderId="7" xfId="0" applyNumberFormat="1" applyFont="1" applyFill="1" applyBorder="1" applyAlignment="1">
      <alignment horizontal="center" vertical="top" wrapText="1"/>
    </xf>
    <xf numFmtId="3" fontId="1" fillId="5" borderId="8" xfId="0" applyNumberFormat="1" applyFont="1" applyFill="1" applyBorder="1" applyAlignment="1">
      <alignment horizontal="center" vertical="top" wrapText="1"/>
    </xf>
    <xf numFmtId="49" fontId="1" fillId="6" borderId="18" xfId="0" applyNumberFormat="1" applyFont="1" applyFill="1" applyBorder="1" applyAlignment="1">
      <alignment horizontal="center" vertical="top"/>
    </xf>
    <xf numFmtId="3" fontId="1" fillId="8" borderId="42" xfId="0" applyNumberFormat="1" applyFont="1" applyFill="1" applyBorder="1" applyAlignment="1">
      <alignment vertical="top" wrapText="1"/>
    </xf>
    <xf numFmtId="49" fontId="1" fillId="8" borderId="43" xfId="0" applyNumberFormat="1" applyFont="1" applyFill="1" applyBorder="1" applyAlignment="1">
      <alignment horizontal="center" vertical="top" wrapText="1"/>
    </xf>
    <xf numFmtId="3" fontId="1" fillId="8" borderId="61" xfId="0" applyNumberFormat="1" applyFont="1" applyFill="1" applyBorder="1" applyAlignment="1">
      <alignment horizontal="center" vertical="top" wrapText="1"/>
    </xf>
    <xf numFmtId="3" fontId="1" fillId="8" borderId="5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5" fillId="4" borderId="3" xfId="0" applyNumberFormat="1" applyFont="1" applyFill="1" applyBorder="1" applyAlignment="1">
      <alignment horizontal="center" vertical="top" wrapText="1"/>
    </xf>
    <xf numFmtId="3" fontId="5" fillId="9" borderId="55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vertical="top" textRotation="90" wrapText="1"/>
    </xf>
    <xf numFmtId="3" fontId="5" fillId="0" borderId="43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4" fillId="0" borderId="58" xfId="0" applyNumberFormat="1" applyFont="1" applyBorder="1" applyAlignment="1">
      <alignment horizontal="center" vertical="top" wrapText="1"/>
    </xf>
    <xf numFmtId="3" fontId="4" fillId="0" borderId="27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/>
    </xf>
    <xf numFmtId="3" fontId="5" fillId="2" borderId="55" xfId="0" applyNumberFormat="1" applyFont="1" applyFill="1" applyBorder="1" applyAlignment="1">
      <alignment horizontal="center" vertical="top"/>
    </xf>
    <xf numFmtId="3" fontId="5" fillId="3" borderId="12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3" fontId="2" fillId="0" borderId="34" xfId="0" applyNumberFormat="1" applyFont="1" applyFill="1" applyBorder="1" applyAlignment="1">
      <alignment horizontal="center" vertical="top"/>
    </xf>
    <xf numFmtId="3" fontId="15" fillId="8" borderId="18" xfId="0" applyNumberFormat="1" applyFont="1" applyFill="1" applyBorder="1" applyAlignment="1">
      <alignment horizontal="left" vertical="top" wrapText="1"/>
    </xf>
    <xf numFmtId="3" fontId="5" fillId="0" borderId="60" xfId="0" applyNumberFormat="1" applyFont="1" applyBorder="1" applyAlignment="1">
      <alignment horizontal="center" vertical="top"/>
    </xf>
    <xf numFmtId="3" fontId="5" fillId="0" borderId="18" xfId="0" applyNumberFormat="1" applyFont="1" applyBorder="1" applyAlignment="1">
      <alignment horizontal="center" vertical="top"/>
    </xf>
    <xf numFmtId="3" fontId="2" fillId="5" borderId="34" xfId="0" applyNumberFormat="1" applyFont="1" applyFill="1" applyBorder="1" applyAlignment="1">
      <alignment horizontal="center" vertical="top"/>
    </xf>
    <xf numFmtId="3" fontId="5" fillId="0" borderId="72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vertical="top" textRotation="90" wrapText="1"/>
    </xf>
    <xf numFmtId="3" fontId="5" fillId="10" borderId="4" xfId="0" applyNumberFormat="1" applyFont="1" applyFill="1" applyBorder="1" applyAlignment="1">
      <alignment horizontal="center" vertical="top"/>
    </xf>
    <xf numFmtId="3" fontId="4" fillId="8" borderId="6" xfId="0" applyNumberFormat="1" applyFont="1" applyFill="1" applyBorder="1" applyAlignment="1">
      <alignment horizontal="center" vertical="top" wrapText="1"/>
    </xf>
    <xf numFmtId="166" fontId="4" fillId="8" borderId="6" xfId="0" applyNumberFormat="1" applyFont="1" applyFill="1" applyBorder="1" applyAlignment="1">
      <alignment horizontal="center" vertical="top" wrapText="1"/>
    </xf>
    <xf numFmtId="166" fontId="4" fillId="8" borderId="28" xfId="0" applyNumberFormat="1" applyFont="1" applyFill="1" applyBorder="1" applyAlignment="1">
      <alignment horizontal="center" vertical="top" wrapText="1"/>
    </xf>
    <xf numFmtId="3" fontId="4" fillId="8" borderId="38" xfId="0" applyNumberFormat="1" applyFont="1" applyFill="1" applyBorder="1" applyAlignment="1">
      <alignment horizontal="left" vertical="top" wrapText="1"/>
    </xf>
    <xf numFmtId="166" fontId="4" fillId="8" borderId="2" xfId="0" applyNumberFormat="1" applyFont="1" applyFill="1" applyBorder="1" applyAlignment="1">
      <alignment horizontal="center" vertical="top" wrapText="1"/>
    </xf>
    <xf numFmtId="166" fontId="4" fillId="8" borderId="26" xfId="0" applyNumberFormat="1" applyFont="1" applyFill="1" applyBorder="1" applyAlignment="1">
      <alignment horizontal="center" vertical="top" wrapText="1"/>
    </xf>
    <xf numFmtId="3" fontId="4" fillId="8" borderId="41" xfId="0" applyNumberFormat="1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Fill="1" applyBorder="1" applyAlignment="1">
      <alignment horizontal="center" vertical="center" textRotation="90" wrapText="1"/>
    </xf>
    <xf numFmtId="3" fontId="4" fillId="0" borderId="41" xfId="0" applyNumberFormat="1" applyFont="1" applyBorder="1" applyAlignment="1">
      <alignment horizontal="center" vertical="top"/>
    </xf>
    <xf numFmtId="3" fontId="4" fillId="8" borderId="62" xfId="0" applyNumberFormat="1" applyFont="1" applyFill="1" applyBorder="1" applyAlignment="1">
      <alignment horizontal="center" vertical="top"/>
    </xf>
    <xf numFmtId="3" fontId="4" fillId="8" borderId="72" xfId="0" applyNumberFormat="1" applyFont="1" applyFill="1" applyBorder="1" applyAlignment="1">
      <alignment horizontal="center" vertical="top"/>
    </xf>
    <xf numFmtId="3" fontId="4" fillId="8" borderId="69" xfId="0" applyNumberFormat="1" applyFont="1" applyFill="1" applyBorder="1" applyAlignment="1">
      <alignment horizontal="center" vertical="top"/>
    </xf>
    <xf numFmtId="3" fontId="4" fillId="8" borderId="22" xfId="0" applyNumberFormat="1" applyFont="1" applyFill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3" fontId="4" fillId="0" borderId="65" xfId="0" applyNumberFormat="1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/>
    </xf>
    <xf numFmtId="3" fontId="5" fillId="10" borderId="47" xfId="0" applyNumberFormat="1" applyFont="1" applyFill="1" applyBorder="1" applyAlignment="1">
      <alignment horizontal="center" vertical="top"/>
    </xf>
    <xf numFmtId="3" fontId="4" fillId="8" borderId="38" xfId="0" applyNumberFormat="1" applyFont="1" applyFill="1" applyBorder="1" applyAlignment="1">
      <alignment horizontal="center" vertical="center"/>
    </xf>
    <xf numFmtId="3" fontId="4" fillId="8" borderId="60" xfId="0" applyNumberFormat="1" applyFont="1" applyFill="1" applyBorder="1" applyAlignment="1">
      <alignment horizontal="center" vertical="center"/>
    </xf>
    <xf numFmtId="3" fontId="4" fillId="8" borderId="34" xfId="0" applyNumberFormat="1" applyFont="1" applyFill="1" applyBorder="1" applyAlignment="1">
      <alignment horizontal="center" vertical="center"/>
    </xf>
    <xf numFmtId="3" fontId="4" fillId="5" borderId="69" xfId="0" applyNumberFormat="1" applyFont="1" applyFill="1" applyBorder="1" applyAlignment="1">
      <alignment horizontal="center" vertical="top"/>
    </xf>
    <xf numFmtId="3" fontId="5" fillId="6" borderId="48" xfId="0" applyNumberFormat="1" applyFont="1" applyFill="1" applyBorder="1" applyAlignment="1">
      <alignment horizontal="center" vertical="top"/>
    </xf>
    <xf numFmtId="3" fontId="5" fillId="6" borderId="4" xfId="0" applyNumberFormat="1" applyFont="1" applyFill="1" applyBorder="1" applyAlignment="1">
      <alignment horizontal="center" vertical="top"/>
    </xf>
    <xf numFmtId="3" fontId="5" fillId="6" borderId="46" xfId="0" applyNumberFormat="1" applyFont="1" applyFill="1" applyBorder="1" applyAlignment="1">
      <alignment horizontal="center" vertical="top"/>
    </xf>
    <xf numFmtId="3" fontId="4" fillId="5" borderId="59" xfId="0" applyNumberFormat="1" applyFont="1" applyFill="1" applyBorder="1" applyAlignment="1">
      <alignment horizontal="center" vertical="top"/>
    </xf>
    <xf numFmtId="3" fontId="4" fillId="5" borderId="75" xfId="0" applyNumberFormat="1" applyFont="1" applyFill="1" applyBorder="1" applyAlignment="1">
      <alignment horizontal="center" vertical="top"/>
    </xf>
    <xf numFmtId="3" fontId="4" fillId="8" borderId="54" xfId="0" applyNumberFormat="1" applyFont="1" applyFill="1" applyBorder="1" applyAlignment="1">
      <alignment horizontal="center" vertical="top"/>
    </xf>
    <xf numFmtId="3" fontId="4" fillId="0" borderId="38" xfId="0" applyNumberFormat="1" applyFont="1" applyBorder="1" applyAlignment="1">
      <alignment horizontal="center" vertical="top"/>
    </xf>
    <xf numFmtId="3" fontId="4" fillId="0" borderId="42" xfId="0" applyNumberFormat="1" applyFont="1" applyBorder="1" applyAlignment="1">
      <alignment horizontal="center" vertical="top"/>
    </xf>
    <xf numFmtId="3" fontId="4" fillId="0" borderId="58" xfId="0" applyNumberFormat="1" applyFont="1" applyFill="1" applyBorder="1" applyAlignment="1">
      <alignment horizontal="center" vertical="top"/>
    </xf>
    <xf numFmtId="3" fontId="4" fillId="5" borderId="42" xfId="0" applyNumberFormat="1" applyFont="1" applyFill="1" applyBorder="1" applyAlignment="1">
      <alignment horizontal="center" vertical="top"/>
    </xf>
    <xf numFmtId="3" fontId="4" fillId="5" borderId="29" xfId="0" applyNumberFormat="1" applyFont="1" applyFill="1" applyBorder="1" applyAlignment="1">
      <alignment horizontal="center" vertical="top"/>
    </xf>
    <xf numFmtId="3" fontId="5" fillId="2" borderId="12" xfId="0" applyNumberFormat="1" applyFont="1" applyFill="1" applyBorder="1" applyAlignment="1">
      <alignment vertical="top"/>
    </xf>
    <xf numFmtId="3" fontId="5" fillId="2" borderId="11" xfId="0" applyNumberFormat="1" applyFont="1" applyFill="1" applyBorder="1" applyAlignment="1">
      <alignment vertical="top"/>
    </xf>
    <xf numFmtId="3" fontId="5" fillId="2" borderId="76" xfId="0" applyNumberFormat="1" applyFont="1" applyFill="1" applyBorder="1" applyAlignment="1">
      <alignment vertical="top"/>
    </xf>
    <xf numFmtId="3" fontId="4" fillId="8" borderId="74" xfId="0" applyNumberFormat="1" applyFont="1" applyFill="1" applyBorder="1" applyAlignment="1">
      <alignment horizontal="center" vertical="top"/>
    </xf>
    <xf numFmtId="3" fontId="4" fillId="5" borderId="16" xfId="0" applyNumberFormat="1" applyFont="1" applyFill="1" applyBorder="1" applyAlignment="1">
      <alignment horizontal="center" vertical="top"/>
    </xf>
    <xf numFmtId="3" fontId="5" fillId="8" borderId="58" xfId="0" applyNumberFormat="1" applyFont="1" applyFill="1" applyBorder="1" applyAlignment="1">
      <alignment horizontal="center" vertical="top"/>
    </xf>
    <xf numFmtId="3" fontId="5" fillId="8" borderId="61" xfId="0" applyNumberFormat="1" applyFont="1" applyFill="1" applyBorder="1" applyAlignment="1">
      <alignment horizontal="center" vertical="top"/>
    </xf>
    <xf numFmtId="3" fontId="5" fillId="5" borderId="27" xfId="0" applyNumberFormat="1" applyFont="1" applyFill="1" applyBorder="1" applyAlignment="1">
      <alignment horizontal="center" vertical="top"/>
    </xf>
    <xf numFmtId="3" fontId="5" fillId="5" borderId="53" xfId="0" applyNumberFormat="1" applyFont="1" applyFill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 wrapText="1"/>
    </xf>
    <xf numFmtId="3" fontId="5" fillId="6" borderId="49" xfId="0" applyNumberFormat="1" applyFont="1" applyFill="1" applyBorder="1" applyAlignment="1">
      <alignment horizontal="center" vertical="top"/>
    </xf>
    <xf numFmtId="3" fontId="5" fillId="6" borderId="51" xfId="0" applyNumberFormat="1" applyFont="1" applyFill="1" applyBorder="1" applyAlignment="1">
      <alignment horizontal="center" vertical="top"/>
    </xf>
    <xf numFmtId="3" fontId="4" fillId="0" borderId="22" xfId="0" applyNumberFormat="1" applyFont="1" applyBorder="1" applyAlignment="1">
      <alignment horizontal="center" vertical="top"/>
    </xf>
    <xf numFmtId="3" fontId="5" fillId="3" borderId="57" xfId="0" applyNumberFormat="1" applyFont="1" applyFill="1" applyBorder="1" applyAlignment="1">
      <alignment horizontal="center" vertical="top"/>
    </xf>
    <xf numFmtId="3" fontId="5" fillId="3" borderId="44" xfId="0" applyNumberFormat="1" applyFont="1" applyFill="1" applyBorder="1" applyAlignment="1">
      <alignment horizontal="center" vertical="top"/>
    </xf>
    <xf numFmtId="3" fontId="5" fillId="4" borderId="57" xfId="0" applyNumberFormat="1" applyFont="1" applyFill="1" applyBorder="1" applyAlignment="1">
      <alignment horizontal="center" vertical="top"/>
    </xf>
    <xf numFmtId="3" fontId="5" fillId="4" borderId="11" xfId="0" applyNumberFormat="1" applyFont="1" applyFill="1" applyBorder="1" applyAlignment="1">
      <alignment horizontal="center" vertical="top"/>
    </xf>
    <xf numFmtId="3" fontId="5" fillId="4" borderId="44" xfId="0" applyNumberFormat="1" applyFont="1" applyFill="1" applyBorder="1" applyAlignment="1">
      <alignment horizontal="center" vertical="top"/>
    </xf>
    <xf numFmtId="3" fontId="5" fillId="4" borderId="79" xfId="0" applyNumberFormat="1" applyFont="1" applyFill="1" applyBorder="1" applyAlignment="1">
      <alignment horizontal="center" vertical="top"/>
    </xf>
    <xf numFmtId="3" fontId="4" fillId="0" borderId="35" xfId="0" applyNumberFormat="1" applyFont="1" applyBorder="1" applyAlignment="1">
      <alignment vertical="top"/>
    </xf>
    <xf numFmtId="3" fontId="4" fillId="0" borderId="26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4" fillId="0" borderId="68" xfId="0" applyNumberFormat="1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 wrapText="1"/>
    </xf>
    <xf numFmtId="49" fontId="2" fillId="5" borderId="18" xfId="0" applyNumberFormat="1" applyFont="1" applyFill="1" applyBorder="1" applyAlignment="1">
      <alignment horizontal="center" vertical="top"/>
    </xf>
    <xf numFmtId="3" fontId="2" fillId="0" borderId="43" xfId="0" applyNumberFormat="1" applyFont="1" applyFill="1" applyBorder="1" applyAlignment="1">
      <alignment horizontal="center" vertical="top" textRotation="90" wrapText="1"/>
    </xf>
    <xf numFmtId="3" fontId="2" fillId="0" borderId="18" xfId="0" applyNumberFormat="1" applyFont="1" applyFill="1" applyBorder="1" applyAlignment="1">
      <alignment horizontal="center" vertical="top" textRotation="90" wrapText="1"/>
    </xf>
    <xf numFmtId="3" fontId="2" fillId="0" borderId="18" xfId="0" applyNumberFormat="1" applyFont="1" applyFill="1" applyBorder="1" applyAlignment="1">
      <alignment vertical="top" textRotation="90" wrapText="1"/>
    </xf>
    <xf numFmtId="3" fontId="4" fillId="8" borderId="68" xfId="0" applyNumberFormat="1" applyFont="1" applyFill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center" vertical="top" wrapText="1"/>
    </xf>
    <xf numFmtId="3" fontId="2" fillId="0" borderId="32" xfId="0" applyNumberFormat="1" applyFont="1" applyBorder="1" applyAlignment="1">
      <alignment horizontal="center" vertical="top"/>
    </xf>
    <xf numFmtId="3" fontId="1" fillId="0" borderId="38" xfId="0" applyNumberFormat="1" applyFont="1" applyFill="1" applyBorder="1" applyAlignment="1">
      <alignment horizontal="left" vertical="top" wrapText="1"/>
    </xf>
    <xf numFmtId="3" fontId="1" fillId="0" borderId="41" xfId="0" applyNumberFormat="1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2" fillId="8" borderId="18" xfId="0" applyNumberFormat="1" applyFont="1" applyFill="1" applyBorder="1" applyAlignment="1">
      <alignment horizontal="left" vertical="top" wrapText="1"/>
    </xf>
    <xf numFmtId="3" fontId="2" fillId="0" borderId="31" xfId="0" applyNumberFormat="1" applyFont="1" applyFill="1" applyBorder="1" applyAlignment="1">
      <alignment horizontal="center" vertical="top"/>
    </xf>
    <xf numFmtId="3" fontId="1" fillId="5" borderId="68" xfId="0" applyNumberFormat="1" applyFont="1" applyFill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3" fontId="1" fillId="5" borderId="41" xfId="0" applyNumberFormat="1" applyFont="1" applyFill="1" applyBorder="1" applyAlignment="1">
      <alignment horizontal="left" vertical="top" wrapText="1"/>
    </xf>
    <xf numFmtId="3" fontId="1" fillId="0" borderId="42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49" fontId="1" fillId="10" borderId="18" xfId="0" applyNumberFormat="1" applyFont="1" applyFill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49" fontId="1" fillId="10" borderId="60" xfId="0" applyNumberFormat="1" applyFont="1" applyFill="1" applyBorder="1" applyAlignment="1">
      <alignment horizontal="center" vertical="top"/>
    </xf>
    <xf numFmtId="3" fontId="4" fillId="0" borderId="6" xfId="0" applyNumberFormat="1" applyFont="1" applyBorder="1" applyAlignment="1">
      <alignment horizontal="center" vertical="top" wrapText="1"/>
    </xf>
    <xf numFmtId="3" fontId="5" fillId="0" borderId="60" xfId="0" applyNumberFormat="1" applyFont="1" applyFill="1" applyBorder="1" applyAlignment="1">
      <alignment vertical="top" textRotation="90" wrapText="1"/>
    </xf>
    <xf numFmtId="49" fontId="1" fillId="8" borderId="68" xfId="0" applyNumberFormat="1" applyFont="1" applyFill="1" applyBorder="1" applyAlignment="1">
      <alignment horizontal="center" vertical="top"/>
    </xf>
    <xf numFmtId="3" fontId="2" fillId="0" borderId="43" xfId="0" applyNumberFormat="1" applyFont="1" applyFill="1" applyBorder="1" applyAlignment="1">
      <alignment vertical="top" textRotation="90" wrapText="1"/>
    </xf>
    <xf numFmtId="3" fontId="5" fillId="0" borderId="53" xfId="0" applyNumberFormat="1" applyFont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3" fontId="1" fillId="0" borderId="41" xfId="0" applyNumberFormat="1" applyFont="1" applyFill="1" applyBorder="1" applyAlignment="1">
      <alignment horizontal="left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center" vertical="top"/>
    </xf>
    <xf numFmtId="3" fontId="1" fillId="8" borderId="68" xfId="0" applyNumberFormat="1" applyFont="1" applyFill="1" applyBorder="1" applyAlignment="1">
      <alignment horizontal="left" vertical="top" wrapText="1"/>
    </xf>
    <xf numFmtId="49" fontId="2" fillId="2" borderId="43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49" fontId="1" fillId="10" borderId="18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vertical="top"/>
    </xf>
    <xf numFmtId="3" fontId="2" fillId="0" borderId="31" xfId="0" applyNumberFormat="1" applyFont="1" applyFill="1" applyBorder="1" applyAlignment="1">
      <alignment vertical="top"/>
    </xf>
    <xf numFmtId="3" fontId="1" fillId="8" borderId="34" xfId="0" applyNumberFormat="1" applyFont="1" applyFill="1" applyBorder="1" applyAlignment="1">
      <alignment horizontal="left" vertical="top" wrapText="1"/>
    </xf>
    <xf numFmtId="3" fontId="2" fillId="0" borderId="60" xfId="0" applyNumberFormat="1" applyFont="1" applyBorder="1" applyAlignment="1">
      <alignment vertical="top"/>
    </xf>
    <xf numFmtId="49" fontId="1" fillId="0" borderId="60" xfId="0" applyNumberFormat="1" applyFont="1" applyBorder="1" applyAlignment="1">
      <alignment vertical="top"/>
    </xf>
    <xf numFmtId="3" fontId="2" fillId="0" borderId="40" xfId="0" applyNumberFormat="1" applyFont="1" applyFill="1" applyBorder="1" applyAlignment="1">
      <alignment vertical="top"/>
    </xf>
    <xf numFmtId="166" fontId="1" fillId="5" borderId="6" xfId="0" applyNumberFormat="1" applyFont="1" applyFill="1" applyBorder="1" applyAlignment="1">
      <alignment horizontal="center" vertical="top"/>
    </xf>
    <xf numFmtId="166" fontId="5" fillId="9" borderId="62" xfId="0" applyNumberFormat="1" applyFont="1" applyFill="1" applyBorder="1" applyAlignment="1">
      <alignment horizontal="center" vertical="center"/>
    </xf>
    <xf numFmtId="166" fontId="5" fillId="9" borderId="8" xfId="0" applyNumberFormat="1" applyFont="1" applyFill="1" applyBorder="1" applyAlignment="1">
      <alignment horizontal="center" vertical="top" wrapText="1"/>
    </xf>
    <xf numFmtId="166" fontId="5" fillId="9" borderId="7" xfId="0" applyNumberFormat="1" applyFont="1" applyFill="1" applyBorder="1" applyAlignment="1">
      <alignment horizontal="center" vertical="top" wrapText="1"/>
    </xf>
    <xf numFmtId="3" fontId="5" fillId="9" borderId="6" xfId="0" applyNumberFormat="1" applyFont="1" applyFill="1" applyBorder="1" applyAlignment="1">
      <alignment horizontal="right" vertical="top" wrapText="1"/>
    </xf>
    <xf numFmtId="3" fontId="5" fillId="8" borderId="43" xfId="0" applyNumberFormat="1" applyFont="1" applyFill="1" applyBorder="1" applyAlignment="1">
      <alignment horizontal="center" vertical="top"/>
    </xf>
    <xf numFmtId="166" fontId="19" fillId="0" borderId="0" xfId="0" applyNumberFormat="1" applyFont="1" applyBorder="1" applyAlignment="1">
      <alignment horizontal="right" vertical="top"/>
    </xf>
    <xf numFmtId="166" fontId="19" fillId="0" borderId="0" xfId="0" applyNumberFormat="1" applyFont="1" applyBorder="1" applyAlignment="1">
      <alignment vertical="top"/>
    </xf>
    <xf numFmtId="3" fontId="19" fillId="0" borderId="0" xfId="0" applyNumberFormat="1" applyFont="1" applyAlignment="1">
      <alignment vertical="top"/>
    </xf>
    <xf numFmtId="3" fontId="20" fillId="0" borderId="0" xfId="0" applyNumberFormat="1" applyFont="1" applyBorder="1" applyAlignment="1">
      <alignment vertical="top"/>
    </xf>
    <xf numFmtId="3" fontId="20" fillId="0" borderId="0" xfId="0" applyNumberFormat="1" applyFont="1" applyBorder="1" applyAlignment="1">
      <alignment horizontal="right" vertical="top"/>
    </xf>
    <xf numFmtId="3" fontId="20" fillId="0" borderId="0" xfId="0" applyNumberFormat="1" applyFont="1" applyBorder="1" applyAlignment="1">
      <alignment vertical="top" wrapText="1"/>
    </xf>
    <xf numFmtId="3" fontId="21" fillId="0" borderId="0" xfId="0" applyNumberFormat="1" applyFont="1" applyBorder="1" applyAlignment="1">
      <alignment vertical="top" textRotation="90" wrapText="1"/>
    </xf>
    <xf numFmtId="3" fontId="4" fillId="8" borderId="54" xfId="0" applyNumberFormat="1" applyFont="1" applyFill="1" applyBorder="1" applyAlignment="1">
      <alignment horizontal="left" vertical="top" wrapText="1"/>
    </xf>
    <xf numFmtId="3" fontId="4" fillId="5" borderId="17" xfId="0" applyNumberFormat="1" applyFont="1" applyFill="1" applyBorder="1" applyAlignment="1">
      <alignment vertical="top" wrapText="1"/>
    </xf>
    <xf numFmtId="3" fontId="5" fillId="8" borderId="29" xfId="0" applyNumberFormat="1" applyFont="1" applyFill="1" applyBorder="1" applyAlignment="1">
      <alignment horizontal="left" vertical="top" wrapText="1"/>
    </xf>
    <xf numFmtId="3" fontId="5" fillId="0" borderId="59" xfId="0" applyNumberFormat="1" applyFont="1" applyBorder="1" applyAlignment="1">
      <alignment horizontal="center" vertical="top"/>
    </xf>
    <xf numFmtId="166" fontId="4" fillId="0" borderId="9" xfId="0" applyNumberFormat="1" applyFont="1" applyFill="1" applyBorder="1" applyAlignment="1">
      <alignment horizontal="center" vertical="top"/>
    </xf>
    <xf numFmtId="166" fontId="4" fillId="0" borderId="77" xfId="0" applyNumberFormat="1" applyFont="1" applyFill="1" applyBorder="1" applyAlignment="1">
      <alignment horizontal="center" vertical="top"/>
    </xf>
    <xf numFmtId="3" fontId="4" fillId="0" borderId="78" xfId="0" applyNumberFormat="1" applyFont="1" applyFill="1" applyBorder="1" applyAlignment="1">
      <alignment horizontal="center" vertical="top"/>
    </xf>
    <xf numFmtId="3" fontId="4" fillId="0" borderId="29" xfId="0" applyNumberFormat="1" applyFont="1" applyFill="1" applyBorder="1" applyAlignment="1">
      <alignment horizontal="center" vertical="top"/>
    </xf>
    <xf numFmtId="3" fontId="4" fillId="0" borderId="59" xfId="0" applyNumberFormat="1" applyFont="1" applyFill="1" applyBorder="1" applyAlignment="1">
      <alignment horizontal="center" vertical="top"/>
    </xf>
    <xf numFmtId="49" fontId="2" fillId="5" borderId="43" xfId="0" applyNumberFormat="1" applyFont="1" applyFill="1" applyBorder="1" applyAlignment="1">
      <alignment vertical="top"/>
    </xf>
    <xf numFmtId="166" fontId="1" fillId="0" borderId="5" xfId="0" applyNumberFormat="1" applyFont="1" applyFill="1" applyBorder="1" applyAlignment="1">
      <alignment horizontal="center" vertical="top"/>
    </xf>
    <xf numFmtId="166" fontId="1" fillId="0" borderId="15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  <xf numFmtId="3" fontId="4" fillId="0" borderId="61" xfId="0" applyNumberFormat="1" applyFont="1" applyFill="1" applyBorder="1" applyAlignment="1">
      <alignment horizontal="center" vertical="top" wrapText="1"/>
    </xf>
    <xf numFmtId="49" fontId="4" fillId="6" borderId="75" xfId="0" applyNumberFormat="1" applyFont="1" applyFill="1" applyBorder="1" applyAlignment="1">
      <alignment horizontal="center" vertical="top"/>
    </xf>
    <xf numFmtId="3" fontId="5" fillId="5" borderId="29" xfId="0" applyNumberFormat="1" applyFont="1" applyFill="1" applyBorder="1" applyAlignment="1">
      <alignment vertical="top" wrapText="1"/>
    </xf>
    <xf numFmtId="3" fontId="5" fillId="0" borderId="29" xfId="0" applyNumberFormat="1" applyFont="1" applyFill="1" applyBorder="1" applyAlignment="1">
      <alignment horizontal="center" vertical="top" textRotation="180" wrapText="1"/>
    </xf>
    <xf numFmtId="3" fontId="4" fillId="8" borderId="78" xfId="0" applyNumberFormat="1" applyFont="1" applyFill="1" applyBorder="1" applyAlignment="1">
      <alignment horizontal="center" vertical="top"/>
    </xf>
    <xf numFmtId="3" fontId="4" fillId="8" borderId="75" xfId="0" applyNumberFormat="1" applyFont="1" applyFill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center" vertical="top"/>
    </xf>
    <xf numFmtId="3" fontId="4" fillId="0" borderId="77" xfId="0" applyNumberFormat="1" applyFont="1" applyFill="1" applyBorder="1" applyAlignment="1">
      <alignment horizontal="center" vertical="top"/>
    </xf>
    <xf numFmtId="49" fontId="5" fillId="5" borderId="43" xfId="0" applyNumberFormat="1" applyFont="1" applyFill="1" applyBorder="1" applyAlignment="1">
      <alignment horizontal="center" vertical="top"/>
    </xf>
    <xf numFmtId="3" fontId="5" fillId="5" borderId="63" xfId="0" applyNumberFormat="1" applyFont="1" applyFill="1" applyBorder="1" applyAlignment="1">
      <alignment horizontal="left" vertical="top" wrapText="1"/>
    </xf>
    <xf numFmtId="3" fontId="1" fillId="0" borderId="54" xfId="0" applyNumberFormat="1" applyFont="1" applyFill="1" applyBorder="1" applyAlignment="1">
      <alignment horizontal="center" vertical="top"/>
    </xf>
    <xf numFmtId="3" fontId="2" fillId="9" borderId="35" xfId="0" applyNumberFormat="1" applyFont="1" applyFill="1" applyBorder="1" applyAlignment="1">
      <alignment horizontal="center" vertical="top"/>
    </xf>
    <xf numFmtId="3" fontId="5" fillId="9" borderId="53" xfId="0" applyNumberFormat="1" applyFont="1" applyFill="1" applyBorder="1" applyAlignment="1">
      <alignment horizontal="center" vertical="top"/>
    </xf>
    <xf numFmtId="3" fontId="2" fillId="9" borderId="26" xfId="0" applyNumberFormat="1" applyFont="1" applyFill="1" applyBorder="1" applyAlignment="1">
      <alignment horizontal="center" vertical="top"/>
    </xf>
    <xf numFmtId="49" fontId="2" fillId="3" borderId="50" xfId="0" applyNumberFormat="1" applyFont="1" applyFill="1" applyBorder="1" applyAlignment="1">
      <alignment horizontal="center" vertical="top"/>
    </xf>
    <xf numFmtId="49" fontId="2" fillId="2" borderId="80" xfId="0" applyNumberFormat="1" applyFont="1" applyFill="1" applyBorder="1" applyAlignment="1">
      <alignment horizontal="center" vertical="top"/>
    </xf>
    <xf numFmtId="3" fontId="2" fillId="2" borderId="57" xfId="0" applyNumberFormat="1" applyFont="1" applyFill="1" applyBorder="1" applyAlignment="1">
      <alignment horizontal="center" vertical="top"/>
    </xf>
    <xf numFmtId="3" fontId="2" fillId="2" borderId="70" xfId="0" applyNumberFormat="1" applyFont="1" applyFill="1" applyBorder="1" applyAlignment="1">
      <alignment horizontal="center" vertical="top"/>
    </xf>
    <xf numFmtId="3" fontId="2" fillId="2" borderId="20" xfId="0" applyNumberFormat="1" applyFont="1" applyFill="1" applyBorder="1" applyAlignment="1">
      <alignment horizontal="center" vertical="top"/>
    </xf>
    <xf numFmtId="3" fontId="2" fillId="2" borderId="44" xfId="0" applyNumberFormat="1" applyFont="1" applyFill="1" applyBorder="1" applyAlignment="1">
      <alignment horizontal="center" vertical="top"/>
    </xf>
    <xf numFmtId="3" fontId="2" fillId="2" borderId="19" xfId="0" applyNumberFormat="1" applyFont="1" applyFill="1" applyBorder="1" applyAlignment="1">
      <alignment horizontal="center" vertical="top"/>
    </xf>
    <xf numFmtId="3" fontId="1" fillId="8" borderId="43" xfId="0" applyNumberFormat="1" applyFont="1" applyFill="1" applyBorder="1" applyAlignment="1">
      <alignment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3" fontId="2" fillId="9" borderId="52" xfId="0" applyNumberFormat="1" applyFont="1" applyFill="1" applyBorder="1" applyAlignment="1">
      <alignment horizontal="center" vertical="top"/>
    </xf>
    <xf numFmtId="3" fontId="2" fillId="0" borderId="58" xfId="0" applyNumberFormat="1" applyFont="1" applyFill="1" applyBorder="1" applyAlignment="1">
      <alignment horizontal="center" vertical="top"/>
    </xf>
    <xf numFmtId="3" fontId="4" fillId="0" borderId="77" xfId="0" applyNumberFormat="1" applyFont="1" applyBorder="1" applyAlignment="1">
      <alignment horizontal="center" vertical="top"/>
    </xf>
    <xf numFmtId="3" fontId="5" fillId="4" borderId="12" xfId="0" applyNumberFormat="1" applyFont="1" applyFill="1" applyBorder="1" applyAlignment="1">
      <alignment horizontal="center" vertical="top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1" fillId="8" borderId="22" xfId="0" applyNumberFormat="1" applyFont="1" applyFill="1" applyBorder="1" applyAlignment="1">
      <alignment vertical="top" wrapText="1"/>
    </xf>
    <xf numFmtId="0" fontId="14" fillId="8" borderId="19" xfId="0" applyFont="1" applyFill="1" applyBorder="1" applyAlignment="1">
      <alignment horizontal="center" vertical="top"/>
    </xf>
    <xf numFmtId="0" fontId="14" fillId="8" borderId="21" xfId="0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 wrapText="1"/>
    </xf>
    <xf numFmtId="3" fontId="5" fillId="0" borderId="43" xfId="0" applyNumberFormat="1" applyFont="1" applyFill="1" applyBorder="1" applyAlignment="1">
      <alignment horizontal="center" vertical="top" wrapText="1"/>
    </xf>
    <xf numFmtId="3" fontId="5" fillId="0" borderId="68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textRotation="180" wrapText="1"/>
    </xf>
    <xf numFmtId="49" fontId="4" fillId="0" borderId="18" xfId="0" applyNumberFormat="1" applyFont="1" applyBorder="1" applyAlignment="1">
      <alignment horizontal="center" vertical="top"/>
    </xf>
    <xf numFmtId="3" fontId="5" fillId="0" borderId="31" xfId="0" applyNumberFormat="1" applyFont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49" fontId="2" fillId="2" borderId="43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 textRotation="90" wrapText="1"/>
    </xf>
    <xf numFmtId="3" fontId="5" fillId="0" borderId="54" xfId="0" applyNumberFormat="1" applyFont="1" applyFill="1" applyBorder="1" applyAlignment="1">
      <alignment horizontal="left" vertical="top" wrapText="1"/>
    </xf>
    <xf numFmtId="3" fontId="2" fillId="0" borderId="18" xfId="0" applyNumberFormat="1" applyFont="1" applyFill="1" applyBorder="1" applyAlignment="1">
      <alignment vertical="top" textRotation="90" wrapText="1"/>
    </xf>
    <xf numFmtId="3" fontId="2" fillId="0" borderId="31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 wrapText="1"/>
    </xf>
    <xf numFmtId="3" fontId="2" fillId="0" borderId="32" xfId="0" applyNumberFormat="1" applyFont="1" applyBorder="1" applyAlignment="1">
      <alignment horizontal="center" vertical="top"/>
    </xf>
    <xf numFmtId="3" fontId="1" fillId="8" borderId="68" xfId="0" applyNumberFormat="1" applyFont="1" applyFill="1" applyBorder="1" applyAlignment="1">
      <alignment horizontal="left" vertical="top" wrapText="1"/>
    </xf>
    <xf numFmtId="3" fontId="1" fillId="0" borderId="38" xfId="0" applyNumberFormat="1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 horizontal="left" vertical="top" wrapText="1"/>
    </xf>
    <xf numFmtId="3" fontId="1" fillId="8" borderId="60" xfId="0" applyNumberFormat="1" applyFont="1" applyFill="1" applyBorder="1" applyAlignment="1">
      <alignment horizontal="left" vertical="top" wrapText="1"/>
    </xf>
    <xf numFmtId="3" fontId="2" fillId="0" borderId="60" xfId="0" applyNumberFormat="1" applyFont="1" applyFill="1" applyBorder="1" applyAlignment="1">
      <alignment horizontal="center" vertical="top" textRotation="90" wrapText="1"/>
    </xf>
    <xf numFmtId="3" fontId="1" fillId="0" borderId="41" xfId="0" applyNumberFormat="1" applyFont="1" applyBorder="1" applyAlignment="1">
      <alignment horizontal="left" vertical="top" wrapText="1"/>
    </xf>
    <xf numFmtId="3" fontId="1" fillId="5" borderId="38" xfId="0" applyNumberFormat="1" applyFont="1" applyFill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3" fontId="4" fillId="5" borderId="6" xfId="0" applyNumberFormat="1" applyFont="1" applyFill="1" applyBorder="1" applyAlignment="1">
      <alignment horizontal="center" vertical="top" wrapText="1"/>
    </xf>
    <xf numFmtId="3" fontId="4" fillId="5" borderId="62" xfId="0" applyNumberFormat="1" applyFont="1" applyFill="1" applyBorder="1" applyAlignment="1">
      <alignment horizontal="left" vertical="top" wrapText="1"/>
    </xf>
    <xf numFmtId="49" fontId="1" fillId="10" borderId="68" xfId="0" applyNumberFormat="1" applyFont="1" applyFill="1" applyBorder="1" applyAlignment="1">
      <alignment horizontal="center" vertical="top"/>
    </xf>
    <xf numFmtId="49" fontId="4" fillId="10" borderId="43" xfId="0" applyNumberFormat="1" applyFont="1" applyFill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" fontId="4" fillId="0" borderId="61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 wrapText="1"/>
    </xf>
    <xf numFmtId="49" fontId="1" fillId="10" borderId="60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3" fontId="4" fillId="0" borderId="62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8" borderId="8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166" fontId="4" fillId="0" borderId="37" xfId="0" applyNumberFormat="1" applyFont="1" applyBorder="1" applyAlignment="1">
      <alignment horizontal="center" vertical="top" wrapText="1"/>
    </xf>
    <xf numFmtId="166" fontId="4" fillId="0" borderId="2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vertical="top" wrapText="1"/>
    </xf>
    <xf numFmtId="3" fontId="4" fillId="0" borderId="26" xfId="0" applyNumberFormat="1" applyFont="1" applyBorder="1" applyAlignment="1">
      <alignment vertical="top" wrapText="1"/>
    </xf>
    <xf numFmtId="3" fontId="4" fillId="0" borderId="47" xfId="0" applyNumberFormat="1" applyFont="1" applyFill="1" applyBorder="1" applyAlignment="1">
      <alignment vertical="top" wrapText="1"/>
    </xf>
    <xf numFmtId="3" fontId="4" fillId="0" borderId="51" xfId="0" applyNumberFormat="1" applyFont="1" applyFill="1" applyBorder="1" applyAlignment="1">
      <alignment horizontal="center" vertical="top" wrapText="1"/>
    </xf>
    <xf numFmtId="3" fontId="4" fillId="0" borderId="78" xfId="0" applyNumberFormat="1" applyFont="1" applyBorder="1" applyAlignment="1">
      <alignment horizontal="center" vertical="center" wrapText="1"/>
    </xf>
    <xf numFmtId="3" fontId="4" fillId="0" borderId="7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49" fontId="5" fillId="5" borderId="18" xfId="0" applyNumberFormat="1" applyFont="1" applyFill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2" borderId="60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3" fontId="1" fillId="0" borderId="38" xfId="0" applyNumberFormat="1" applyFont="1" applyFill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center" vertical="top"/>
    </xf>
    <xf numFmtId="3" fontId="1" fillId="5" borderId="42" xfId="0" applyNumberFormat="1" applyFont="1" applyFill="1" applyBorder="1" applyAlignment="1">
      <alignment horizontal="left" vertical="top" wrapText="1"/>
    </xf>
    <xf numFmtId="3" fontId="2" fillId="0" borderId="18" xfId="0" applyNumberFormat="1" applyFont="1" applyFill="1" applyBorder="1" applyAlignment="1">
      <alignment horizontal="center" vertical="top" textRotation="90" wrapText="1"/>
    </xf>
    <xf numFmtId="3" fontId="1" fillId="8" borderId="43" xfId="0" applyNumberFormat="1" applyFont="1" applyFill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/>
    </xf>
    <xf numFmtId="49" fontId="2" fillId="3" borderId="63" xfId="0" applyNumberFormat="1" applyFont="1" applyFill="1" applyBorder="1" applyAlignment="1">
      <alignment horizontal="center" vertical="top"/>
    </xf>
    <xf numFmtId="49" fontId="2" fillId="2" borderId="43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 wrapText="1"/>
    </xf>
    <xf numFmtId="3" fontId="5" fillId="0" borderId="43" xfId="0" applyNumberFormat="1" applyFont="1" applyFill="1" applyBorder="1" applyAlignment="1">
      <alignment horizontal="center" vertical="top" wrapText="1"/>
    </xf>
    <xf numFmtId="3" fontId="5" fillId="0" borderId="60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49" fontId="1" fillId="10" borderId="60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49" fontId="4" fillId="10" borderId="18" xfId="0" applyNumberFormat="1" applyFont="1" applyFill="1" applyBorder="1" applyAlignment="1">
      <alignment horizontal="center" vertical="top"/>
    </xf>
    <xf numFmtId="3" fontId="1" fillId="8" borderId="43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vertical="top" textRotation="90" wrapText="1"/>
    </xf>
    <xf numFmtId="3" fontId="5" fillId="0" borderId="32" xfId="0" applyNumberFormat="1" applyFont="1" applyFill="1" applyBorder="1" applyAlignment="1">
      <alignment horizontal="center" vertical="top" wrapText="1"/>
    </xf>
    <xf numFmtId="49" fontId="5" fillId="5" borderId="54" xfId="0" applyNumberFormat="1" applyFont="1" applyFill="1" applyBorder="1" applyAlignment="1">
      <alignment horizontal="center" vertical="top"/>
    </xf>
    <xf numFmtId="3" fontId="5" fillId="0" borderId="15" xfId="0" applyNumberFormat="1" applyFont="1" applyBorder="1" applyAlignment="1">
      <alignment horizontal="center" vertical="top"/>
    </xf>
    <xf numFmtId="3" fontId="1" fillId="0" borderId="32" xfId="0" applyNumberFormat="1" applyFont="1" applyBorder="1" applyAlignment="1">
      <alignment horizontal="center" vertical="top"/>
    </xf>
    <xf numFmtId="3" fontId="1" fillId="8" borderId="54" xfId="0" applyNumberFormat="1" applyFont="1" applyFill="1" applyBorder="1" applyAlignment="1">
      <alignment horizontal="center" vertical="top" wrapText="1"/>
    </xf>
    <xf numFmtId="166" fontId="1" fillId="8" borderId="58" xfId="0" applyNumberFormat="1" applyFont="1" applyFill="1" applyBorder="1" applyAlignment="1">
      <alignment horizontal="center" vertical="top"/>
    </xf>
    <xf numFmtId="166" fontId="1" fillId="8" borderId="5" xfId="0" applyNumberFormat="1" applyFont="1" applyFill="1" applyBorder="1" applyAlignment="1">
      <alignment horizontal="center" vertical="top"/>
    </xf>
    <xf numFmtId="166" fontId="1" fillId="8" borderId="15" xfId="0" applyNumberFormat="1" applyFont="1" applyFill="1" applyBorder="1" applyAlignment="1">
      <alignment horizontal="center" vertical="top"/>
    </xf>
    <xf numFmtId="49" fontId="2" fillId="5" borderId="54" xfId="0" applyNumberFormat="1" applyFont="1" applyFill="1" applyBorder="1" applyAlignment="1">
      <alignment vertical="top"/>
    </xf>
    <xf numFmtId="3" fontId="18" fillId="0" borderId="43" xfId="0" applyNumberFormat="1" applyFont="1" applyFill="1" applyBorder="1" applyAlignment="1">
      <alignment vertical="top" textRotation="90" wrapText="1"/>
    </xf>
    <xf numFmtId="49" fontId="1" fillId="0" borderId="65" xfId="0" applyNumberFormat="1" applyFont="1" applyBorder="1" applyAlignment="1">
      <alignment vertical="top" wrapText="1"/>
    </xf>
    <xf numFmtId="166" fontId="1" fillId="8" borderId="63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3" borderId="63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 wrapText="1"/>
    </xf>
    <xf numFmtId="3" fontId="5" fillId="0" borderId="43" xfId="0" applyNumberFormat="1" applyFont="1" applyFill="1" applyBorder="1" applyAlignment="1">
      <alignment horizontal="center" vertical="top" textRotation="90" wrapText="1"/>
    </xf>
    <xf numFmtId="3" fontId="5" fillId="0" borderId="61" xfId="0" applyNumberFormat="1" applyFont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 applyAlignment="1">
      <alignment horizontal="center" vertical="top"/>
    </xf>
    <xf numFmtId="3" fontId="5" fillId="0" borderId="54" xfId="0" applyNumberFormat="1" applyFont="1" applyFill="1" applyBorder="1" applyAlignment="1">
      <alignment horizontal="left" vertical="top" wrapText="1"/>
    </xf>
    <xf numFmtId="49" fontId="4" fillId="10" borderId="43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vertical="top"/>
    </xf>
    <xf numFmtId="3" fontId="5" fillId="0" borderId="32" xfId="0" applyNumberFormat="1" applyFont="1" applyFill="1" applyBorder="1" applyAlignment="1">
      <alignment horizontal="center" vertical="top"/>
    </xf>
    <xf numFmtId="3" fontId="4" fillId="5" borderId="63" xfId="0" applyNumberFormat="1" applyFont="1" applyFill="1" applyBorder="1" applyAlignment="1">
      <alignment horizontal="left" vertical="top" wrapText="1"/>
    </xf>
    <xf numFmtId="3" fontId="2" fillId="0" borderId="54" xfId="0" applyNumberFormat="1" applyFont="1" applyFill="1" applyBorder="1" applyAlignment="1">
      <alignment horizontal="center" vertical="top" textRotation="90" wrapText="1"/>
    </xf>
    <xf numFmtId="3" fontId="2" fillId="8" borderId="54" xfId="0" applyNumberFormat="1" applyFont="1" applyFill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 wrapText="1"/>
    </xf>
    <xf numFmtId="0" fontId="14" fillId="0" borderId="68" xfId="0" applyFont="1" applyBorder="1" applyAlignment="1">
      <alignment horizontal="center" vertical="top"/>
    </xf>
    <xf numFmtId="0" fontId="14" fillId="0" borderId="53" xfId="0" applyFont="1" applyBorder="1" applyAlignment="1">
      <alignment horizontal="center" vertical="top"/>
    </xf>
    <xf numFmtId="3" fontId="5" fillId="0" borderId="43" xfId="0" applyNumberFormat="1" applyFont="1" applyBorder="1" applyAlignment="1">
      <alignment horizontal="center" vertical="top"/>
    </xf>
    <xf numFmtId="49" fontId="2" fillId="5" borderId="65" xfId="0" applyNumberFormat="1" applyFont="1" applyFill="1" applyBorder="1" applyAlignment="1">
      <alignment horizontal="center" vertical="top"/>
    </xf>
    <xf numFmtId="49" fontId="2" fillId="5" borderId="60" xfId="0" applyNumberFormat="1" applyFont="1" applyFill="1" applyBorder="1" applyAlignment="1">
      <alignment vertical="top"/>
    </xf>
    <xf numFmtId="3" fontId="1" fillId="0" borderId="6" xfId="0" applyNumberFormat="1" applyFont="1" applyFill="1" applyBorder="1" applyAlignment="1">
      <alignment vertical="top" wrapText="1"/>
    </xf>
    <xf numFmtId="49" fontId="1" fillId="6" borderId="43" xfId="0" applyNumberFormat="1" applyFont="1" applyFill="1" applyBorder="1" applyAlignment="1">
      <alignment horizontal="center" vertical="top"/>
    </xf>
    <xf numFmtId="3" fontId="1" fillId="8" borderId="65" xfId="0" applyNumberFormat="1" applyFont="1" applyFill="1" applyBorder="1" applyAlignment="1">
      <alignment horizontal="center" vertical="top" wrapText="1"/>
    </xf>
    <xf numFmtId="49" fontId="2" fillId="5" borderId="60" xfId="0" applyNumberFormat="1" applyFont="1" applyFill="1" applyBorder="1" applyAlignment="1">
      <alignment horizontal="center" vertical="top"/>
    </xf>
    <xf numFmtId="49" fontId="1" fillId="8" borderId="60" xfId="0" applyNumberFormat="1" applyFont="1" applyFill="1" applyBorder="1" applyAlignment="1">
      <alignment horizontal="center" vertical="top" wrapText="1"/>
    </xf>
    <xf numFmtId="3" fontId="1" fillId="8" borderId="6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3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43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8" borderId="13" xfId="0" applyFont="1" applyFill="1" applyBorder="1" applyAlignment="1">
      <alignment horizontal="left" vertical="top" wrapText="1"/>
    </xf>
    <xf numFmtId="0" fontId="4" fillId="8" borderId="19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49" fontId="4" fillId="0" borderId="66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165" fontId="4" fillId="5" borderId="41" xfId="0" applyNumberFormat="1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5" fillId="9" borderId="47" xfId="0" applyFont="1" applyFill="1" applyBorder="1" applyAlignment="1">
      <alignment horizontal="center" vertical="top" wrapText="1"/>
    </xf>
    <xf numFmtId="0" fontId="5" fillId="9" borderId="46" xfId="0" applyFont="1" applyFill="1" applyBorder="1" applyAlignment="1">
      <alignment horizontal="center" vertical="top" wrapText="1"/>
    </xf>
    <xf numFmtId="0" fontId="5" fillId="9" borderId="5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75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0" fontId="5" fillId="0" borderId="43" xfId="0" applyFont="1" applyFill="1" applyBorder="1" applyAlignment="1">
      <alignment horizontal="center" vertical="top" textRotation="180" wrapText="1"/>
    </xf>
    <xf numFmtId="0" fontId="4" fillId="0" borderId="68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64" fontId="4" fillId="5" borderId="22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left" vertical="top" wrapText="1"/>
    </xf>
    <xf numFmtId="0" fontId="4" fillId="5" borderId="41" xfId="0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49" fontId="2" fillId="7" borderId="12" xfId="0" applyNumberFormat="1" applyFont="1" applyFill="1" applyBorder="1" applyAlignment="1">
      <alignment horizontal="left" vertical="top" wrapText="1"/>
    </xf>
    <xf numFmtId="49" fontId="2" fillId="7" borderId="55" xfId="0" applyNumberFormat="1" applyFont="1" applyFill="1" applyBorder="1" applyAlignment="1">
      <alignment horizontal="left" vertical="top" wrapText="1"/>
    </xf>
    <xf numFmtId="49" fontId="2" fillId="7" borderId="76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3" borderId="63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4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right" vertical="top"/>
    </xf>
    <xf numFmtId="49" fontId="2" fillId="2" borderId="14" xfId="0" applyNumberFormat="1" applyFont="1" applyFill="1" applyBorder="1" applyAlignment="1">
      <alignment horizontal="right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13" fillId="0" borderId="18" xfId="0" applyFont="1" applyBorder="1" applyAlignment="1">
      <alignment horizontal="center" vertical="center" textRotation="90"/>
    </xf>
    <xf numFmtId="49" fontId="4" fillId="0" borderId="18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right" vertical="top"/>
    </xf>
    <xf numFmtId="164" fontId="5" fillId="9" borderId="12" xfId="0" applyNumberFormat="1" applyFont="1" applyFill="1" applyBorder="1" applyAlignment="1">
      <alignment horizontal="center" vertical="top" wrapText="1"/>
    </xf>
    <xf numFmtId="164" fontId="5" fillId="9" borderId="55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left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164" fontId="4" fillId="0" borderId="51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3" borderId="55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2" fillId="9" borderId="12" xfId="0" applyFont="1" applyFill="1" applyBorder="1" applyAlignment="1">
      <alignment horizontal="right" vertical="top" wrapText="1"/>
    </xf>
    <xf numFmtId="0" fontId="2" fillId="9" borderId="55" xfId="0" applyFont="1" applyFill="1" applyBorder="1" applyAlignment="1">
      <alignment horizontal="right" vertical="top" wrapText="1"/>
    </xf>
    <xf numFmtId="0" fontId="2" fillId="9" borderId="76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0" fontId="4" fillId="5" borderId="2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0" fontId="5" fillId="0" borderId="39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 wrapText="1"/>
    </xf>
    <xf numFmtId="164" fontId="4" fillId="0" borderId="41" xfId="0" applyNumberFormat="1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48" xfId="0" applyNumberFormat="1" applyFont="1" applyFill="1" applyBorder="1" applyAlignment="1">
      <alignment horizontal="center" vertical="top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4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60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8" borderId="34" xfId="0" applyFont="1" applyFill="1" applyBorder="1" applyAlignment="1">
      <alignment horizontal="left" vertical="top" wrapText="1"/>
    </xf>
    <xf numFmtId="0" fontId="1" fillId="8" borderId="7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top"/>
    </xf>
    <xf numFmtId="0" fontId="4" fillId="5" borderId="34" xfId="0" applyFont="1" applyFill="1" applyBorder="1" applyAlignment="1">
      <alignment horizontal="left" vertical="top" wrapText="1"/>
    </xf>
    <xf numFmtId="0" fontId="4" fillId="5" borderId="70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5" fillId="9" borderId="47" xfId="0" applyFont="1" applyFill="1" applyBorder="1" applyAlignment="1">
      <alignment horizontal="right" vertical="top" wrapText="1"/>
    </xf>
    <xf numFmtId="0" fontId="5" fillId="9" borderId="46" xfId="0" applyFont="1" applyFill="1" applyBorder="1" applyAlignment="1">
      <alignment horizontal="right" vertical="top" wrapText="1"/>
    </xf>
    <xf numFmtId="0" fontId="5" fillId="9" borderId="51" xfId="0" applyFont="1" applyFill="1" applyBorder="1" applyAlignment="1">
      <alignment horizontal="right" vertical="top" wrapText="1"/>
    </xf>
    <xf numFmtId="3" fontId="5" fillId="9" borderId="12" xfId="0" applyNumberFormat="1" applyFont="1" applyFill="1" applyBorder="1" applyAlignment="1">
      <alignment horizontal="center" vertical="top" wrapText="1"/>
    </xf>
    <xf numFmtId="3" fontId="5" fillId="9" borderId="55" xfId="0" applyNumberFormat="1" applyFont="1" applyFill="1" applyBorder="1" applyAlignment="1">
      <alignment horizontal="center" vertical="top" wrapText="1"/>
    </xf>
    <xf numFmtId="0" fontId="1" fillId="5" borderId="67" xfId="0" applyFont="1" applyFill="1" applyBorder="1" applyAlignment="1">
      <alignment horizontal="left" vertical="top" wrapText="1"/>
    </xf>
    <xf numFmtId="0" fontId="1" fillId="5" borderId="3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5" fillId="4" borderId="12" xfId="0" applyNumberFormat="1" applyFont="1" applyFill="1" applyBorder="1" applyAlignment="1">
      <alignment horizontal="center" vertical="top" wrapText="1"/>
    </xf>
    <xf numFmtId="3" fontId="5" fillId="4" borderId="55" xfId="0" applyNumberFormat="1" applyFont="1" applyFill="1" applyBorder="1" applyAlignment="1">
      <alignment horizontal="center" vertical="top" wrapText="1"/>
    </xf>
    <xf numFmtId="3" fontId="5" fillId="4" borderId="76" xfId="0" applyNumberFormat="1" applyFont="1" applyFill="1" applyBorder="1" applyAlignment="1">
      <alignment horizontal="center" vertical="top" wrapText="1"/>
    </xf>
    <xf numFmtId="3" fontId="4" fillId="0" borderId="67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1" fillId="0" borderId="67" xfId="0" applyNumberFormat="1" applyFont="1" applyBorder="1" applyAlignment="1">
      <alignment horizontal="center" vertical="top"/>
    </xf>
    <xf numFmtId="3" fontId="1" fillId="0" borderId="35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3" fontId="5" fillId="4" borderId="16" xfId="0" applyNumberFormat="1" applyFont="1" applyFill="1" applyBorder="1" applyAlignment="1">
      <alignment horizontal="center" vertical="top" wrapText="1"/>
    </xf>
    <xf numFmtId="3" fontId="5" fillId="4" borderId="3" xfId="0" applyNumberFormat="1" applyFont="1" applyFill="1" applyBorder="1" applyAlignment="1">
      <alignment horizontal="center" vertical="top" wrapText="1"/>
    </xf>
    <xf numFmtId="3" fontId="5" fillId="4" borderId="24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49" fontId="2" fillId="2" borderId="76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center" textRotation="90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2" fillId="0" borderId="39" xfId="0" applyNumberFormat="1" applyFont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left" vertical="top" wrapText="1"/>
    </xf>
    <xf numFmtId="0" fontId="1" fillId="8" borderId="29" xfId="0" applyFont="1" applyFill="1" applyBorder="1" applyAlignment="1">
      <alignment horizontal="left" vertical="top" wrapText="1"/>
    </xf>
    <xf numFmtId="0" fontId="1" fillId="8" borderId="18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19" xfId="0" applyFont="1" applyFill="1" applyBorder="1" applyAlignment="1">
      <alignment vertical="center" textRotation="90" wrapText="1"/>
    </xf>
    <xf numFmtId="0" fontId="2" fillId="0" borderId="75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4" fillId="0" borderId="74" xfId="0" applyFont="1" applyFill="1" applyBorder="1" applyAlignment="1">
      <alignment horizontal="center" vertical="center" textRotation="90" wrapText="1"/>
    </xf>
    <xf numFmtId="0" fontId="4" fillId="0" borderId="65" xfId="0" applyFont="1" applyFill="1" applyBorder="1" applyAlignment="1">
      <alignment horizontal="center" vertical="center" textRotation="90" wrapText="1"/>
    </xf>
    <xf numFmtId="0" fontId="5" fillId="5" borderId="66" xfId="0" applyNumberFormat="1" applyFont="1" applyFill="1" applyBorder="1" applyAlignment="1">
      <alignment horizontal="center" vertical="top"/>
    </xf>
    <xf numFmtId="0" fontId="5" fillId="5" borderId="32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165" fontId="1" fillId="5" borderId="22" xfId="0" applyNumberFormat="1" applyFont="1" applyFill="1" applyBorder="1" applyAlignment="1">
      <alignment horizontal="left" vertical="top" wrapText="1"/>
    </xf>
    <xf numFmtId="165" fontId="1" fillId="5" borderId="41" xfId="0" applyNumberFormat="1" applyFont="1" applyFill="1" applyBorder="1" applyAlignment="1">
      <alignment horizontal="left" vertical="top" wrapText="1"/>
    </xf>
    <xf numFmtId="165" fontId="1" fillId="5" borderId="20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8" borderId="0" xfId="0" applyFont="1" applyFill="1" applyBorder="1" applyAlignment="1">
      <alignment horizontal="center" vertical="top" wrapText="1"/>
    </xf>
    <xf numFmtId="0" fontId="1" fillId="8" borderId="44" xfId="0" applyFont="1" applyFill="1" applyBorder="1" applyAlignment="1">
      <alignment horizontal="center" vertical="top" wrapText="1"/>
    </xf>
    <xf numFmtId="49" fontId="1" fillId="8" borderId="31" xfId="0" applyNumberFormat="1" applyFont="1" applyFill="1" applyBorder="1" applyAlignment="1">
      <alignment horizontal="center" vertical="top" wrapText="1"/>
    </xf>
    <xf numFmtId="49" fontId="1" fillId="8" borderId="21" xfId="0" applyNumberFormat="1" applyFont="1" applyFill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/>
    </xf>
    <xf numFmtId="0" fontId="4" fillId="8" borderId="60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center" textRotation="90" wrapText="1"/>
    </xf>
    <xf numFmtId="0" fontId="1" fillId="8" borderId="60" xfId="0" applyFont="1" applyFill="1" applyBorder="1" applyAlignment="1">
      <alignment horizontal="left" vertical="top" wrapText="1"/>
    </xf>
    <xf numFmtId="0" fontId="1" fillId="8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8" borderId="34" xfId="0" applyFont="1" applyFill="1" applyBorder="1" applyAlignment="1">
      <alignment horizontal="left" vertical="top" wrapText="1"/>
    </xf>
    <xf numFmtId="0" fontId="4" fillId="8" borderId="32" xfId="0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center" vertical="top"/>
    </xf>
    <xf numFmtId="0" fontId="4" fillId="8" borderId="43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55" xfId="0" applyNumberFormat="1" applyFont="1" applyFill="1" applyBorder="1" applyAlignment="1">
      <alignment horizontal="center" vertical="top"/>
    </xf>
    <xf numFmtId="0" fontId="5" fillId="2" borderId="76" xfId="0" applyNumberFormat="1" applyFont="1" applyFill="1" applyBorder="1" applyAlignment="1">
      <alignment horizontal="center" vertical="top"/>
    </xf>
    <xf numFmtId="49" fontId="2" fillId="3" borderId="14" xfId="0" applyNumberFormat="1" applyFont="1" applyFill="1" applyBorder="1" applyAlignment="1">
      <alignment horizontal="right" vertical="top"/>
    </xf>
    <xf numFmtId="164" fontId="5" fillId="3" borderId="12" xfId="0" applyNumberFormat="1" applyFont="1" applyFill="1" applyBorder="1" applyAlignment="1">
      <alignment horizontal="center" vertical="top"/>
    </xf>
    <xf numFmtId="164" fontId="5" fillId="3" borderId="55" xfId="0" applyNumberFormat="1" applyFont="1" applyFill="1" applyBorder="1" applyAlignment="1">
      <alignment horizontal="center" vertical="top"/>
    </xf>
    <xf numFmtId="164" fontId="5" fillId="3" borderId="76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left" vertical="top" wrapText="1"/>
    </xf>
    <xf numFmtId="0" fontId="2" fillId="0" borderId="40" xfId="0" applyNumberFormat="1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7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8" borderId="29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5" fillId="0" borderId="4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4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" fillId="0" borderId="29" xfId="0" applyFont="1" applyFill="1" applyBorder="1" applyAlignment="1">
      <alignment vertical="center" textRotation="90" wrapText="1"/>
    </xf>
    <xf numFmtId="0" fontId="4" fillId="0" borderId="4" xfId="0" applyFont="1" applyFill="1" applyBorder="1" applyAlignment="1">
      <alignment vertical="center" textRotation="90" wrapText="1"/>
    </xf>
    <xf numFmtId="164" fontId="4" fillId="5" borderId="41" xfId="0" applyNumberFormat="1" applyFont="1" applyFill="1" applyBorder="1" applyAlignment="1">
      <alignment horizontal="left" vertical="top" wrapText="1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6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textRotation="180" wrapText="1"/>
    </xf>
    <xf numFmtId="49" fontId="5" fillId="0" borderId="53" xfId="0" applyNumberFormat="1" applyFont="1" applyFill="1" applyBorder="1" applyAlignment="1">
      <alignment horizontal="center" vertical="top"/>
    </xf>
    <xf numFmtId="49" fontId="5" fillId="0" borderId="40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24" xfId="0" applyNumberFormat="1" applyFont="1" applyBorder="1" applyAlignment="1">
      <alignment horizontal="center" vertical="center" textRotation="90" wrapText="1"/>
    </xf>
    <xf numFmtId="3" fontId="4" fillId="0" borderId="17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57" xfId="0" applyNumberFormat="1" applyFont="1" applyBorder="1" applyAlignment="1">
      <alignment horizontal="center" vertical="center" textRotation="90" wrapText="1"/>
    </xf>
    <xf numFmtId="3" fontId="4" fillId="0" borderId="44" xfId="0" applyNumberFormat="1" applyFont="1" applyBorder="1" applyAlignment="1">
      <alignment horizontal="center" vertical="center" textRotation="90" wrapText="1"/>
    </xf>
    <xf numFmtId="3" fontId="4" fillId="0" borderId="71" xfId="0" applyNumberFormat="1" applyFont="1" applyBorder="1" applyAlignment="1">
      <alignment horizontal="center" vertical="center" textRotation="90" wrapText="1"/>
    </xf>
    <xf numFmtId="3" fontId="4" fillId="0" borderId="10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50" xfId="0" applyNumberFormat="1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0" fontId="1" fillId="5" borderId="38" xfId="0" applyFont="1" applyFill="1" applyBorder="1" applyAlignment="1">
      <alignment horizontal="left" vertical="top" wrapText="1"/>
    </xf>
    <xf numFmtId="0" fontId="1" fillId="5" borderId="41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 wrapText="1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60" xfId="0" applyFont="1" applyFill="1" applyBorder="1" applyAlignment="1">
      <alignment horizontal="left" vertical="top" wrapText="1"/>
    </xf>
    <xf numFmtId="3" fontId="4" fillId="5" borderId="60" xfId="0" applyNumberFormat="1" applyFont="1" applyFill="1" applyBorder="1" applyAlignment="1">
      <alignment horizontal="left" vertical="top" wrapText="1"/>
    </xf>
    <xf numFmtId="3" fontId="4" fillId="5" borderId="18" xfId="0" applyNumberFormat="1" applyFont="1" applyFill="1" applyBorder="1" applyAlignment="1">
      <alignment horizontal="left" vertical="top" wrapText="1"/>
    </xf>
    <xf numFmtId="3" fontId="4" fillId="5" borderId="43" xfId="0" applyNumberFormat="1" applyFont="1" applyFill="1" applyBorder="1" applyAlignment="1">
      <alignment horizontal="left" vertical="top" wrapText="1"/>
    </xf>
    <xf numFmtId="3" fontId="4" fillId="5" borderId="19" xfId="0" applyNumberFormat="1" applyFont="1" applyFill="1" applyBorder="1" applyAlignment="1">
      <alignment horizontal="left" vertical="top" wrapText="1"/>
    </xf>
    <xf numFmtId="3" fontId="1" fillId="0" borderId="41" xfId="0" applyNumberFormat="1" applyFont="1" applyFill="1" applyBorder="1" applyAlignment="1">
      <alignment horizontal="left" vertical="top" wrapText="1"/>
    </xf>
    <xf numFmtId="3" fontId="1" fillId="0" borderId="20" xfId="0" applyNumberFormat="1" applyFont="1" applyFill="1" applyBorder="1" applyAlignment="1">
      <alignment horizontal="left" vertical="top" wrapText="1"/>
    </xf>
    <xf numFmtId="3" fontId="1" fillId="8" borderId="38" xfId="0" applyNumberFormat="1" applyFont="1" applyFill="1" applyBorder="1" applyAlignment="1">
      <alignment horizontal="left" vertical="top" wrapText="1"/>
    </xf>
    <xf numFmtId="3" fontId="1" fillId="8" borderId="20" xfId="0" applyNumberFormat="1" applyFont="1" applyFill="1" applyBorder="1" applyAlignment="1">
      <alignment horizontal="left" vertical="top" wrapText="1"/>
    </xf>
    <xf numFmtId="3" fontId="4" fillId="0" borderId="60" xfId="0" applyNumberFormat="1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left" vertical="top" wrapText="1"/>
    </xf>
    <xf numFmtId="3" fontId="5" fillId="0" borderId="60" xfId="0" applyNumberFormat="1" applyFont="1" applyFill="1" applyBorder="1" applyAlignment="1">
      <alignment horizontal="center" vertical="top" textRotation="90" wrapText="1"/>
    </xf>
    <xf numFmtId="3" fontId="5" fillId="0" borderId="19" xfId="0" applyNumberFormat="1" applyFont="1" applyFill="1" applyBorder="1" applyAlignment="1">
      <alignment horizontal="center" vertical="top" textRotation="90" wrapText="1"/>
    </xf>
    <xf numFmtId="3" fontId="5" fillId="9" borderId="47" xfId="0" applyNumberFormat="1" applyFont="1" applyFill="1" applyBorder="1" applyAlignment="1">
      <alignment horizontal="right" vertical="top" wrapText="1"/>
    </xf>
    <xf numFmtId="3" fontId="5" fillId="9" borderId="46" xfId="0" applyNumberFormat="1" applyFont="1" applyFill="1" applyBorder="1" applyAlignment="1">
      <alignment horizontal="right" vertical="top" wrapText="1"/>
    </xf>
    <xf numFmtId="3" fontId="5" fillId="9" borderId="51" xfId="0" applyNumberFormat="1" applyFont="1" applyFill="1" applyBorder="1" applyAlignment="1">
      <alignment horizontal="right" vertical="top" wrapText="1"/>
    </xf>
    <xf numFmtId="3" fontId="4" fillId="0" borderId="38" xfId="0" applyNumberFormat="1" applyFont="1" applyBorder="1" applyAlignment="1">
      <alignment horizontal="left" vertical="top" wrapText="1"/>
    </xf>
    <xf numFmtId="3" fontId="4" fillId="0" borderId="41" xfId="0" applyNumberFormat="1" applyFont="1" applyBorder="1" applyAlignment="1">
      <alignment horizontal="left" vertical="top" wrapText="1"/>
    </xf>
    <xf numFmtId="3" fontId="1" fillId="5" borderId="38" xfId="0" applyNumberFormat="1" applyFont="1" applyFill="1" applyBorder="1" applyAlignment="1">
      <alignment horizontal="left" vertical="top" wrapText="1"/>
    </xf>
    <xf numFmtId="3" fontId="1" fillId="5" borderId="41" xfId="0" applyNumberFormat="1" applyFont="1" applyFill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left" vertical="top" wrapText="1"/>
    </xf>
    <xf numFmtId="3" fontId="1" fillId="0" borderId="38" xfId="0" applyNumberFormat="1" applyFont="1" applyFill="1" applyBorder="1" applyAlignment="1">
      <alignment horizontal="left" vertical="top" wrapText="1"/>
    </xf>
    <xf numFmtId="3" fontId="1" fillId="0" borderId="42" xfId="0" applyNumberFormat="1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horizontal="left" vertical="top" wrapText="1"/>
    </xf>
    <xf numFmtId="3" fontId="5" fillId="2" borderId="12" xfId="0" applyNumberFormat="1" applyFont="1" applyFill="1" applyBorder="1" applyAlignment="1">
      <alignment horizontal="left" vertical="top" wrapText="1"/>
    </xf>
    <xf numFmtId="3" fontId="5" fillId="2" borderId="55" xfId="0" applyNumberFormat="1" applyFont="1" applyFill="1" applyBorder="1" applyAlignment="1">
      <alignment horizontal="left" vertical="top" wrapText="1"/>
    </xf>
    <xf numFmtId="3" fontId="5" fillId="2" borderId="76" xfId="0" applyNumberFormat="1" applyFont="1" applyFill="1" applyBorder="1" applyAlignment="1">
      <alignment horizontal="left" vertical="top" wrapText="1"/>
    </xf>
    <xf numFmtId="3" fontId="4" fillId="0" borderId="38" xfId="0" applyNumberFormat="1" applyFont="1" applyFill="1" applyBorder="1" applyAlignment="1">
      <alignment horizontal="left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2" fillId="0" borderId="30" xfId="0" applyNumberFormat="1" applyFont="1" applyFill="1" applyBorder="1" applyAlignment="1">
      <alignment horizontal="center" vertical="top"/>
    </xf>
    <xf numFmtId="3" fontId="2" fillId="0" borderId="45" xfId="0" applyNumberFormat="1" applyFont="1" applyFill="1" applyBorder="1" applyAlignment="1">
      <alignment horizontal="center" vertical="top"/>
    </xf>
    <xf numFmtId="3" fontId="5" fillId="2" borderId="55" xfId="0" applyNumberFormat="1" applyFont="1" applyFill="1" applyBorder="1" applyAlignment="1">
      <alignment horizontal="center" vertical="top"/>
    </xf>
    <xf numFmtId="3" fontId="5" fillId="2" borderId="76" xfId="0" applyNumberFormat="1" applyFont="1" applyFill="1" applyBorder="1" applyAlignment="1">
      <alignment horizontal="center" vertical="top"/>
    </xf>
    <xf numFmtId="3" fontId="1" fillId="0" borderId="37" xfId="0" applyNumberFormat="1" applyFont="1" applyBorder="1" applyAlignment="1">
      <alignment horizontal="left" vertical="top" wrapText="1"/>
    </xf>
    <xf numFmtId="3" fontId="1" fillId="0" borderId="68" xfId="0" applyNumberFormat="1" applyFont="1" applyBorder="1" applyAlignment="1">
      <alignment horizontal="left" vertical="top" wrapText="1"/>
    </xf>
    <xf numFmtId="3" fontId="1" fillId="0" borderId="53" xfId="0" applyNumberFormat="1" applyFont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3" fontId="5" fillId="0" borderId="67" xfId="0" applyNumberFormat="1" applyFont="1" applyBorder="1" applyAlignment="1">
      <alignment horizontal="left" vertical="top" wrapText="1"/>
    </xf>
    <xf numFmtId="3" fontId="5" fillId="0" borderId="35" xfId="0" applyNumberFormat="1" applyFont="1" applyBorder="1" applyAlignment="1">
      <alignment horizontal="left" vertical="top" wrapText="1"/>
    </xf>
    <xf numFmtId="3" fontId="5" fillId="0" borderId="26" xfId="0" applyNumberFormat="1" applyFont="1" applyBorder="1" applyAlignment="1">
      <alignment horizontal="left" vertical="top" wrapText="1"/>
    </xf>
    <xf numFmtId="3" fontId="2" fillId="4" borderId="78" xfId="0" applyNumberFormat="1" applyFont="1" applyFill="1" applyBorder="1" applyAlignment="1">
      <alignment horizontal="right" vertical="top" wrapText="1"/>
    </xf>
    <xf numFmtId="3" fontId="2" fillId="4" borderId="59" xfId="0" applyNumberFormat="1" applyFont="1" applyFill="1" applyBorder="1" applyAlignment="1">
      <alignment horizontal="right" vertical="top" wrapText="1"/>
    </xf>
    <xf numFmtId="3" fontId="2" fillId="4" borderId="77" xfId="0" applyNumberFormat="1" applyFont="1" applyFill="1" applyBorder="1" applyAlignment="1">
      <alignment horizontal="right" vertical="top" wrapText="1"/>
    </xf>
    <xf numFmtId="3" fontId="5" fillId="5" borderId="0" xfId="0" applyNumberFormat="1" applyFont="1" applyFill="1" applyBorder="1" applyAlignment="1">
      <alignment horizontal="center" vertical="top" wrapText="1"/>
    </xf>
    <xf numFmtId="3" fontId="1" fillId="5" borderId="37" xfId="0" applyNumberFormat="1" applyFont="1" applyFill="1" applyBorder="1" applyAlignment="1">
      <alignment horizontal="left" vertical="top" wrapText="1"/>
    </xf>
    <xf numFmtId="3" fontId="1" fillId="5" borderId="68" xfId="0" applyNumberFormat="1" applyFont="1" applyFill="1" applyBorder="1" applyAlignment="1">
      <alignment horizontal="left" vertical="top" wrapText="1"/>
    </xf>
    <xf numFmtId="3" fontId="1" fillId="5" borderId="53" xfId="0" applyNumberFormat="1" applyFont="1" applyFill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center" vertical="top"/>
    </xf>
    <xf numFmtId="3" fontId="1" fillId="5" borderId="48" xfId="0" applyNumberFormat="1" applyFont="1" applyFill="1" applyBorder="1" applyAlignment="1">
      <alignment horizontal="left" vertical="top" wrapText="1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5" borderId="51" xfId="0" applyNumberFormat="1" applyFont="1" applyFill="1" applyBorder="1" applyAlignment="1">
      <alignment horizontal="left" vertical="top" wrapText="1"/>
    </xf>
    <xf numFmtId="3" fontId="2" fillId="9" borderId="12" xfId="0" applyNumberFormat="1" applyFont="1" applyFill="1" applyBorder="1" applyAlignment="1">
      <alignment horizontal="right" vertical="top" wrapText="1"/>
    </xf>
    <xf numFmtId="3" fontId="2" fillId="9" borderId="55" xfId="0" applyNumberFormat="1" applyFont="1" applyFill="1" applyBorder="1" applyAlignment="1">
      <alignment horizontal="right" vertical="top" wrapText="1"/>
    </xf>
    <xf numFmtId="3" fontId="2" fillId="9" borderId="76" xfId="0" applyNumberFormat="1" applyFont="1" applyFill="1" applyBorder="1" applyAlignment="1">
      <alignment horizontal="right" vertical="top" wrapText="1"/>
    </xf>
    <xf numFmtId="3" fontId="2" fillId="4" borderId="12" xfId="0" applyNumberFormat="1" applyFont="1" applyFill="1" applyBorder="1" applyAlignment="1">
      <alignment horizontal="right" vertical="top" wrapText="1"/>
    </xf>
    <xf numFmtId="3" fontId="2" fillId="4" borderId="55" xfId="0" applyNumberFormat="1" applyFont="1" applyFill="1" applyBorder="1" applyAlignment="1">
      <alignment horizontal="right" vertical="top" wrapText="1"/>
    </xf>
    <xf numFmtId="3" fontId="2" fillId="4" borderId="76" xfId="0" applyNumberFormat="1" applyFont="1" applyFill="1" applyBorder="1" applyAlignment="1">
      <alignment horizontal="right" vertical="top" wrapText="1"/>
    </xf>
    <xf numFmtId="3" fontId="5" fillId="5" borderId="0" xfId="0" applyNumberFormat="1" applyFont="1" applyFill="1" applyBorder="1" applyAlignment="1">
      <alignment horizontal="center" vertical="top"/>
    </xf>
    <xf numFmtId="3" fontId="1" fillId="5" borderId="42" xfId="0" applyNumberFormat="1" applyFont="1" applyFill="1" applyBorder="1" applyAlignment="1">
      <alignment horizontal="left" vertical="top" wrapText="1"/>
    </xf>
    <xf numFmtId="3" fontId="1" fillId="5" borderId="43" xfId="0" applyNumberFormat="1" applyFont="1" applyFill="1" applyBorder="1" applyAlignment="1">
      <alignment horizontal="left" vertical="top" wrapText="1"/>
    </xf>
    <xf numFmtId="3" fontId="1" fillId="5" borderId="61" xfId="0" applyNumberFormat="1" applyFont="1" applyFill="1" applyBorder="1" applyAlignment="1">
      <alignment horizontal="left" vertical="top" wrapText="1"/>
    </xf>
    <xf numFmtId="3" fontId="2" fillId="2" borderId="14" xfId="0" applyNumberFormat="1" applyFont="1" applyFill="1" applyBorder="1" applyAlignment="1">
      <alignment horizontal="right" vertical="top"/>
    </xf>
    <xf numFmtId="3" fontId="2" fillId="2" borderId="55" xfId="0" applyNumberFormat="1" applyFont="1" applyFill="1" applyBorder="1" applyAlignment="1">
      <alignment horizontal="right" vertical="top"/>
    </xf>
    <xf numFmtId="3" fontId="2" fillId="2" borderId="76" xfId="0" applyNumberFormat="1" applyFont="1" applyFill="1" applyBorder="1" applyAlignment="1">
      <alignment horizontal="right" vertical="top"/>
    </xf>
    <xf numFmtId="3" fontId="2" fillId="2" borderId="12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horizontal="center" vertical="top"/>
    </xf>
    <xf numFmtId="3" fontId="2" fillId="2" borderId="76" xfId="0" applyNumberFormat="1" applyFont="1" applyFill="1" applyBorder="1" applyAlignment="1">
      <alignment horizontal="center" vertical="top"/>
    </xf>
    <xf numFmtId="3" fontId="2" fillId="3" borderId="55" xfId="0" applyNumberFormat="1" applyFont="1" applyFill="1" applyBorder="1" applyAlignment="1">
      <alignment horizontal="right" vertical="top"/>
    </xf>
    <xf numFmtId="3" fontId="2" fillId="3" borderId="12" xfId="0" applyNumberFormat="1" applyFont="1" applyFill="1" applyBorder="1" applyAlignment="1">
      <alignment horizontal="center" vertical="top"/>
    </xf>
    <xf numFmtId="3" fontId="2" fillId="3" borderId="55" xfId="0" applyNumberFormat="1" applyFont="1" applyFill="1" applyBorder="1" applyAlignment="1">
      <alignment horizontal="center" vertical="top"/>
    </xf>
    <xf numFmtId="3" fontId="2" fillId="3" borderId="76" xfId="0" applyNumberFormat="1" applyFont="1" applyFill="1" applyBorder="1" applyAlignment="1">
      <alignment horizontal="center" vertical="top"/>
    </xf>
    <xf numFmtId="3" fontId="2" fillId="4" borderId="55" xfId="0" applyNumberFormat="1" applyFont="1" applyFill="1" applyBorder="1" applyAlignment="1">
      <alignment horizontal="right" vertical="top"/>
    </xf>
    <xf numFmtId="3" fontId="2" fillId="4" borderId="57" xfId="0" applyNumberFormat="1" applyFont="1" applyFill="1" applyBorder="1" applyAlignment="1">
      <alignment horizontal="center" vertical="top"/>
    </xf>
    <xf numFmtId="3" fontId="2" fillId="4" borderId="44" xfId="0" applyNumberFormat="1" applyFont="1" applyFill="1" applyBorder="1" applyAlignment="1">
      <alignment horizontal="center" vertical="top"/>
    </xf>
    <xf numFmtId="3" fontId="2" fillId="4" borderId="71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left" vertical="top" wrapText="1"/>
    </xf>
    <xf numFmtId="3" fontId="1" fillId="0" borderId="19" xfId="0" applyNumberFormat="1" applyFont="1" applyFill="1" applyBorder="1" applyAlignment="1">
      <alignment horizontal="left" vertical="top" wrapText="1"/>
    </xf>
    <xf numFmtId="3" fontId="2" fillId="0" borderId="66" xfId="0" applyNumberFormat="1" applyFont="1" applyFill="1" applyBorder="1" applyAlignment="1">
      <alignment horizontal="center" vertical="top" textRotation="90" wrapText="1"/>
    </xf>
    <xf numFmtId="3" fontId="2" fillId="0" borderId="70" xfId="0" applyNumberFormat="1" applyFont="1" applyFill="1" applyBorder="1" applyAlignment="1">
      <alignment horizontal="center" vertical="top" textRotation="90" wrapText="1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44" xfId="0" applyNumberFormat="1" applyFont="1" applyFill="1" applyBorder="1" applyAlignment="1">
      <alignment horizontal="center" vertical="top"/>
    </xf>
    <xf numFmtId="3" fontId="1" fillId="0" borderId="22" xfId="0" applyNumberFormat="1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2" fillId="0" borderId="44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55" xfId="0" applyNumberFormat="1" applyFont="1" applyBorder="1" applyAlignment="1">
      <alignment horizontal="center" vertical="top" wrapText="1"/>
    </xf>
    <xf numFmtId="3" fontId="2" fillId="0" borderId="76" xfId="0" applyNumberFormat="1" applyFont="1" applyBorder="1" applyAlignment="1">
      <alignment horizontal="center" vertical="top" wrapText="1"/>
    </xf>
    <xf numFmtId="3" fontId="1" fillId="8" borderId="18" xfId="0" applyNumberFormat="1" applyFont="1" applyFill="1" applyBorder="1" applyAlignment="1">
      <alignment horizontal="left" vertical="top" wrapText="1"/>
    </xf>
    <xf numFmtId="3" fontId="2" fillId="0" borderId="18" xfId="0" applyNumberFormat="1" applyFont="1" applyFill="1" applyBorder="1" applyAlignment="1">
      <alignment horizontal="center" vertical="top" textRotation="90" wrapText="1"/>
    </xf>
    <xf numFmtId="3" fontId="1" fillId="8" borderId="60" xfId="0" applyNumberFormat="1" applyFont="1" applyFill="1" applyBorder="1" applyAlignment="1">
      <alignment horizontal="left" vertical="top" wrapText="1"/>
    </xf>
    <xf numFmtId="3" fontId="1" fillId="8" borderId="43" xfId="0" applyNumberFormat="1" applyFont="1" applyFill="1" applyBorder="1" applyAlignment="1">
      <alignment horizontal="left" vertical="top" wrapText="1"/>
    </xf>
    <xf numFmtId="3" fontId="1" fillId="8" borderId="19" xfId="0" applyNumberFormat="1" applyFont="1" applyFill="1" applyBorder="1" applyAlignment="1">
      <alignment horizontal="left" vertical="top" wrapText="1"/>
    </xf>
    <xf numFmtId="3" fontId="1" fillId="0" borderId="41" xfId="0" applyNumberFormat="1" applyFont="1" applyBorder="1" applyAlignment="1">
      <alignment horizontal="left" vertical="top" wrapText="1"/>
    </xf>
    <xf numFmtId="3" fontId="1" fillId="8" borderId="18" xfId="0" applyNumberFormat="1" applyFont="1" applyFill="1" applyBorder="1" applyAlignment="1">
      <alignment horizontal="center" vertical="top"/>
    </xf>
    <xf numFmtId="3" fontId="1" fillId="8" borderId="43" xfId="0" applyNumberFormat="1" applyFont="1" applyFill="1" applyBorder="1" applyAlignment="1">
      <alignment horizontal="center" vertical="top"/>
    </xf>
    <xf numFmtId="3" fontId="1" fillId="0" borderId="60" xfId="0" applyNumberFormat="1" applyFont="1" applyFill="1" applyBorder="1" applyAlignment="1">
      <alignment horizontal="left" vertical="top" wrapText="1"/>
    </xf>
    <xf numFmtId="3" fontId="2" fillId="0" borderId="19" xfId="0" applyNumberFormat="1" applyFont="1" applyFill="1" applyBorder="1" applyAlignment="1">
      <alignment horizontal="center" vertical="top" textRotation="90" wrapText="1"/>
    </xf>
    <xf numFmtId="3" fontId="2" fillId="0" borderId="31" xfId="0" applyNumberFormat="1" applyFont="1" applyFill="1" applyBorder="1" applyAlignment="1">
      <alignment horizontal="center" vertical="top"/>
    </xf>
    <xf numFmtId="3" fontId="2" fillId="0" borderId="21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horizontal="left" vertical="top" wrapText="1"/>
    </xf>
    <xf numFmtId="3" fontId="2" fillId="2" borderId="76" xfId="0" applyNumberFormat="1" applyFont="1" applyFill="1" applyBorder="1" applyAlignment="1">
      <alignment horizontal="left" vertical="top" wrapText="1"/>
    </xf>
    <xf numFmtId="3" fontId="1" fillId="5" borderId="60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center" vertical="top" textRotation="90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center" vertical="top" wrapText="1"/>
    </xf>
    <xf numFmtId="3" fontId="2" fillId="0" borderId="72" xfId="0" applyNumberFormat="1" applyFont="1" applyFill="1" applyBorder="1" applyAlignment="1">
      <alignment horizontal="center" vertical="top" textRotation="90" wrapText="1"/>
    </xf>
    <xf numFmtId="3" fontId="2" fillId="0" borderId="65" xfId="0" applyNumberFormat="1" applyFont="1" applyFill="1" applyBorder="1" applyAlignment="1">
      <alignment horizontal="center" vertical="top" textRotation="90" wrapText="1"/>
    </xf>
    <xf numFmtId="3" fontId="2" fillId="2" borderId="14" xfId="0" applyNumberFormat="1" applyFont="1" applyFill="1" applyBorder="1" applyAlignment="1">
      <alignment horizontal="left" vertical="top"/>
    </xf>
    <xf numFmtId="3" fontId="2" fillId="2" borderId="55" xfId="0" applyNumberFormat="1" applyFont="1" applyFill="1" applyBorder="1" applyAlignment="1">
      <alignment horizontal="left" vertical="top"/>
    </xf>
    <xf numFmtId="3" fontId="2" fillId="2" borderId="76" xfId="0" applyNumberFormat="1" applyFont="1" applyFill="1" applyBorder="1" applyAlignment="1">
      <alignment horizontal="left" vertical="top"/>
    </xf>
    <xf numFmtId="3" fontId="1" fillId="8" borderId="31" xfId="0" applyNumberFormat="1" applyFont="1" applyFill="1" applyBorder="1" applyAlignment="1">
      <alignment horizontal="center" vertical="top"/>
    </xf>
    <xf numFmtId="3" fontId="1" fillId="8" borderId="61" xfId="0" applyNumberFormat="1" applyFont="1" applyFill="1" applyBorder="1" applyAlignment="1">
      <alignment horizontal="center" vertical="top"/>
    </xf>
    <xf numFmtId="3" fontId="2" fillId="5" borderId="13" xfId="0" applyNumberFormat="1" applyFont="1" applyFill="1" applyBorder="1" applyAlignment="1">
      <alignment horizontal="left" vertical="top" wrapText="1"/>
    </xf>
    <xf numFmtId="3" fontId="2" fillId="5" borderId="43" xfId="0" applyNumberFormat="1" applyFont="1" applyFill="1" applyBorder="1" applyAlignment="1">
      <alignment horizontal="left" vertical="top" wrapText="1"/>
    </xf>
    <xf numFmtId="3" fontId="1" fillId="0" borderId="43" xfId="0" applyNumberFormat="1" applyFont="1" applyFill="1" applyBorder="1" applyAlignment="1">
      <alignment horizontal="left" vertical="top" wrapText="1"/>
    </xf>
    <xf numFmtId="3" fontId="1" fillId="0" borderId="18" xfId="0" applyNumberFormat="1" applyFont="1" applyFill="1" applyBorder="1" applyAlignment="1">
      <alignment horizontal="left" vertical="top" wrapText="1"/>
    </xf>
    <xf numFmtId="3" fontId="4" fillId="8" borderId="60" xfId="0" applyNumberFormat="1" applyFont="1" applyFill="1" applyBorder="1" applyAlignment="1">
      <alignment horizontal="left" vertical="top" wrapText="1"/>
    </xf>
    <xf numFmtId="3" fontId="4" fillId="8" borderId="43" xfId="0" applyNumberFormat="1" applyFont="1" applyFill="1" applyBorder="1" applyAlignment="1">
      <alignment horizontal="left" vertical="top" wrapText="1"/>
    </xf>
    <xf numFmtId="3" fontId="1" fillId="0" borderId="42" xfId="0" applyNumberFormat="1" applyFont="1" applyBorder="1" applyAlignment="1">
      <alignment horizontal="left" vertical="top" wrapText="1"/>
    </xf>
    <xf numFmtId="3" fontId="1" fillId="5" borderId="18" xfId="0" applyNumberFormat="1" applyFont="1" applyFill="1" applyBorder="1" applyAlignment="1">
      <alignment horizontal="left" vertical="top" wrapText="1"/>
    </xf>
    <xf numFmtId="3" fontId="1" fillId="5" borderId="19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/>
    </xf>
    <xf numFmtId="3" fontId="2" fillId="8" borderId="60" xfId="0" applyNumberFormat="1" applyFont="1" applyFill="1" applyBorder="1" applyAlignment="1">
      <alignment horizontal="left" vertical="top" wrapText="1"/>
    </xf>
    <xf numFmtId="3" fontId="2" fillId="8" borderId="18" xfId="0" applyNumberFormat="1" applyFont="1" applyFill="1" applyBorder="1" applyAlignment="1">
      <alignment horizontal="left" vertical="top" wrapText="1"/>
    </xf>
    <xf numFmtId="3" fontId="2" fillId="0" borderId="60" xfId="0" applyNumberFormat="1" applyFont="1" applyFill="1" applyBorder="1" applyAlignment="1">
      <alignment horizontal="center" vertical="top" textRotation="90" wrapText="1"/>
    </xf>
    <xf numFmtId="3" fontId="2" fillId="0" borderId="43" xfId="0" applyNumberFormat="1" applyFont="1" applyFill="1" applyBorder="1" applyAlignment="1">
      <alignment horizontal="center" vertical="top" textRotation="90" wrapText="1"/>
    </xf>
    <xf numFmtId="3" fontId="2" fillId="9" borderId="34" xfId="0" applyNumberFormat="1" applyFont="1" applyFill="1" applyBorder="1" applyAlignment="1">
      <alignment horizontal="right" vertical="top" wrapText="1"/>
    </xf>
    <xf numFmtId="3" fontId="2" fillId="9" borderId="27" xfId="0" applyNumberFormat="1" applyFont="1" applyFill="1" applyBorder="1" applyAlignment="1">
      <alignment horizontal="right" vertical="top" wrapText="1"/>
    </xf>
    <xf numFmtId="3" fontId="2" fillId="9" borderId="28" xfId="0" applyNumberFormat="1" applyFont="1" applyFill="1" applyBorder="1" applyAlignment="1">
      <alignment horizontal="right" vertical="top" wrapText="1"/>
    </xf>
    <xf numFmtId="3" fontId="2" fillId="3" borderId="14" xfId="0" applyNumberFormat="1" applyFont="1" applyFill="1" applyBorder="1" applyAlignment="1">
      <alignment horizontal="right" vertical="top"/>
    </xf>
    <xf numFmtId="3" fontId="5" fillId="3" borderId="12" xfId="0" applyNumberFormat="1" applyFont="1" applyFill="1" applyBorder="1" applyAlignment="1">
      <alignment horizontal="center" vertical="top"/>
    </xf>
    <xf numFmtId="3" fontId="5" fillId="3" borderId="55" xfId="0" applyNumberFormat="1" applyFont="1" applyFill="1" applyBorder="1" applyAlignment="1">
      <alignment horizontal="center" vertical="top"/>
    </xf>
    <xf numFmtId="3" fontId="5" fillId="3" borderId="76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3" fontId="4" fillId="0" borderId="75" xfId="0" applyNumberFormat="1" applyFont="1" applyFill="1" applyBorder="1" applyAlignment="1">
      <alignment horizontal="left" vertical="top" wrapText="1"/>
    </xf>
    <xf numFmtId="3" fontId="4" fillId="0" borderId="47" xfId="0" applyNumberFormat="1" applyFont="1" applyFill="1" applyBorder="1" applyAlignment="1">
      <alignment horizontal="left" vertical="top" wrapText="1"/>
    </xf>
    <xf numFmtId="3" fontId="5" fillId="0" borderId="29" xfId="0" applyNumberFormat="1" applyFont="1" applyFill="1" applyBorder="1" applyAlignment="1">
      <alignment horizontal="center" vertical="top" textRotation="90" wrapText="1"/>
    </xf>
    <xf numFmtId="3" fontId="5" fillId="0" borderId="4" xfId="0" applyNumberFormat="1" applyFont="1" applyFill="1" applyBorder="1" applyAlignment="1">
      <alignment horizontal="center" vertical="top" textRotation="90" wrapText="1"/>
    </xf>
    <xf numFmtId="49" fontId="4" fillId="0" borderId="4" xfId="0" applyNumberFormat="1" applyFont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left" vertical="top" wrapText="1"/>
    </xf>
    <xf numFmtId="3" fontId="1" fillId="0" borderId="38" xfId="0" applyNumberFormat="1" applyFont="1" applyBorder="1" applyAlignment="1">
      <alignment horizontal="left" vertical="top" wrapText="1"/>
    </xf>
    <xf numFmtId="49" fontId="5" fillId="2" borderId="29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3" fontId="4" fillId="5" borderId="66" xfId="0" applyNumberFormat="1" applyFont="1" applyFill="1" applyBorder="1" applyAlignment="1">
      <alignment horizontal="left" vertical="top" wrapText="1"/>
    </xf>
    <xf numFmtId="3" fontId="4" fillId="5" borderId="70" xfId="0" applyNumberFormat="1" applyFont="1" applyFill="1" applyBorder="1" applyAlignment="1">
      <alignment horizontal="left" vertical="top" wrapText="1"/>
    </xf>
    <xf numFmtId="3" fontId="5" fillId="0" borderId="75" xfId="0" applyNumberFormat="1" applyFont="1" applyFill="1" applyBorder="1" applyAlignment="1">
      <alignment horizontal="center" vertical="top"/>
    </xf>
    <xf numFmtId="3" fontId="5" fillId="0" borderId="47" xfId="0" applyNumberFormat="1" applyFont="1" applyFill="1" applyBorder="1" applyAlignment="1">
      <alignment horizontal="center" vertical="top"/>
    </xf>
    <xf numFmtId="3" fontId="4" fillId="5" borderId="22" xfId="0" applyNumberFormat="1" applyFont="1" applyFill="1" applyBorder="1" applyAlignment="1">
      <alignment horizontal="left" vertical="top" wrapText="1"/>
    </xf>
    <xf numFmtId="3" fontId="4" fillId="5" borderId="20" xfId="0" applyNumberFormat="1" applyFont="1" applyFill="1" applyBorder="1" applyAlignment="1">
      <alignment horizontal="left" vertical="top" wrapText="1"/>
    </xf>
    <xf numFmtId="3" fontId="2" fillId="0" borderId="18" xfId="0" applyNumberFormat="1" applyFont="1" applyFill="1" applyBorder="1" applyAlignment="1">
      <alignment vertical="top" textRotation="90" wrapText="1"/>
    </xf>
    <xf numFmtId="49" fontId="1" fillId="0" borderId="43" xfId="0" applyNumberFormat="1" applyFont="1" applyBorder="1" applyAlignment="1">
      <alignment horizontal="center" vertical="top"/>
    </xf>
    <xf numFmtId="3" fontId="2" fillId="0" borderId="61" xfId="0" applyNumberFormat="1" applyFont="1" applyBorder="1" applyAlignment="1">
      <alignment horizontal="center" vertical="top"/>
    </xf>
    <xf numFmtId="3" fontId="2" fillId="0" borderId="31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 wrapText="1"/>
    </xf>
    <xf numFmtId="3" fontId="2" fillId="0" borderId="54" xfId="0" applyNumberFormat="1" applyFont="1" applyBorder="1" applyAlignment="1">
      <alignment horizontal="center" vertical="top"/>
    </xf>
    <xf numFmtId="3" fontId="2" fillId="0" borderId="32" xfId="0" applyNumberFormat="1" applyFont="1" applyBorder="1" applyAlignment="1">
      <alignment horizontal="center" vertical="top"/>
    </xf>
    <xf numFmtId="3" fontId="1" fillId="8" borderId="68" xfId="0" applyNumberFormat="1" applyFont="1" applyFill="1" applyBorder="1" applyAlignment="1">
      <alignment horizontal="left" vertical="top" wrapText="1"/>
    </xf>
    <xf numFmtId="3" fontId="4" fillId="5" borderId="41" xfId="0" applyNumberFormat="1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 wrapText="1"/>
    </xf>
    <xf numFmtId="3" fontId="4" fillId="8" borderId="0" xfId="0" applyNumberFormat="1" applyFont="1" applyFill="1" applyBorder="1" applyAlignment="1">
      <alignment vertical="top"/>
    </xf>
    <xf numFmtId="49" fontId="2" fillId="3" borderId="63" xfId="0" applyNumberFormat="1" applyFont="1" applyFill="1" applyBorder="1" applyAlignment="1">
      <alignment horizontal="center" vertical="top"/>
    </xf>
    <xf numFmtId="49" fontId="2" fillId="2" borderId="43" xfId="0" applyNumberFormat="1" applyFont="1" applyFill="1" applyBorder="1" applyAlignment="1">
      <alignment horizontal="center" vertical="top"/>
    </xf>
    <xf numFmtId="49" fontId="2" fillId="5" borderId="43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3" fontId="1" fillId="0" borderId="54" xfId="0" applyNumberFormat="1" applyFont="1" applyFill="1" applyBorder="1" applyAlignment="1">
      <alignment horizontal="left" vertical="top" wrapText="1"/>
    </xf>
    <xf numFmtId="3" fontId="1" fillId="0" borderId="32" xfId="0" applyNumberFormat="1" applyFont="1" applyFill="1" applyBorder="1" applyAlignment="1">
      <alignment horizontal="left" vertical="top" wrapText="1"/>
    </xf>
    <xf numFmtId="3" fontId="5" fillId="0" borderId="52" xfId="0" applyNumberFormat="1" applyFont="1" applyFill="1" applyBorder="1" applyAlignment="1">
      <alignment horizontal="left" vertical="top" wrapText="1"/>
    </xf>
    <xf numFmtId="3" fontId="5" fillId="0" borderId="54" xfId="0" applyNumberFormat="1" applyFont="1" applyFill="1" applyBorder="1" applyAlignment="1">
      <alignment horizontal="left" vertical="top" wrapText="1"/>
    </xf>
    <xf numFmtId="3" fontId="5" fillId="0" borderId="34" xfId="0" applyNumberFormat="1" applyFont="1" applyFill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3" fontId="4" fillId="0" borderId="60" xfId="0" applyNumberFormat="1" applyFont="1" applyFill="1" applyBorder="1" applyAlignment="1">
      <alignment horizontal="center" vertical="top" wrapText="1"/>
    </xf>
    <xf numFmtId="3" fontId="5" fillId="0" borderId="61" xfId="0" applyNumberFormat="1" applyFont="1" applyFill="1" applyBorder="1" applyAlignment="1">
      <alignment horizontal="center" vertical="top"/>
    </xf>
    <xf numFmtId="3" fontId="5" fillId="0" borderId="40" xfId="0" applyNumberFormat="1" applyFont="1" applyFill="1" applyBorder="1" applyAlignment="1">
      <alignment horizontal="center" vertical="top"/>
    </xf>
    <xf numFmtId="3" fontId="5" fillId="0" borderId="60" xfId="0" applyNumberFormat="1" applyFont="1" applyFill="1" applyBorder="1" applyAlignment="1">
      <alignment horizontal="left" vertical="top" wrapText="1"/>
    </xf>
    <xf numFmtId="3" fontId="5" fillId="0" borderId="43" xfId="0" applyNumberFormat="1" applyFont="1" applyFill="1" applyBorder="1" applyAlignment="1">
      <alignment horizontal="left" vertical="top" wrapText="1"/>
    </xf>
    <xf numFmtId="3" fontId="5" fillId="0" borderId="43" xfId="0" applyNumberFormat="1" applyFont="1" applyFill="1" applyBorder="1" applyAlignment="1">
      <alignment horizontal="center" vertical="top" textRotation="90" wrapText="1"/>
    </xf>
    <xf numFmtId="3" fontId="5" fillId="0" borderId="61" xfId="0" applyNumberFormat="1" applyFont="1" applyBorder="1" applyAlignment="1">
      <alignment horizontal="center" vertical="top"/>
    </xf>
    <xf numFmtId="3" fontId="5" fillId="0" borderId="40" xfId="0" applyNumberFormat="1" applyFont="1" applyBorder="1" applyAlignment="1">
      <alignment horizontal="center" vertical="top"/>
    </xf>
    <xf numFmtId="3" fontId="5" fillId="0" borderId="53" xfId="0" applyNumberFormat="1" applyFont="1" applyFill="1" applyBorder="1" applyAlignment="1">
      <alignment horizontal="center" vertical="top"/>
    </xf>
    <xf numFmtId="3" fontId="4" fillId="0" borderId="68" xfId="0" applyNumberFormat="1" applyFont="1" applyFill="1" applyBorder="1" applyAlignment="1">
      <alignment horizontal="left" vertical="top" wrapText="1"/>
    </xf>
    <xf numFmtId="3" fontId="5" fillId="0" borderId="43" xfId="0" applyNumberFormat="1" applyFont="1" applyFill="1" applyBorder="1" applyAlignment="1">
      <alignment horizontal="center" vertical="top" textRotation="180" wrapText="1"/>
    </xf>
    <xf numFmtId="3" fontId="5" fillId="0" borderId="18" xfId="0" applyNumberFormat="1" applyFont="1" applyFill="1" applyBorder="1" applyAlignment="1">
      <alignment horizontal="center" vertical="top" textRotation="180" wrapText="1"/>
    </xf>
    <xf numFmtId="49" fontId="4" fillId="0" borderId="18" xfId="0" applyNumberFormat="1" applyFont="1" applyBorder="1" applyAlignment="1">
      <alignment horizontal="center" vertical="top"/>
    </xf>
    <xf numFmtId="3" fontId="5" fillId="0" borderId="31" xfId="0" applyNumberFormat="1" applyFont="1" applyBorder="1" applyAlignment="1">
      <alignment horizontal="center" vertical="top"/>
    </xf>
    <xf numFmtId="3" fontId="5" fillId="0" borderId="43" xfId="0" applyNumberFormat="1" applyFont="1" applyFill="1" applyBorder="1" applyAlignment="1">
      <alignment horizontal="center" vertical="top" wrapText="1"/>
    </xf>
    <xf numFmtId="3" fontId="5" fillId="0" borderId="68" xfId="0" applyNumberFormat="1" applyFont="1" applyFill="1" applyBorder="1" applyAlignment="1">
      <alignment horizontal="center" vertical="top" wrapText="1"/>
    </xf>
    <xf numFmtId="3" fontId="5" fillId="0" borderId="60" xfId="0" applyNumberFormat="1" applyFont="1" applyFill="1" applyBorder="1" applyAlignment="1">
      <alignment horizontal="center" vertical="top" wrapText="1"/>
    </xf>
    <xf numFmtId="3" fontId="5" fillId="0" borderId="54" xfId="0" applyNumberFormat="1" applyFont="1" applyBorder="1" applyAlignment="1">
      <alignment horizontal="center" vertical="top"/>
    </xf>
    <xf numFmtId="3" fontId="5" fillId="0" borderId="52" xfId="0" applyNumberFormat="1" applyFont="1" applyBorder="1" applyAlignment="1">
      <alignment horizontal="center" vertical="top"/>
    </xf>
    <xf numFmtId="3" fontId="5" fillId="0" borderId="34" xfId="0" applyNumberFormat="1" applyFont="1" applyBorder="1" applyAlignment="1">
      <alignment horizontal="center" vertical="top"/>
    </xf>
    <xf numFmtId="3" fontId="2" fillId="7" borderId="12" xfId="0" applyNumberFormat="1" applyFont="1" applyFill="1" applyBorder="1" applyAlignment="1">
      <alignment horizontal="left" vertical="top" wrapText="1"/>
    </xf>
    <xf numFmtId="3" fontId="2" fillId="7" borderId="55" xfId="0" applyNumberFormat="1" applyFont="1" applyFill="1" applyBorder="1" applyAlignment="1">
      <alignment horizontal="left" vertical="top" wrapText="1"/>
    </xf>
    <xf numFmtId="3" fontId="2" fillId="7" borderId="76" xfId="0" applyNumberFormat="1" applyFont="1" applyFill="1" applyBorder="1" applyAlignment="1">
      <alignment horizontal="left" vertical="top" wrapText="1"/>
    </xf>
    <xf numFmtId="3" fontId="6" fillId="4" borderId="12" xfId="0" applyNumberFormat="1" applyFont="1" applyFill="1" applyBorder="1" applyAlignment="1">
      <alignment horizontal="left" vertical="top" wrapText="1"/>
    </xf>
    <xf numFmtId="3" fontId="6" fillId="4" borderId="55" xfId="0" applyNumberFormat="1" applyFont="1" applyFill="1" applyBorder="1" applyAlignment="1">
      <alignment horizontal="left" vertical="top" wrapText="1"/>
    </xf>
    <xf numFmtId="3" fontId="6" fillId="4" borderId="76" xfId="0" applyNumberFormat="1" applyFont="1" applyFill="1" applyBorder="1" applyAlignment="1">
      <alignment horizontal="left" vertical="top" wrapText="1"/>
    </xf>
    <xf numFmtId="3" fontId="5" fillId="3" borderId="12" xfId="0" applyNumberFormat="1" applyFont="1" applyFill="1" applyBorder="1" applyAlignment="1">
      <alignment horizontal="left" vertical="top"/>
    </xf>
    <xf numFmtId="3" fontId="5" fillId="3" borderId="55" xfId="0" applyNumberFormat="1" applyFont="1" applyFill="1" applyBorder="1" applyAlignment="1">
      <alignment horizontal="left" vertical="top"/>
    </xf>
    <xf numFmtId="3" fontId="5" fillId="3" borderId="76" xfId="0" applyNumberFormat="1" applyFont="1" applyFill="1" applyBorder="1" applyAlignment="1">
      <alignment horizontal="left" vertical="top"/>
    </xf>
    <xf numFmtId="3" fontId="5" fillId="2" borderId="16" xfId="0" applyNumberFormat="1" applyFont="1" applyFill="1" applyBorder="1" applyAlignment="1">
      <alignment horizontal="left" vertical="top" wrapText="1"/>
    </xf>
    <xf numFmtId="3" fontId="5" fillId="2" borderId="3" xfId="0" applyNumberFormat="1" applyFont="1" applyFill="1" applyBorder="1" applyAlignment="1">
      <alignment horizontal="left" vertical="top" wrapText="1"/>
    </xf>
    <xf numFmtId="3" fontId="6" fillId="0" borderId="29" xfId="0" applyNumberFormat="1" applyFont="1" applyFill="1" applyBorder="1" applyAlignment="1">
      <alignment horizontal="left" vertical="top" wrapText="1"/>
    </xf>
    <xf numFmtId="3" fontId="6" fillId="0" borderId="60" xfId="0" applyNumberFormat="1" applyFont="1" applyFill="1" applyBorder="1" applyAlignment="1">
      <alignment horizontal="left" vertical="top" wrapText="1"/>
    </xf>
    <xf numFmtId="3" fontId="5" fillId="0" borderId="29" xfId="0" applyNumberFormat="1" applyFont="1" applyFill="1" applyBorder="1" applyAlignment="1">
      <alignment horizontal="center" vertical="top" wrapText="1"/>
    </xf>
    <xf numFmtId="3" fontId="5" fillId="0" borderId="75" xfId="0" applyNumberFormat="1" applyFont="1" applyBorder="1" applyAlignment="1">
      <alignment horizontal="center" vertical="top"/>
    </xf>
    <xf numFmtId="166" fontId="4" fillId="0" borderId="10" xfId="0" applyNumberFormat="1" applyFont="1" applyBorder="1" applyAlignment="1">
      <alignment horizontal="center" vertical="center" textRotation="90" wrapText="1"/>
    </xf>
    <xf numFmtId="166" fontId="4" fillId="0" borderId="8" xfId="0" applyNumberFormat="1" applyFont="1" applyBorder="1" applyAlignment="1">
      <alignment horizontal="center" vertical="center" textRotation="90" wrapText="1"/>
    </xf>
    <xf numFmtId="166" fontId="4" fillId="0" borderId="50" xfId="0" applyNumberFormat="1" applyFont="1" applyBorder="1" applyAlignment="1">
      <alignment horizontal="center" vertical="center" textRotation="90" wrapText="1"/>
    </xf>
    <xf numFmtId="3" fontId="2" fillId="0" borderId="78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2" fillId="0" borderId="77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 vertical="center" textRotation="90" wrapText="1"/>
    </xf>
    <xf numFmtId="49" fontId="1" fillId="0" borderId="52" xfId="0" applyNumberFormat="1" applyFont="1" applyBorder="1" applyAlignment="1">
      <alignment horizontal="center" vertical="center" textRotation="90" wrapText="1"/>
    </xf>
    <xf numFmtId="49" fontId="1" fillId="0" borderId="47" xfId="0" applyNumberFormat="1" applyFont="1" applyBorder="1" applyAlignment="1">
      <alignment horizontal="center" vertical="center" textRotation="90" wrapText="1"/>
    </xf>
    <xf numFmtId="3" fontId="1" fillId="0" borderId="10" xfId="0" applyNumberFormat="1" applyFont="1" applyBorder="1" applyAlignment="1">
      <alignment horizontal="center" vertical="center" textRotation="90" wrapText="1"/>
    </xf>
    <xf numFmtId="3" fontId="1" fillId="0" borderId="8" xfId="0" applyNumberFormat="1" applyFont="1" applyBorder="1" applyAlignment="1">
      <alignment horizontal="center" vertical="center" textRotation="90" wrapText="1"/>
    </xf>
    <xf numFmtId="3" fontId="1" fillId="0" borderId="50" xfId="0" applyNumberFormat="1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 horizontal="center" vertical="top"/>
    </xf>
    <xf numFmtId="3" fontId="22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right" vertical="top" wrapText="1"/>
    </xf>
    <xf numFmtId="49" fontId="1" fillId="0" borderId="36" xfId="0" applyNumberFormat="1" applyFont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 vertical="center" textRotation="90" wrapText="1"/>
    </xf>
    <xf numFmtId="49" fontId="1" fillId="0" borderId="49" xfId="0" applyNumberFormat="1" applyFont="1" applyBorder="1" applyAlignment="1">
      <alignment horizontal="center" vertical="center" textRotation="90" wrapText="1"/>
    </xf>
    <xf numFmtId="49" fontId="1" fillId="0" borderId="29" xfId="0" applyNumberFormat="1" applyFont="1" applyBorder="1" applyAlignment="1">
      <alignment horizontal="center" vertical="center" textRotation="90" wrapText="1"/>
    </xf>
    <xf numFmtId="49" fontId="1" fillId="0" borderId="68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textRotation="90" wrapText="1"/>
    </xf>
    <xf numFmtId="3" fontId="1" fillId="0" borderId="18" xfId="0" applyNumberFormat="1" applyFont="1" applyBorder="1" applyAlignment="1">
      <alignment horizontal="center" vertical="center" textRotation="90" wrapText="1"/>
    </xf>
    <xf numFmtId="3" fontId="1" fillId="0" borderId="19" xfId="0" applyNumberFormat="1" applyFont="1" applyBorder="1" applyAlignment="1">
      <alignment horizontal="center" vertical="center" textRotation="90" wrapText="1"/>
    </xf>
    <xf numFmtId="3" fontId="4" fillId="5" borderId="6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 wrapText="1"/>
    </xf>
    <xf numFmtId="3" fontId="4" fillId="5" borderId="5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Alignment="1">
      <alignment horizontal="right" vertical="top"/>
    </xf>
    <xf numFmtId="3" fontId="5" fillId="0" borderId="68" xfId="0" applyNumberFormat="1" applyFont="1" applyFill="1" applyBorder="1" applyAlignment="1">
      <alignment horizontal="center" vertical="top" textRotation="90" wrapText="1"/>
    </xf>
    <xf numFmtId="3" fontId="1" fillId="0" borderId="8" xfId="0" applyNumberFormat="1" applyFont="1" applyBorder="1" applyAlignment="1">
      <alignment horizontal="center" vertical="top" wrapText="1"/>
    </xf>
    <xf numFmtId="3" fontId="5" fillId="0" borderId="54" xfId="0" applyNumberFormat="1" applyFont="1" applyFill="1" applyBorder="1" applyAlignment="1">
      <alignment horizontal="center" vertical="top"/>
    </xf>
    <xf numFmtId="3" fontId="5" fillId="0" borderId="34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horizontal="center" vertical="top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textRotation="90" wrapText="1"/>
    </xf>
    <xf numFmtId="3" fontId="2" fillId="0" borderId="8" xfId="0" applyNumberFormat="1" applyFont="1" applyBorder="1" applyAlignment="1">
      <alignment horizontal="center" vertical="center" textRotation="90" wrapText="1"/>
    </xf>
    <xf numFmtId="3" fontId="2" fillId="0" borderId="50" xfId="0" applyNumberFormat="1" applyFont="1" applyBorder="1" applyAlignment="1">
      <alignment horizontal="center" vertical="center" textRotation="90" wrapText="1"/>
    </xf>
    <xf numFmtId="3" fontId="2" fillId="6" borderId="48" xfId="0" applyNumberFormat="1" applyFont="1" applyFill="1" applyBorder="1" applyAlignment="1">
      <alignment horizontal="center" vertical="top" wrapText="1"/>
    </xf>
    <xf numFmtId="3" fontId="2" fillId="6" borderId="46" xfId="0" applyNumberFormat="1" applyFont="1" applyFill="1" applyBorder="1" applyAlignment="1">
      <alignment horizontal="center" vertical="top" wrapText="1"/>
    </xf>
    <xf numFmtId="3" fontId="2" fillId="6" borderId="51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60" xfId="0" applyNumberFormat="1" applyFont="1" applyBorder="1" applyAlignment="1">
      <alignment horizontal="center" vertical="top" wrapText="1"/>
    </xf>
    <xf numFmtId="3" fontId="2" fillId="2" borderId="57" xfId="0" applyNumberFormat="1" applyFont="1" applyFill="1" applyBorder="1" applyAlignment="1">
      <alignment horizontal="center" vertical="top"/>
    </xf>
    <xf numFmtId="3" fontId="2" fillId="2" borderId="44" xfId="0" applyNumberFormat="1" applyFont="1" applyFill="1" applyBorder="1" applyAlignment="1">
      <alignment horizontal="center" vertical="top"/>
    </xf>
    <xf numFmtId="3" fontId="2" fillId="2" borderId="71" xfId="0" applyNumberFormat="1" applyFont="1" applyFill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 wrapText="1"/>
    </xf>
    <xf numFmtId="3" fontId="4" fillId="8" borderId="18" xfId="0" applyNumberFormat="1" applyFont="1" applyFill="1" applyBorder="1" applyAlignment="1">
      <alignment horizontal="left" vertical="top" wrapText="1"/>
    </xf>
    <xf numFmtId="3" fontId="2" fillId="0" borderId="69" xfId="0" applyNumberFormat="1" applyFont="1" applyFill="1" applyBorder="1" applyAlignment="1">
      <alignment horizontal="center" vertical="top" textRotation="90" wrapText="1"/>
    </xf>
    <xf numFmtId="3" fontId="2" fillId="6" borderId="46" xfId="0" applyNumberFormat="1" applyFont="1" applyFill="1" applyBorder="1" applyAlignment="1">
      <alignment horizontal="right" vertical="top" wrapText="1"/>
    </xf>
    <xf numFmtId="3" fontId="2" fillId="6" borderId="51" xfId="0" applyNumberFormat="1" applyFont="1" applyFill="1" applyBorder="1" applyAlignment="1">
      <alignment horizontal="right" vertical="top" wrapText="1"/>
    </xf>
    <xf numFmtId="3" fontId="1" fillId="0" borderId="50" xfId="0" applyNumberFormat="1" applyFont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3" fontId="5" fillId="10" borderId="46" xfId="0" applyNumberFormat="1" applyFont="1" applyFill="1" applyBorder="1" applyAlignment="1">
      <alignment horizontal="right" vertical="top" wrapText="1"/>
    </xf>
    <xf numFmtId="3" fontId="5" fillId="10" borderId="51" xfId="0" applyNumberFormat="1" applyFont="1" applyFill="1" applyBorder="1" applyAlignment="1">
      <alignment horizontal="right" vertical="top" wrapText="1"/>
    </xf>
    <xf numFmtId="3" fontId="4" fillId="0" borderId="13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62" xfId="0" applyNumberFormat="1" applyFont="1" applyFill="1" applyBorder="1" applyAlignment="1">
      <alignment horizontal="left" vertical="top" wrapText="1"/>
    </xf>
    <xf numFmtId="3" fontId="1" fillId="0" borderId="63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3" fontId="2" fillId="2" borderId="70" xfId="0" applyNumberFormat="1" applyFont="1" applyFill="1" applyBorder="1" applyAlignment="1">
      <alignment horizontal="right" vertical="top"/>
    </xf>
    <xf numFmtId="3" fontId="2" fillId="2" borderId="44" xfId="0" applyNumberFormat="1" applyFont="1" applyFill="1" applyBorder="1" applyAlignment="1">
      <alignment horizontal="right" vertical="top"/>
    </xf>
    <xf numFmtId="49" fontId="1" fillId="0" borderId="60" xfId="0" applyNumberFormat="1" applyFont="1" applyFill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52" xfId="0" applyNumberFormat="1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4" fillId="0" borderId="67" xfId="0" applyNumberFormat="1" applyFont="1" applyBorder="1" applyAlignment="1">
      <alignment horizontal="left" vertical="top" wrapText="1"/>
    </xf>
    <xf numFmtId="3" fontId="4" fillId="0" borderId="35" xfId="0" applyNumberFormat="1" applyFont="1" applyBorder="1" applyAlignment="1">
      <alignment horizontal="left" vertical="top" wrapText="1"/>
    </xf>
    <xf numFmtId="3" fontId="4" fillId="0" borderId="26" xfId="0" applyNumberFormat="1" applyFont="1" applyBorder="1" applyAlignment="1">
      <alignment horizontal="left" vertical="top" wrapText="1"/>
    </xf>
    <xf numFmtId="3" fontId="1" fillId="0" borderId="67" xfId="0" applyNumberFormat="1" applyFont="1" applyBorder="1" applyAlignment="1">
      <alignment horizontal="left" vertical="top" wrapText="1"/>
    </xf>
    <xf numFmtId="3" fontId="1" fillId="0" borderId="35" xfId="0" applyNumberFormat="1" applyFont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horizontal="center" vertical="center" wrapText="1"/>
    </xf>
    <xf numFmtId="3" fontId="2" fillId="0" borderId="76" xfId="0" applyNumberFormat="1" applyFont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left" vertical="top" wrapText="1"/>
    </xf>
    <xf numFmtId="3" fontId="1" fillId="0" borderId="46" xfId="0" applyNumberFormat="1" applyFont="1" applyFill="1" applyBorder="1" applyAlignment="1">
      <alignment horizontal="left" vertical="top" wrapText="1"/>
    </xf>
    <xf numFmtId="3" fontId="1" fillId="0" borderId="51" xfId="0" applyNumberFormat="1" applyFont="1" applyFill="1" applyBorder="1" applyAlignment="1">
      <alignment horizontal="left" vertical="top" wrapText="1"/>
    </xf>
    <xf numFmtId="3" fontId="1" fillId="5" borderId="54" xfId="0" applyNumberFormat="1" applyFont="1" applyFill="1" applyBorder="1" applyAlignment="1">
      <alignment horizontal="left" vertical="top" wrapText="1"/>
    </xf>
    <xf numFmtId="3" fontId="1" fillId="5" borderId="52" xfId="0" applyNumberFormat="1" applyFont="1" applyFill="1" applyBorder="1" applyAlignment="1">
      <alignment horizontal="left" vertical="top" wrapText="1"/>
    </xf>
    <xf numFmtId="3" fontId="5" fillId="4" borderId="14" xfId="0" applyNumberFormat="1" applyFont="1" applyFill="1" applyBorder="1" applyAlignment="1">
      <alignment horizontal="center" vertical="top" wrapText="1"/>
    </xf>
    <xf numFmtId="49" fontId="4" fillId="10" borderId="68" xfId="0" applyNumberFormat="1" applyFont="1" applyFill="1" applyBorder="1" applyAlignment="1">
      <alignment horizontal="center" vertical="top"/>
    </xf>
    <xf numFmtId="49" fontId="4" fillId="10" borderId="43" xfId="0" applyNumberFormat="1" applyFont="1" applyFill="1" applyBorder="1" applyAlignment="1">
      <alignment horizontal="center" vertical="top"/>
    </xf>
    <xf numFmtId="49" fontId="4" fillId="10" borderId="60" xfId="0" applyNumberFormat="1" applyFont="1" applyFill="1" applyBorder="1" applyAlignment="1">
      <alignment horizontal="center" vertical="top"/>
    </xf>
    <xf numFmtId="3" fontId="5" fillId="0" borderId="60" xfId="0" applyNumberFormat="1" applyFont="1" applyFill="1" applyBorder="1" applyAlignment="1">
      <alignment horizontal="center" vertical="top" textRotation="180" wrapText="1"/>
    </xf>
    <xf numFmtId="49" fontId="4" fillId="10" borderId="13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3" fontId="4" fillId="0" borderId="62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center"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3" fontId="10" fillId="0" borderId="0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3" fontId="4" fillId="0" borderId="38" xfId="0" applyNumberFormat="1" applyFont="1" applyBorder="1" applyAlignment="1">
      <alignment horizontal="center" vertical="center" textRotation="90" wrapText="1"/>
    </xf>
    <xf numFmtId="3" fontId="4" fillId="0" borderId="20" xfId="0" applyNumberFormat="1" applyFont="1" applyBorder="1" applyAlignment="1">
      <alignment horizontal="center" vertical="center" textRotation="90" wrapText="1"/>
    </xf>
    <xf numFmtId="3" fontId="4" fillId="0" borderId="68" xfId="0" applyNumberFormat="1" applyFont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 textRotation="90" wrapText="1"/>
    </xf>
    <xf numFmtId="3" fontId="4" fillId="0" borderId="21" xfId="0" applyNumberFormat="1" applyFont="1" applyFill="1" applyBorder="1" applyAlignment="1">
      <alignment horizontal="center" vertical="center" textRotation="90" wrapText="1"/>
    </xf>
    <xf numFmtId="3" fontId="4" fillId="0" borderId="50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" fontId="4" fillId="0" borderId="43" xfId="0" applyNumberFormat="1" applyFont="1" applyBorder="1" applyAlignment="1">
      <alignment horizontal="center" vertical="top"/>
    </xf>
    <xf numFmtId="3" fontId="5" fillId="0" borderId="30" xfId="0" applyNumberFormat="1" applyFont="1" applyBorder="1" applyAlignment="1">
      <alignment horizontal="center" vertical="top"/>
    </xf>
    <xf numFmtId="3" fontId="1" fillId="5" borderId="22" xfId="0" applyNumberFormat="1" applyFont="1" applyFill="1" applyBorder="1" applyAlignment="1">
      <alignment horizontal="left" vertical="top" wrapText="1"/>
    </xf>
    <xf numFmtId="3" fontId="3" fillId="0" borderId="41" xfId="0" applyNumberFormat="1" applyFont="1" applyBorder="1" applyAlignment="1">
      <alignment horizontal="left" vertical="top" wrapText="1"/>
    </xf>
    <xf numFmtId="3" fontId="5" fillId="0" borderId="52" xfId="0" applyNumberFormat="1" applyFont="1" applyFill="1" applyBorder="1" applyAlignment="1">
      <alignment horizontal="center" vertical="top"/>
    </xf>
    <xf numFmtId="3" fontId="4" fillId="0" borderId="39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3" fontId="4" fillId="0" borderId="61" xfId="0" applyNumberFormat="1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3" fontId="4" fillId="8" borderId="19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left" vertical="top" wrapText="1"/>
    </xf>
    <xf numFmtId="49" fontId="4" fillId="10" borderId="58" xfId="0" applyNumberFormat="1" applyFont="1" applyFill="1" applyBorder="1" applyAlignment="1">
      <alignment horizontal="center" vertical="top"/>
    </xf>
    <xf numFmtId="49" fontId="4" fillId="10" borderId="27" xfId="0" applyNumberFormat="1" applyFont="1" applyFill="1" applyBorder="1" applyAlignment="1">
      <alignment horizontal="center" vertical="top"/>
    </xf>
    <xf numFmtId="3" fontId="1" fillId="0" borderId="52" xfId="0" applyNumberFormat="1" applyFont="1" applyFill="1" applyBorder="1" applyAlignment="1">
      <alignment horizontal="left" vertical="top" wrapText="1"/>
    </xf>
    <xf numFmtId="3" fontId="2" fillId="0" borderId="68" xfId="0" applyNumberFormat="1" applyFont="1" applyFill="1" applyBorder="1" applyAlignment="1">
      <alignment horizontal="center" vertical="top" textRotation="90" wrapText="1"/>
    </xf>
    <xf numFmtId="49" fontId="1" fillId="10" borderId="60" xfId="0" applyNumberFormat="1" applyFont="1" applyFill="1" applyBorder="1" applyAlignment="1">
      <alignment horizontal="center" vertical="top"/>
    </xf>
    <xf numFmtId="49" fontId="1" fillId="10" borderId="18" xfId="0" applyNumberFormat="1" applyFont="1" applyFill="1" applyBorder="1" applyAlignment="1">
      <alignment horizontal="center" vertical="top"/>
    </xf>
    <xf numFmtId="49" fontId="1" fillId="10" borderId="68" xfId="0" applyNumberFormat="1" applyFont="1" applyFill="1" applyBorder="1" applyAlignment="1">
      <alignment horizontal="center" vertical="top"/>
    </xf>
    <xf numFmtId="49" fontId="4" fillId="5" borderId="29" xfId="0" applyNumberFormat="1" applyFont="1" applyFill="1" applyBorder="1" applyAlignment="1">
      <alignment horizontal="center" vertical="top"/>
    </xf>
    <xf numFmtId="49" fontId="4" fillId="5" borderId="4" xfId="0" applyNumberFormat="1" applyFont="1" applyFill="1" applyBorder="1" applyAlignment="1">
      <alignment horizontal="center" vertical="top"/>
    </xf>
    <xf numFmtId="3" fontId="5" fillId="3" borderId="66" xfId="0" applyNumberFormat="1" applyFont="1" applyFill="1" applyBorder="1" applyAlignment="1">
      <alignment horizontal="left" vertical="top" wrapText="1"/>
    </xf>
    <xf numFmtId="3" fontId="5" fillId="3" borderId="3" xfId="0" applyNumberFormat="1" applyFont="1" applyFill="1" applyBorder="1" applyAlignment="1">
      <alignment horizontal="left" vertical="top" wrapText="1"/>
    </xf>
    <xf numFmtId="3" fontId="5" fillId="3" borderId="24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50" xfId="0" applyNumberFormat="1" applyFont="1" applyFill="1" applyBorder="1" applyAlignment="1">
      <alignment horizontal="center" vertical="top" wrapText="1"/>
    </xf>
    <xf numFmtId="3" fontId="4" fillId="5" borderId="62" xfId="0" applyNumberFormat="1" applyFont="1" applyFill="1" applyBorder="1" applyAlignment="1">
      <alignment horizontal="left" vertical="top" wrapText="1"/>
    </xf>
    <xf numFmtId="3" fontId="3" fillId="5" borderId="17" xfId="0" applyNumberFormat="1" applyFont="1" applyFill="1" applyBorder="1" applyAlignment="1">
      <alignment horizontal="left" vertical="top" wrapText="1"/>
    </xf>
    <xf numFmtId="49" fontId="1" fillId="0" borderId="60" xfId="0" applyNumberFormat="1" applyFont="1" applyBorder="1" applyAlignment="1">
      <alignment horizontal="center" vertical="top"/>
    </xf>
    <xf numFmtId="3" fontId="5" fillId="10" borderId="47" xfId="0" applyNumberFormat="1" applyFont="1" applyFill="1" applyBorder="1" applyAlignment="1">
      <alignment horizontal="right" vertical="top" wrapText="1"/>
    </xf>
    <xf numFmtId="3" fontId="5" fillId="10" borderId="44" xfId="0" applyNumberFormat="1" applyFont="1" applyFill="1" applyBorder="1" applyAlignment="1">
      <alignment horizontal="right" vertical="top" wrapText="1"/>
    </xf>
    <xf numFmtId="3" fontId="2" fillId="10" borderId="70" xfId="0" applyNumberFormat="1" applyFont="1" applyFill="1" applyBorder="1" applyAlignment="1">
      <alignment horizontal="right" vertical="top" wrapText="1"/>
    </xf>
    <xf numFmtId="3" fontId="2" fillId="10" borderId="46" xfId="0" applyNumberFormat="1" applyFont="1" applyFill="1" applyBorder="1" applyAlignment="1">
      <alignment horizontal="right" vertical="top" wrapText="1"/>
    </xf>
    <xf numFmtId="3" fontId="2" fillId="10" borderId="51" xfId="0" applyNumberFormat="1" applyFont="1" applyFill="1" applyBorder="1" applyAlignment="1">
      <alignment horizontal="right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1" fillId="8" borderId="8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1" fontId="4" fillId="0" borderId="8" xfId="0" applyNumberFormat="1" applyFont="1" applyBorder="1" applyAlignment="1">
      <alignment horizontal="center" vertical="center" textRotation="90" wrapText="1"/>
    </xf>
    <xf numFmtId="1" fontId="4" fillId="0" borderId="50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3" xfId="0" applyNumberFormat="1" applyFont="1" applyBorder="1" applyAlignment="1">
      <alignment horizontal="center" vertical="center" textRotation="90" wrapText="1"/>
    </xf>
    <xf numFmtId="164" fontId="4" fillId="0" borderId="24" xfId="0" applyNumberFormat="1" applyFont="1" applyBorder="1" applyAlignment="1">
      <alignment horizontal="center" vertical="center" textRotation="90" wrapText="1"/>
    </xf>
    <xf numFmtId="164" fontId="4" fillId="0" borderId="17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textRotation="90" wrapText="1"/>
    </xf>
    <xf numFmtId="164" fontId="4" fillId="0" borderId="7" xfId="0" applyNumberFormat="1" applyFont="1" applyBorder="1" applyAlignment="1">
      <alignment horizontal="center" vertical="center" textRotation="90" wrapText="1"/>
    </xf>
    <xf numFmtId="164" fontId="4" fillId="0" borderId="57" xfId="0" applyNumberFormat="1" applyFont="1" applyBorder="1" applyAlignment="1">
      <alignment horizontal="center" vertical="center" textRotation="90" wrapText="1"/>
    </xf>
    <xf numFmtId="164" fontId="4" fillId="0" borderId="44" xfId="0" applyNumberFormat="1" applyFont="1" applyBorder="1" applyAlignment="1">
      <alignment horizontal="center" vertical="center" textRotation="90" wrapText="1"/>
    </xf>
    <xf numFmtId="164" fontId="4" fillId="0" borderId="71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164" fontId="4" fillId="0" borderId="8" xfId="0" applyNumberFormat="1" applyFont="1" applyBorder="1" applyAlignment="1">
      <alignment horizontal="center" vertical="center" textRotation="90" wrapText="1"/>
    </xf>
    <xf numFmtId="164" fontId="4" fillId="0" borderId="50" xfId="0" applyNumberFormat="1" applyFont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53" xfId="0" applyNumberFormat="1" applyFont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textRotation="180" wrapText="1"/>
    </xf>
    <xf numFmtId="0" fontId="4" fillId="5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76" xfId="0" applyNumberFormat="1" applyFont="1" applyBorder="1" applyAlignment="1">
      <alignment horizontal="center" vertical="center" wrapText="1"/>
    </xf>
    <xf numFmtId="164" fontId="5" fillId="4" borderId="24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5" fillId="4" borderId="76" xfId="0" applyNumberFormat="1" applyFont="1" applyFill="1" applyBorder="1" applyAlignment="1">
      <alignment horizontal="center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zoomScale="110" zoomScaleNormal="110" zoomScaleSheetLayoutView="100" workbookViewId="0">
      <selection activeCell="V24" sqref="V24:V25"/>
    </sheetView>
  </sheetViews>
  <sheetFormatPr defaultRowHeight="12.75" x14ac:dyDescent="0.2"/>
  <cols>
    <col min="1" max="3" width="2.42578125" style="6" customWidth="1"/>
    <col min="4" max="4" width="36.7109375" style="6" customWidth="1"/>
    <col min="5" max="5" width="3.5703125" style="213" customWidth="1"/>
    <col min="6" max="6" width="2.85546875" style="213" customWidth="1"/>
    <col min="7" max="7" width="3" style="60" customWidth="1"/>
    <col min="8" max="8" width="8.140625" style="244" customWidth="1"/>
    <col min="9" max="9" width="9.5703125" style="6" customWidth="1"/>
    <col min="10" max="11" width="8.140625" style="6" customWidth="1"/>
    <col min="12" max="12" width="7.42578125" style="6" customWidth="1"/>
    <col min="13" max="13" width="8.42578125" style="6" customWidth="1"/>
    <col min="14" max="14" width="8.28515625" style="6" customWidth="1"/>
    <col min="15" max="15" width="19.7109375" style="6" customWidth="1"/>
    <col min="16" max="16" width="6.140625" style="18" customWidth="1"/>
    <col min="17" max="17" width="6.85546875" style="60" customWidth="1"/>
    <col min="18" max="18" width="5.85546875" style="59" customWidth="1"/>
    <col min="19" max="19" width="9.140625" style="2" hidden="1" customWidth="1"/>
    <col min="20" max="20" width="9.140625" style="2"/>
    <col min="21" max="21" width="19.85546875" style="2" customWidth="1"/>
    <col min="22" max="16384" width="9.140625" style="2"/>
  </cols>
  <sheetData>
    <row r="1" spans="1:24" ht="17.25" customHeight="1" x14ac:dyDescent="0.2">
      <c r="A1" s="3029" t="s">
        <v>215</v>
      </c>
      <c r="B1" s="3029"/>
      <c r="C1" s="3029"/>
      <c r="D1" s="3029"/>
      <c r="E1" s="3029"/>
      <c r="F1" s="3029"/>
      <c r="G1" s="3029"/>
      <c r="H1" s="3029"/>
      <c r="I1" s="3029"/>
      <c r="J1" s="3029"/>
      <c r="K1" s="3029"/>
      <c r="L1" s="3029"/>
      <c r="M1" s="3029"/>
      <c r="N1" s="3029"/>
      <c r="O1" s="3029"/>
      <c r="P1" s="3029"/>
      <c r="Q1" s="3029"/>
      <c r="R1" s="3029"/>
    </row>
    <row r="2" spans="1:24" ht="18" customHeight="1" x14ac:dyDescent="0.2">
      <c r="A2" s="3036" t="s">
        <v>39</v>
      </c>
      <c r="B2" s="3036"/>
      <c r="C2" s="3036"/>
      <c r="D2" s="3036"/>
      <c r="E2" s="3036"/>
      <c r="F2" s="3036"/>
      <c r="G2" s="3036"/>
      <c r="H2" s="3036"/>
      <c r="I2" s="3036"/>
      <c r="J2" s="3036"/>
      <c r="K2" s="3036"/>
      <c r="L2" s="3036"/>
      <c r="M2" s="3036"/>
      <c r="N2" s="3036"/>
      <c r="O2" s="3036"/>
      <c r="P2" s="3036"/>
      <c r="Q2" s="3036"/>
      <c r="R2" s="3036"/>
    </row>
    <row r="3" spans="1:24" ht="15" customHeight="1" x14ac:dyDescent="0.2">
      <c r="A3" s="3037" t="s">
        <v>223</v>
      </c>
      <c r="B3" s="3037"/>
      <c r="C3" s="3037"/>
      <c r="D3" s="3037"/>
      <c r="E3" s="3037"/>
      <c r="F3" s="3037"/>
      <c r="G3" s="3037"/>
      <c r="H3" s="3037"/>
      <c r="I3" s="3037"/>
      <c r="J3" s="3037"/>
      <c r="K3" s="3037"/>
      <c r="L3" s="3037"/>
      <c r="M3" s="3037"/>
      <c r="N3" s="3037"/>
      <c r="O3" s="3037"/>
      <c r="P3" s="3037"/>
      <c r="Q3" s="3037"/>
      <c r="R3" s="3037"/>
    </row>
    <row r="4" spans="1:24" ht="15" customHeight="1" thickBot="1" x14ac:dyDescent="0.25">
      <c r="A4" s="416"/>
      <c r="B4" s="416"/>
      <c r="C4" s="3050" t="s">
        <v>8</v>
      </c>
      <c r="D4" s="3050"/>
      <c r="E4" s="3050"/>
      <c r="F4" s="3050"/>
      <c r="G4" s="3050"/>
      <c r="H4" s="3050"/>
      <c r="I4" s="3050"/>
      <c r="J4" s="3050"/>
      <c r="K4" s="3050"/>
      <c r="L4" s="3050"/>
      <c r="M4" s="3050"/>
      <c r="N4" s="3050"/>
      <c r="O4" s="3050"/>
      <c r="P4" s="3050"/>
      <c r="Q4" s="3050"/>
      <c r="R4" s="3050"/>
    </row>
    <row r="5" spans="1:24" ht="36.75" customHeight="1" x14ac:dyDescent="0.2">
      <c r="A5" s="3051" t="s">
        <v>12</v>
      </c>
      <c r="B5" s="3070" t="s">
        <v>13</v>
      </c>
      <c r="C5" s="3070" t="s">
        <v>14</v>
      </c>
      <c r="D5" s="3057" t="s">
        <v>31</v>
      </c>
      <c r="E5" s="3030" t="s">
        <v>15</v>
      </c>
      <c r="F5" s="3033" t="s">
        <v>221</v>
      </c>
      <c r="G5" s="3038" t="s">
        <v>16</v>
      </c>
      <c r="H5" s="3060" t="s">
        <v>17</v>
      </c>
      <c r="I5" s="3054" t="s">
        <v>105</v>
      </c>
      <c r="J5" s="3055"/>
      <c r="K5" s="3055"/>
      <c r="L5" s="3056"/>
      <c r="M5" s="3047" t="s">
        <v>224</v>
      </c>
      <c r="N5" s="3047" t="s">
        <v>225</v>
      </c>
      <c r="O5" s="3041" t="s">
        <v>72</v>
      </c>
      <c r="P5" s="3042"/>
      <c r="Q5" s="3042"/>
      <c r="R5" s="3043"/>
    </row>
    <row r="6" spans="1:24" ht="15" customHeight="1" x14ac:dyDescent="0.2">
      <c r="A6" s="3052"/>
      <c r="B6" s="3071"/>
      <c r="C6" s="3071"/>
      <c r="D6" s="3058"/>
      <c r="E6" s="3031"/>
      <c r="F6" s="3034"/>
      <c r="G6" s="3039"/>
      <c r="H6" s="3061"/>
      <c r="I6" s="3065" t="s">
        <v>18</v>
      </c>
      <c r="J6" s="3067" t="s">
        <v>19</v>
      </c>
      <c r="K6" s="3067"/>
      <c r="L6" s="3068" t="s">
        <v>42</v>
      </c>
      <c r="M6" s="3048"/>
      <c r="N6" s="3048"/>
      <c r="O6" s="3063" t="s">
        <v>31</v>
      </c>
      <c r="P6" s="3044" t="s">
        <v>73</v>
      </c>
      <c r="Q6" s="3045"/>
      <c r="R6" s="3046"/>
    </row>
    <row r="7" spans="1:24" ht="105.75" customHeight="1" thickBot="1" x14ac:dyDescent="0.25">
      <c r="A7" s="3053"/>
      <c r="B7" s="3072"/>
      <c r="C7" s="3072"/>
      <c r="D7" s="3059"/>
      <c r="E7" s="3032"/>
      <c r="F7" s="3035"/>
      <c r="G7" s="3040"/>
      <c r="H7" s="3062"/>
      <c r="I7" s="3066"/>
      <c r="J7" s="420" t="s">
        <v>18</v>
      </c>
      <c r="K7" s="8" t="s">
        <v>32</v>
      </c>
      <c r="L7" s="3069"/>
      <c r="M7" s="3049"/>
      <c r="N7" s="3049"/>
      <c r="O7" s="3064"/>
      <c r="P7" s="245" t="s">
        <v>74</v>
      </c>
      <c r="Q7" s="245" t="s">
        <v>75</v>
      </c>
      <c r="R7" s="246" t="s">
        <v>107</v>
      </c>
    </row>
    <row r="8" spans="1:24" ht="15.75" customHeight="1" thickBot="1" x14ac:dyDescent="0.25">
      <c r="A8" s="2994" t="s">
        <v>41</v>
      </c>
      <c r="B8" s="2995"/>
      <c r="C8" s="2995"/>
      <c r="D8" s="2995"/>
      <c r="E8" s="2995"/>
      <c r="F8" s="2995"/>
      <c r="G8" s="2995"/>
      <c r="H8" s="2995"/>
      <c r="I8" s="2995"/>
      <c r="J8" s="2995"/>
      <c r="K8" s="2995"/>
      <c r="L8" s="2995"/>
      <c r="M8" s="2995"/>
      <c r="N8" s="2995"/>
      <c r="O8" s="2995"/>
      <c r="P8" s="2995"/>
      <c r="Q8" s="2995"/>
      <c r="R8" s="2996"/>
    </row>
    <row r="9" spans="1:24" ht="14.25" customHeight="1" thickBot="1" x14ac:dyDescent="0.25">
      <c r="A9" s="2997" t="s">
        <v>40</v>
      </c>
      <c r="B9" s="2998"/>
      <c r="C9" s="2998"/>
      <c r="D9" s="2998"/>
      <c r="E9" s="2998"/>
      <c r="F9" s="2998"/>
      <c r="G9" s="2998"/>
      <c r="H9" s="2998"/>
      <c r="I9" s="2998"/>
      <c r="J9" s="2998"/>
      <c r="K9" s="2998"/>
      <c r="L9" s="2998"/>
      <c r="M9" s="2998"/>
      <c r="N9" s="2998"/>
      <c r="O9" s="2998"/>
      <c r="P9" s="2998"/>
      <c r="Q9" s="2998"/>
      <c r="R9" s="2999"/>
    </row>
    <row r="10" spans="1:24" ht="15.75" customHeight="1" thickBot="1" x14ac:dyDescent="0.25">
      <c r="A10" s="122" t="s">
        <v>20</v>
      </c>
      <c r="B10" s="3006" t="s">
        <v>51</v>
      </c>
      <c r="C10" s="3007"/>
      <c r="D10" s="3007"/>
      <c r="E10" s="3007"/>
      <c r="F10" s="3007"/>
      <c r="G10" s="3007"/>
      <c r="H10" s="3007"/>
      <c r="I10" s="3007"/>
      <c r="J10" s="3007"/>
      <c r="K10" s="3007"/>
      <c r="L10" s="3007"/>
      <c r="M10" s="3007"/>
      <c r="N10" s="3007"/>
      <c r="O10" s="3007"/>
      <c r="P10" s="3007"/>
      <c r="Q10" s="3007"/>
      <c r="R10" s="3008"/>
    </row>
    <row r="11" spans="1:24" ht="15.75" customHeight="1" thickBot="1" x14ac:dyDescent="0.25">
      <c r="A11" s="218" t="s">
        <v>20</v>
      </c>
      <c r="B11" s="97" t="s">
        <v>20</v>
      </c>
      <c r="C11" s="3010" t="s">
        <v>190</v>
      </c>
      <c r="D11" s="3011"/>
      <c r="E11" s="3011"/>
      <c r="F11" s="3011"/>
      <c r="G11" s="3011"/>
      <c r="H11" s="3012"/>
      <c r="I11" s="3012"/>
      <c r="J11" s="3012"/>
      <c r="K11" s="3012"/>
      <c r="L11" s="3012"/>
      <c r="M11" s="3012"/>
      <c r="N11" s="3012"/>
      <c r="O11" s="3012"/>
      <c r="P11" s="3012"/>
      <c r="Q11" s="3012"/>
      <c r="R11" s="3013"/>
    </row>
    <row r="12" spans="1:24" ht="13.5" customHeight="1" x14ac:dyDescent="0.2">
      <c r="A12" s="25" t="s">
        <v>20</v>
      </c>
      <c r="B12" s="16" t="s">
        <v>20</v>
      </c>
      <c r="C12" s="3009" t="s">
        <v>20</v>
      </c>
      <c r="D12" s="3002" t="s">
        <v>104</v>
      </c>
      <c r="E12" s="3004"/>
      <c r="F12" s="3000" t="s">
        <v>21</v>
      </c>
      <c r="G12" s="3015" t="s">
        <v>43</v>
      </c>
      <c r="H12" s="428" t="s">
        <v>22</v>
      </c>
      <c r="I12" s="377">
        <f>J12+L12</f>
        <v>68821.5</v>
      </c>
      <c r="J12" s="323">
        <v>68821.5</v>
      </c>
      <c r="K12" s="323">
        <v>47823.7</v>
      </c>
      <c r="L12" s="365"/>
      <c r="M12" s="493">
        <v>68591.3</v>
      </c>
      <c r="N12" s="63">
        <v>68591.3</v>
      </c>
      <c r="O12" s="96"/>
      <c r="P12" s="76"/>
      <c r="Q12" s="77"/>
      <c r="R12" s="452"/>
      <c r="U12" s="497"/>
      <c r="V12" s="59"/>
      <c r="W12" s="59"/>
      <c r="X12" s="59"/>
    </row>
    <row r="13" spans="1:24" ht="13.5" customHeight="1" x14ac:dyDescent="0.2">
      <c r="A13" s="26"/>
      <c r="B13" s="27"/>
      <c r="C13" s="2953"/>
      <c r="D13" s="3003"/>
      <c r="E13" s="3005"/>
      <c r="F13" s="3001"/>
      <c r="G13" s="3016"/>
      <c r="H13" s="134" t="s">
        <v>25</v>
      </c>
      <c r="I13" s="492">
        <f>J13+L13</f>
        <v>102602.59999999999</v>
      </c>
      <c r="J13" s="328">
        <f>102558.9-23.7</f>
        <v>102535.2</v>
      </c>
      <c r="K13" s="328">
        <v>75915.100000000006</v>
      </c>
      <c r="L13" s="472">
        <v>67.400000000000006</v>
      </c>
      <c r="M13" s="494">
        <v>104160.9</v>
      </c>
      <c r="N13" s="3">
        <v>103447.5</v>
      </c>
      <c r="O13" s="495"/>
      <c r="P13" s="376"/>
      <c r="Q13" s="59"/>
      <c r="R13" s="460"/>
      <c r="U13" s="498"/>
      <c r="V13" s="59"/>
      <c r="W13" s="59"/>
      <c r="X13" s="59"/>
    </row>
    <row r="14" spans="1:24" ht="13.5" customHeight="1" x14ac:dyDescent="0.2">
      <c r="A14" s="26"/>
      <c r="B14" s="27"/>
      <c r="C14" s="434"/>
      <c r="D14" s="447"/>
      <c r="E14" s="435"/>
      <c r="F14" s="433"/>
      <c r="G14" s="443"/>
      <c r="H14" s="378" t="s">
        <v>93</v>
      </c>
      <c r="I14" s="287">
        <f>J14+L14</f>
        <v>16236.6</v>
      </c>
      <c r="J14" s="273">
        <v>16125.6</v>
      </c>
      <c r="K14" s="273">
        <v>3021.4</v>
      </c>
      <c r="L14" s="285">
        <v>111</v>
      </c>
      <c r="M14" s="503">
        <v>16189.6</v>
      </c>
      <c r="N14" s="504">
        <v>16189.6</v>
      </c>
      <c r="O14" s="499"/>
      <c r="P14" s="376"/>
      <c r="Q14" s="59"/>
      <c r="R14" s="460"/>
      <c r="U14" s="498"/>
      <c r="V14" s="59"/>
      <c r="W14" s="59"/>
      <c r="X14" s="59"/>
    </row>
    <row r="15" spans="1:24" ht="13.5" customHeight="1" x14ac:dyDescent="0.2">
      <c r="A15" s="26"/>
      <c r="B15" s="27"/>
      <c r="C15" s="2953"/>
      <c r="D15" s="2970" t="s">
        <v>199</v>
      </c>
      <c r="E15" s="2955"/>
      <c r="F15" s="2971"/>
      <c r="G15" s="2973"/>
      <c r="H15" s="378"/>
      <c r="I15" s="287"/>
      <c r="J15" s="273"/>
      <c r="K15" s="273"/>
      <c r="L15" s="285"/>
      <c r="M15" s="503"/>
      <c r="N15" s="504"/>
      <c r="O15" s="505" t="s">
        <v>110</v>
      </c>
      <c r="P15" s="120">
        <v>45</v>
      </c>
      <c r="Q15" s="152">
        <v>45</v>
      </c>
      <c r="R15" s="437">
        <v>45</v>
      </c>
      <c r="U15" s="497"/>
      <c r="V15" s="59"/>
      <c r="W15" s="59"/>
      <c r="X15" s="59"/>
    </row>
    <row r="16" spans="1:24" ht="13.5" customHeight="1" x14ac:dyDescent="0.2">
      <c r="A16" s="26"/>
      <c r="B16" s="27"/>
      <c r="C16" s="2953"/>
      <c r="D16" s="2970"/>
      <c r="E16" s="2955"/>
      <c r="F16" s="2971"/>
      <c r="G16" s="2973"/>
      <c r="H16" s="430"/>
      <c r="I16" s="502"/>
      <c r="J16" s="270"/>
      <c r="K16" s="270"/>
      <c r="L16" s="296"/>
      <c r="M16" s="509"/>
      <c r="N16" s="187"/>
      <c r="O16" s="3014" t="s">
        <v>111</v>
      </c>
      <c r="P16" s="175">
        <v>7580</v>
      </c>
      <c r="Q16" s="176">
        <v>7645</v>
      </c>
      <c r="R16" s="438">
        <v>7720</v>
      </c>
      <c r="U16" s="498"/>
      <c r="V16" s="59"/>
      <c r="W16" s="59"/>
      <c r="X16" s="59"/>
    </row>
    <row r="17" spans="1:24" ht="13.5" customHeight="1" x14ac:dyDescent="0.2">
      <c r="A17" s="26"/>
      <c r="B17" s="27"/>
      <c r="C17" s="2953"/>
      <c r="D17" s="2970"/>
      <c r="E17" s="2955"/>
      <c r="F17" s="2971"/>
      <c r="G17" s="2973"/>
      <c r="H17" s="375"/>
      <c r="I17" s="502"/>
      <c r="J17" s="270"/>
      <c r="K17" s="270"/>
      <c r="L17" s="296"/>
      <c r="M17" s="509"/>
      <c r="N17" s="187"/>
      <c r="O17" s="3014"/>
      <c r="P17" s="175"/>
      <c r="Q17" s="176"/>
      <c r="R17" s="438"/>
      <c r="U17" s="497"/>
      <c r="V17" s="59"/>
      <c r="W17" s="59"/>
      <c r="X17" s="81"/>
    </row>
    <row r="18" spans="1:24" ht="15" customHeight="1" x14ac:dyDescent="0.2">
      <c r="A18" s="3073"/>
      <c r="B18" s="27"/>
      <c r="C18" s="2952"/>
      <c r="D18" s="2956" t="s">
        <v>92</v>
      </c>
      <c r="E18" s="2954"/>
      <c r="F18" s="2963"/>
      <c r="G18" s="2972"/>
      <c r="H18" s="247"/>
      <c r="I18" s="284"/>
      <c r="J18" s="284"/>
      <c r="K18" s="273"/>
      <c r="L18" s="275"/>
      <c r="M18" s="510"/>
      <c r="N18" s="504"/>
      <c r="O18" s="505" t="s">
        <v>67</v>
      </c>
      <c r="P18" s="120">
        <v>8</v>
      </c>
      <c r="Q18" s="152">
        <v>6</v>
      </c>
      <c r="R18" s="506">
        <v>5</v>
      </c>
      <c r="U18" s="499"/>
      <c r="V18" s="59"/>
      <c r="W18" s="496"/>
      <c r="X18" s="59"/>
    </row>
    <row r="19" spans="1:24" ht="13.5" customHeight="1" x14ac:dyDescent="0.2">
      <c r="A19" s="3073"/>
      <c r="B19" s="27"/>
      <c r="C19" s="2953"/>
      <c r="D19" s="2970"/>
      <c r="E19" s="2955"/>
      <c r="F19" s="2971"/>
      <c r="G19" s="2973"/>
      <c r="H19" s="430"/>
      <c r="I19" s="272"/>
      <c r="J19" s="270"/>
      <c r="K19" s="270"/>
      <c r="L19" s="271"/>
      <c r="M19" s="423"/>
      <c r="N19" s="187"/>
      <c r="O19" s="178" t="s">
        <v>68</v>
      </c>
      <c r="P19" s="175">
        <v>1</v>
      </c>
      <c r="Q19" s="179">
        <v>1</v>
      </c>
      <c r="R19" s="438">
        <v>1</v>
      </c>
      <c r="U19" s="499"/>
      <c r="V19" s="59"/>
      <c r="W19" s="176"/>
      <c r="X19" s="59"/>
    </row>
    <row r="20" spans="1:24" ht="13.5" customHeight="1" x14ac:dyDescent="0.2">
      <c r="A20" s="3073"/>
      <c r="B20" s="27"/>
      <c r="C20" s="2953"/>
      <c r="D20" s="2970"/>
      <c r="E20" s="2955"/>
      <c r="F20" s="2971"/>
      <c r="G20" s="2973"/>
      <c r="H20" s="375"/>
      <c r="I20" s="272"/>
      <c r="J20" s="270"/>
      <c r="K20" s="270"/>
      <c r="L20" s="271"/>
      <c r="M20" s="423"/>
      <c r="N20" s="187"/>
      <c r="O20" s="177" t="s">
        <v>111</v>
      </c>
      <c r="P20" s="175">
        <v>2170</v>
      </c>
      <c r="Q20" s="176">
        <v>2150</v>
      </c>
      <c r="R20" s="438">
        <v>2120</v>
      </c>
      <c r="U20" s="499"/>
      <c r="V20" s="59"/>
      <c r="W20" s="59"/>
      <c r="X20" s="59"/>
    </row>
    <row r="21" spans="1:24" ht="27.75" customHeight="1" x14ac:dyDescent="0.2">
      <c r="A21" s="3017"/>
      <c r="B21" s="436"/>
      <c r="C21" s="3018"/>
      <c r="D21" s="2970" t="s">
        <v>141</v>
      </c>
      <c r="E21" s="2955"/>
      <c r="F21" s="3028"/>
      <c r="G21" s="2951"/>
      <c r="H21" s="247"/>
      <c r="I21" s="274"/>
      <c r="J21" s="273"/>
      <c r="K21" s="273"/>
      <c r="L21" s="275"/>
      <c r="M21" s="504"/>
      <c r="N21" s="511"/>
      <c r="O21" s="180" t="s">
        <v>200</v>
      </c>
      <c r="P21" s="120">
        <v>17119</v>
      </c>
      <c r="Q21" s="152">
        <v>17000</v>
      </c>
      <c r="R21" s="437">
        <v>17000</v>
      </c>
      <c r="U21" s="499"/>
      <c r="V21" s="59"/>
      <c r="W21" s="59"/>
      <c r="X21" s="59"/>
    </row>
    <row r="22" spans="1:24" ht="15.75" customHeight="1" x14ac:dyDescent="0.2">
      <c r="A22" s="3017"/>
      <c r="B22" s="436"/>
      <c r="C22" s="3018"/>
      <c r="D22" s="2970"/>
      <c r="E22" s="2955"/>
      <c r="F22" s="3028"/>
      <c r="G22" s="2951"/>
      <c r="H22" s="430"/>
      <c r="I22" s="272"/>
      <c r="J22" s="270"/>
      <c r="K22" s="270"/>
      <c r="L22" s="271"/>
      <c r="M22" s="187"/>
      <c r="N22" s="512"/>
      <c r="O22" s="178" t="s">
        <v>84</v>
      </c>
      <c r="P22" s="175">
        <v>13</v>
      </c>
      <c r="Q22" s="175">
        <v>13</v>
      </c>
      <c r="R22" s="438">
        <v>13</v>
      </c>
      <c r="U22" s="499"/>
      <c r="V22" s="59"/>
      <c r="W22" s="81"/>
      <c r="X22" s="59"/>
    </row>
    <row r="23" spans="1:24" ht="15.75" customHeight="1" x14ac:dyDescent="0.2">
      <c r="A23" s="3017"/>
      <c r="B23" s="436"/>
      <c r="C23" s="3018"/>
      <c r="D23" s="2970"/>
      <c r="E23" s="2955"/>
      <c r="F23" s="3028"/>
      <c r="G23" s="2951"/>
      <c r="H23" s="430"/>
      <c r="I23" s="272"/>
      <c r="J23" s="270"/>
      <c r="K23" s="270"/>
      <c r="L23" s="271"/>
      <c r="M23" s="187"/>
      <c r="N23" s="512"/>
      <c r="O23" s="178" t="s">
        <v>86</v>
      </c>
      <c r="P23" s="175">
        <v>4</v>
      </c>
      <c r="Q23" s="175">
        <v>4</v>
      </c>
      <c r="R23" s="438">
        <v>4</v>
      </c>
      <c r="U23" s="499"/>
      <c r="V23" s="59"/>
      <c r="W23" s="81"/>
      <c r="X23" s="59"/>
    </row>
    <row r="24" spans="1:24" ht="15.75" customHeight="1" x14ac:dyDescent="0.2">
      <c r="A24" s="3017"/>
      <c r="B24" s="436"/>
      <c r="C24" s="3018"/>
      <c r="D24" s="2970"/>
      <c r="E24" s="2955"/>
      <c r="F24" s="3028"/>
      <c r="G24" s="2951"/>
      <c r="H24" s="430"/>
      <c r="I24" s="272"/>
      <c r="J24" s="270"/>
      <c r="K24" s="305"/>
      <c r="L24" s="271"/>
      <c r="M24" s="507"/>
      <c r="N24" s="507"/>
      <c r="O24" s="178" t="s">
        <v>85</v>
      </c>
      <c r="P24" s="175">
        <v>10</v>
      </c>
      <c r="Q24" s="175">
        <v>10</v>
      </c>
      <c r="R24" s="438">
        <v>10</v>
      </c>
      <c r="U24" s="2931"/>
      <c r="V24" s="2930"/>
      <c r="W24" s="2930"/>
      <c r="X24" s="2930"/>
    </row>
    <row r="25" spans="1:24" ht="15.75" customHeight="1" x14ac:dyDescent="0.2">
      <c r="A25" s="440"/>
      <c r="B25" s="436"/>
      <c r="C25" s="434"/>
      <c r="D25" s="2970"/>
      <c r="E25" s="2955"/>
      <c r="F25" s="3028"/>
      <c r="G25" s="2951"/>
      <c r="H25" s="375"/>
      <c r="I25" s="272"/>
      <c r="J25" s="270"/>
      <c r="K25" s="305"/>
      <c r="L25" s="271"/>
      <c r="M25" s="507"/>
      <c r="N25" s="10"/>
      <c r="O25" s="181" t="s">
        <v>177</v>
      </c>
      <c r="P25" s="182">
        <v>11</v>
      </c>
      <c r="Q25" s="182">
        <v>9</v>
      </c>
      <c r="R25" s="439">
        <v>8</v>
      </c>
      <c r="U25" s="2931"/>
      <c r="V25" s="2930"/>
      <c r="W25" s="2930"/>
      <c r="X25" s="2930"/>
    </row>
    <row r="26" spans="1:24" ht="14.25" customHeight="1" x14ac:dyDescent="0.2">
      <c r="A26" s="3019"/>
      <c r="B26" s="3020"/>
      <c r="C26" s="2953"/>
      <c r="D26" s="2956" t="s">
        <v>142</v>
      </c>
      <c r="E26" s="2969"/>
      <c r="F26" s="3023"/>
      <c r="G26" s="2992"/>
      <c r="H26" s="247"/>
      <c r="I26" s="284"/>
      <c r="J26" s="273"/>
      <c r="K26" s="273"/>
      <c r="L26" s="275"/>
      <c r="M26" s="504"/>
      <c r="N26" s="511"/>
      <c r="O26" s="178" t="s">
        <v>112</v>
      </c>
      <c r="P26" s="175">
        <v>6</v>
      </c>
      <c r="Q26" s="88">
        <v>6</v>
      </c>
      <c r="R26" s="438">
        <v>6</v>
      </c>
      <c r="U26" s="500"/>
      <c r="V26" s="455"/>
      <c r="W26" s="455"/>
      <c r="X26" s="2932"/>
    </row>
    <row r="27" spans="1:24" ht="27.75" customHeight="1" x14ac:dyDescent="0.2">
      <c r="A27" s="3017"/>
      <c r="B27" s="3021"/>
      <c r="C27" s="2953"/>
      <c r="D27" s="2956"/>
      <c r="E27" s="2969"/>
      <c r="F27" s="3023"/>
      <c r="G27" s="2992"/>
      <c r="H27" s="379"/>
      <c r="I27" s="268"/>
      <c r="J27" s="268"/>
      <c r="K27" s="264"/>
      <c r="L27" s="269"/>
      <c r="M27" s="508"/>
      <c r="N27" s="21"/>
      <c r="O27" s="178" t="s">
        <v>113</v>
      </c>
      <c r="P27" s="175">
        <v>4950</v>
      </c>
      <c r="Q27" s="88">
        <v>5050</v>
      </c>
      <c r="R27" s="438">
        <v>5100</v>
      </c>
      <c r="U27" s="44"/>
      <c r="V27" s="455"/>
      <c r="W27" s="455"/>
      <c r="X27" s="2932"/>
    </row>
    <row r="28" spans="1:24" ht="14.25" customHeight="1" x14ac:dyDescent="0.2">
      <c r="A28" s="3017"/>
      <c r="B28" s="3021"/>
      <c r="C28" s="2953"/>
      <c r="D28" s="3022" t="s">
        <v>143</v>
      </c>
      <c r="E28" s="3027"/>
      <c r="F28" s="2971"/>
      <c r="G28" s="2993"/>
      <c r="H28" s="247"/>
      <c r="I28" s="284"/>
      <c r="J28" s="273"/>
      <c r="K28" s="273"/>
      <c r="L28" s="285"/>
      <c r="M28" s="31"/>
      <c r="N28" s="37"/>
      <c r="O28" s="2988" t="s">
        <v>81</v>
      </c>
      <c r="P28" s="2986">
        <v>4</v>
      </c>
      <c r="Q28" s="2986">
        <v>4.5</v>
      </c>
      <c r="R28" s="2976">
        <v>5</v>
      </c>
      <c r="S28" s="153"/>
      <c r="U28" s="501"/>
      <c r="V28" s="454"/>
      <c r="W28" s="454"/>
      <c r="X28" s="59"/>
    </row>
    <row r="29" spans="1:24" ht="14.25" customHeight="1" x14ac:dyDescent="0.2">
      <c r="A29" s="3017"/>
      <c r="B29" s="3021"/>
      <c r="C29" s="2953"/>
      <c r="D29" s="3022"/>
      <c r="E29" s="3027"/>
      <c r="F29" s="2971"/>
      <c r="G29" s="2993"/>
      <c r="H29" s="375"/>
      <c r="I29" s="502"/>
      <c r="J29" s="270"/>
      <c r="K29" s="270"/>
      <c r="L29" s="296"/>
      <c r="M29" s="507"/>
      <c r="N29" s="10"/>
      <c r="O29" s="2989"/>
      <c r="P29" s="2987"/>
      <c r="Q29" s="2987"/>
      <c r="R29" s="2977"/>
    </row>
    <row r="30" spans="1:24" ht="15" customHeight="1" x14ac:dyDescent="0.2">
      <c r="A30" s="184"/>
      <c r="B30" s="27"/>
      <c r="C30" s="185"/>
      <c r="D30" s="2965" t="s">
        <v>144</v>
      </c>
      <c r="E30" s="2961"/>
      <c r="F30" s="2963"/>
      <c r="G30" s="2974"/>
      <c r="H30" s="247"/>
      <c r="I30" s="284"/>
      <c r="J30" s="273"/>
      <c r="K30" s="273"/>
      <c r="L30" s="274"/>
      <c r="M30" s="504"/>
      <c r="N30" s="504"/>
      <c r="O30" s="186" t="s">
        <v>116</v>
      </c>
      <c r="P30" s="444">
        <v>130</v>
      </c>
      <c r="Q30" s="163">
        <v>130</v>
      </c>
      <c r="R30" s="2990">
        <v>145</v>
      </c>
    </row>
    <row r="31" spans="1:24" ht="13.5" customHeight="1" thickBot="1" x14ac:dyDescent="0.25">
      <c r="A31" s="535"/>
      <c r="B31" s="28"/>
      <c r="C31" s="536"/>
      <c r="D31" s="2966"/>
      <c r="E31" s="2962"/>
      <c r="F31" s="2964"/>
      <c r="G31" s="2975"/>
      <c r="H31" s="429"/>
      <c r="I31" s="266"/>
      <c r="J31" s="267"/>
      <c r="K31" s="267"/>
      <c r="L31" s="537"/>
      <c r="M31" s="538"/>
      <c r="N31" s="538"/>
      <c r="O31" s="539"/>
      <c r="P31" s="446"/>
      <c r="Q31" s="523"/>
      <c r="R31" s="2991"/>
    </row>
    <row r="32" spans="1:24" ht="16.5" customHeight="1" x14ac:dyDescent="0.2">
      <c r="A32" s="3017"/>
      <c r="B32" s="3021"/>
      <c r="C32" s="2952"/>
      <c r="D32" s="2982" t="s">
        <v>191</v>
      </c>
      <c r="E32" s="461"/>
      <c r="F32" s="465"/>
      <c r="G32" s="479"/>
      <c r="H32" s="430"/>
      <c r="I32" s="502"/>
      <c r="J32" s="270"/>
      <c r="K32" s="270"/>
      <c r="L32" s="296"/>
      <c r="M32" s="187"/>
      <c r="N32" s="187"/>
      <c r="O32" s="2984" t="s">
        <v>117</v>
      </c>
      <c r="P32" s="445">
        <v>280</v>
      </c>
      <c r="Q32" s="455">
        <v>275</v>
      </c>
      <c r="R32" s="438">
        <v>290</v>
      </c>
      <c r="T32" s="156"/>
    </row>
    <row r="33" spans="1:20" ht="13.5" customHeight="1" thickBot="1" x14ac:dyDescent="0.25">
      <c r="A33" s="3024"/>
      <c r="B33" s="3025"/>
      <c r="C33" s="3026"/>
      <c r="D33" s="2983"/>
      <c r="E33" s="513"/>
      <c r="F33" s="514"/>
      <c r="G33" s="513"/>
      <c r="H33" s="298" t="s">
        <v>23</v>
      </c>
      <c r="I33" s="299">
        <f t="shared" ref="I33:N33" si="0">SUM(I12:I32)</f>
        <v>187660.69999999998</v>
      </c>
      <c r="J33" s="299">
        <f t="shared" si="0"/>
        <v>187482.30000000002</v>
      </c>
      <c r="K33" s="299">
        <f t="shared" si="0"/>
        <v>126760.2</v>
      </c>
      <c r="L33" s="299">
        <f t="shared" si="0"/>
        <v>178.4</v>
      </c>
      <c r="M33" s="299">
        <f t="shared" si="0"/>
        <v>188941.80000000002</v>
      </c>
      <c r="N33" s="299">
        <f t="shared" si="0"/>
        <v>188228.4</v>
      </c>
      <c r="O33" s="2985"/>
      <c r="P33" s="82"/>
      <c r="Q33" s="82"/>
      <c r="R33" s="188"/>
      <c r="T33" s="210"/>
    </row>
    <row r="34" spans="1:20" ht="24.75" customHeight="1" x14ac:dyDescent="0.2">
      <c r="A34" s="403" t="s">
        <v>20</v>
      </c>
      <c r="B34" s="219" t="s">
        <v>20</v>
      </c>
      <c r="C34" s="404" t="s">
        <v>24</v>
      </c>
      <c r="D34" s="2957" t="s">
        <v>204</v>
      </c>
      <c r="E34" s="2967" t="s">
        <v>129</v>
      </c>
      <c r="F34" s="2959" t="s">
        <v>21</v>
      </c>
      <c r="G34" s="2933">
        <v>2</v>
      </c>
      <c r="H34" s="115" t="s">
        <v>25</v>
      </c>
      <c r="I34" s="260">
        <f t="shared" ref="I34" si="1">J34+L34</f>
        <v>51.1</v>
      </c>
      <c r="J34" s="261">
        <v>51.1</v>
      </c>
      <c r="K34" s="261">
        <v>39</v>
      </c>
      <c r="L34" s="286"/>
      <c r="M34" s="22">
        <v>51.1</v>
      </c>
      <c r="N34" s="41">
        <v>51.1</v>
      </c>
      <c r="O34" s="2978" t="s">
        <v>114</v>
      </c>
      <c r="P34" s="175">
        <v>1</v>
      </c>
      <c r="Q34" s="88">
        <v>1</v>
      </c>
      <c r="R34" s="421">
        <v>1</v>
      </c>
      <c r="T34" s="209"/>
    </row>
    <row r="35" spans="1:20" ht="18.75" customHeight="1" thickBot="1" x14ac:dyDescent="0.25">
      <c r="A35" s="418"/>
      <c r="B35" s="28"/>
      <c r="C35" s="405"/>
      <c r="D35" s="2958"/>
      <c r="E35" s="2968"/>
      <c r="F35" s="2960"/>
      <c r="G35" s="2934"/>
      <c r="H35" s="298" t="s">
        <v>23</v>
      </c>
      <c r="I35" s="311">
        <f t="shared" ref="I35:I41" si="2">J35+L35</f>
        <v>51.1</v>
      </c>
      <c r="J35" s="292">
        <f>SUM(J34:J34)</f>
        <v>51.1</v>
      </c>
      <c r="K35" s="292">
        <f>SUM(K34:K34)</f>
        <v>39</v>
      </c>
      <c r="L35" s="291">
        <f>SUM(L34:L34)</f>
        <v>0</v>
      </c>
      <c r="M35" s="300">
        <f>SUM(M34:M34)</f>
        <v>51.1</v>
      </c>
      <c r="N35" s="301">
        <f>SUM(N34:N34)</f>
        <v>51.1</v>
      </c>
      <c r="O35" s="2979"/>
      <c r="P35" s="82"/>
      <c r="Q35" s="407"/>
      <c r="R35" s="189"/>
    </row>
    <row r="36" spans="1:20" ht="15.75" customHeight="1" x14ac:dyDescent="0.2">
      <c r="A36" s="385" t="s">
        <v>20</v>
      </c>
      <c r="B36" s="390" t="s">
        <v>20</v>
      </c>
      <c r="C36" s="387" t="s">
        <v>26</v>
      </c>
      <c r="D36" s="2957" t="s">
        <v>151</v>
      </c>
      <c r="E36" s="2980"/>
      <c r="F36" s="2959" t="s">
        <v>21</v>
      </c>
      <c r="G36" s="2933">
        <v>2</v>
      </c>
      <c r="H36" s="115" t="s">
        <v>25</v>
      </c>
      <c r="I36" s="369">
        <f t="shared" si="2"/>
        <v>157.4</v>
      </c>
      <c r="J36" s="289">
        <v>157.4</v>
      </c>
      <c r="K36" s="289">
        <v>120.1</v>
      </c>
      <c r="L36" s="331"/>
      <c r="M36" s="485">
        <v>157.4</v>
      </c>
      <c r="N36" s="486">
        <v>157.4</v>
      </c>
      <c r="O36" s="2946" t="s">
        <v>167</v>
      </c>
      <c r="P36" s="2943">
        <v>5</v>
      </c>
      <c r="Q36" s="2943">
        <v>5</v>
      </c>
      <c r="R36" s="2938">
        <v>5</v>
      </c>
    </row>
    <row r="37" spans="1:20" ht="15.75" customHeight="1" thickBot="1" x14ac:dyDescent="0.25">
      <c r="A37" s="386"/>
      <c r="B37" s="28"/>
      <c r="C37" s="388"/>
      <c r="D37" s="2958"/>
      <c r="E37" s="2981"/>
      <c r="F37" s="2960"/>
      <c r="G37" s="2934"/>
      <c r="H37" s="298" t="s">
        <v>23</v>
      </c>
      <c r="I37" s="311">
        <f t="shared" si="2"/>
        <v>157.4</v>
      </c>
      <c r="J37" s="292">
        <f>SUM(J36:J36)</f>
        <v>157.4</v>
      </c>
      <c r="K37" s="292">
        <f>SUM(K36:K36)</f>
        <v>120.1</v>
      </c>
      <c r="L37" s="291">
        <f>SUM(L36:L36)</f>
        <v>0</v>
      </c>
      <c r="M37" s="300">
        <f>SUM(M36:M36)</f>
        <v>157.4</v>
      </c>
      <c r="N37" s="301">
        <f>SUM(N36:N36)</f>
        <v>157.4</v>
      </c>
      <c r="O37" s="2948"/>
      <c r="P37" s="2945"/>
      <c r="Q37" s="2945"/>
      <c r="R37" s="2940"/>
    </row>
    <row r="38" spans="1:20" ht="21" customHeight="1" x14ac:dyDescent="0.2">
      <c r="A38" s="3221" t="s">
        <v>20</v>
      </c>
      <c r="B38" s="3117" t="s">
        <v>20</v>
      </c>
      <c r="C38" s="3230" t="s">
        <v>28</v>
      </c>
      <c r="D38" s="3002" t="s">
        <v>207</v>
      </c>
      <c r="E38" s="2980"/>
      <c r="F38" s="2959" t="s">
        <v>21</v>
      </c>
      <c r="G38" s="2933">
        <v>2</v>
      </c>
      <c r="H38" s="646" t="s">
        <v>25</v>
      </c>
      <c r="I38" s="370">
        <f t="shared" si="2"/>
        <v>7.8</v>
      </c>
      <c r="J38" s="323">
        <v>7.8</v>
      </c>
      <c r="K38" s="323">
        <v>6</v>
      </c>
      <c r="L38" s="371"/>
      <c r="M38" s="485">
        <v>7.8</v>
      </c>
      <c r="N38" s="486">
        <v>7.8</v>
      </c>
      <c r="O38" s="2946" t="s">
        <v>168</v>
      </c>
      <c r="P38" s="2943">
        <v>1</v>
      </c>
      <c r="Q38" s="2943">
        <v>1</v>
      </c>
      <c r="R38" s="2938">
        <v>1</v>
      </c>
    </row>
    <row r="39" spans="1:20" ht="21" customHeight="1" x14ac:dyDescent="0.2">
      <c r="A39" s="3155"/>
      <c r="B39" s="3159"/>
      <c r="C39" s="3228"/>
      <c r="D39" s="3094"/>
      <c r="E39" s="3246"/>
      <c r="F39" s="3023"/>
      <c r="G39" s="2992"/>
      <c r="H39" s="647"/>
      <c r="I39" s="648"/>
      <c r="J39" s="290"/>
      <c r="K39" s="290"/>
      <c r="L39" s="366"/>
      <c r="M39" s="649"/>
      <c r="N39" s="40"/>
      <c r="O39" s="2947"/>
      <c r="P39" s="2944"/>
      <c r="Q39" s="2944"/>
      <c r="R39" s="2939"/>
    </row>
    <row r="40" spans="1:20" ht="36.75" customHeight="1" x14ac:dyDescent="0.2">
      <c r="A40" s="3155"/>
      <c r="B40" s="3159"/>
      <c r="C40" s="3228"/>
      <c r="D40" s="3094"/>
      <c r="E40" s="3246"/>
      <c r="F40" s="3023"/>
      <c r="G40" s="2992"/>
      <c r="H40" s="116"/>
      <c r="I40" s="373"/>
      <c r="J40" s="352"/>
      <c r="K40" s="352"/>
      <c r="L40" s="366"/>
      <c r="M40" s="109"/>
      <c r="N40" s="110"/>
      <c r="O40" s="2947"/>
      <c r="P40" s="2944"/>
      <c r="Q40" s="2944"/>
      <c r="R40" s="2939"/>
    </row>
    <row r="41" spans="1:20" ht="27" customHeight="1" thickBot="1" x14ac:dyDescent="0.25">
      <c r="A41" s="386"/>
      <c r="B41" s="28"/>
      <c r="C41" s="388"/>
      <c r="D41" s="2958"/>
      <c r="E41" s="2981"/>
      <c r="F41" s="2960"/>
      <c r="G41" s="2934"/>
      <c r="H41" s="298" t="s">
        <v>23</v>
      </c>
      <c r="I41" s="311">
        <f t="shared" si="2"/>
        <v>7.8</v>
      </c>
      <c r="J41" s="292">
        <f>SUM(J38:J40)</f>
        <v>7.8</v>
      </c>
      <c r="K41" s="292">
        <f>SUM(K38:K40)</f>
        <v>6</v>
      </c>
      <c r="L41" s="291">
        <f>SUM(L38:L40)</f>
        <v>0</v>
      </c>
      <c r="M41" s="300">
        <f>SUM(M38:M40)</f>
        <v>7.8</v>
      </c>
      <c r="N41" s="301">
        <f>SUM(N38:N40)</f>
        <v>7.8</v>
      </c>
      <c r="O41" s="2948"/>
      <c r="P41" s="2945"/>
      <c r="Q41" s="2945"/>
      <c r="R41" s="2940"/>
    </row>
    <row r="42" spans="1:20" ht="15" customHeight="1" thickBot="1" x14ac:dyDescent="0.25">
      <c r="A42" s="386" t="s">
        <v>20</v>
      </c>
      <c r="B42" s="391" t="s">
        <v>20</v>
      </c>
      <c r="C42" s="3088" t="s">
        <v>27</v>
      </c>
      <c r="D42" s="3088"/>
      <c r="E42" s="3088"/>
      <c r="F42" s="3088"/>
      <c r="G42" s="3088"/>
      <c r="H42" s="3089"/>
      <c r="I42" s="635">
        <f t="shared" ref="I42:M42" si="3">I41+I37+I35+I33</f>
        <v>187876.99999999997</v>
      </c>
      <c r="J42" s="242">
        <f>J41+J37+J35+J33</f>
        <v>187698.6</v>
      </c>
      <c r="K42" s="242">
        <f>K41+K37+K35+K33</f>
        <v>126925.3</v>
      </c>
      <c r="L42" s="241">
        <f>L41+L37+L35+L33</f>
        <v>178.4</v>
      </c>
      <c r="M42" s="1">
        <f t="shared" si="3"/>
        <v>189158.1</v>
      </c>
      <c r="N42" s="1">
        <f>N41+N37+N35+N33</f>
        <v>188444.69999999998</v>
      </c>
      <c r="O42" s="2935"/>
      <c r="P42" s="2936"/>
      <c r="Q42" s="2936"/>
      <c r="R42" s="2937"/>
    </row>
    <row r="43" spans="1:20" ht="15" customHeight="1" thickBot="1" x14ac:dyDescent="0.25">
      <c r="A43" s="15" t="s">
        <v>20</v>
      </c>
      <c r="B43" s="17" t="s">
        <v>24</v>
      </c>
      <c r="C43" s="3250" t="s">
        <v>115</v>
      </c>
      <c r="D43" s="3187"/>
      <c r="E43" s="3187"/>
      <c r="F43" s="3187"/>
      <c r="G43" s="3187"/>
      <c r="H43" s="3187"/>
      <c r="I43" s="3187"/>
      <c r="J43" s="3187"/>
      <c r="K43" s="3187"/>
      <c r="L43" s="3187"/>
      <c r="M43" s="3187"/>
      <c r="N43" s="3187"/>
      <c r="O43" s="3187"/>
      <c r="P43" s="3187"/>
      <c r="Q43" s="3187"/>
      <c r="R43" s="3188"/>
    </row>
    <row r="44" spans="1:20" ht="16.5" customHeight="1" x14ac:dyDescent="0.2">
      <c r="A44" s="218" t="s">
        <v>20</v>
      </c>
      <c r="B44" s="3117" t="s">
        <v>24</v>
      </c>
      <c r="C44" s="2912" t="s">
        <v>20</v>
      </c>
      <c r="D44" s="3242" t="s">
        <v>118</v>
      </c>
      <c r="E44" s="3252"/>
      <c r="F44" s="2959" t="s">
        <v>21</v>
      </c>
      <c r="G44" s="3247">
        <v>2</v>
      </c>
      <c r="H44" s="415" t="s">
        <v>22</v>
      </c>
      <c r="I44" s="308">
        <f t="shared" ref="I44:I46" si="4">J44+L44</f>
        <v>65.400000000000006</v>
      </c>
      <c r="J44" s="277">
        <v>65.400000000000006</v>
      </c>
      <c r="K44" s="277"/>
      <c r="L44" s="309"/>
      <c r="M44" s="19">
        <v>65.400000000000006</v>
      </c>
      <c r="N44" s="22">
        <v>65.400000000000006</v>
      </c>
      <c r="O44" s="190" t="s">
        <v>120</v>
      </c>
      <c r="P44" s="191">
        <v>20</v>
      </c>
      <c r="Q44" s="191">
        <v>20</v>
      </c>
      <c r="R44" s="192">
        <v>20</v>
      </c>
    </row>
    <row r="45" spans="1:20" ht="27.75" customHeight="1" thickBot="1" x14ac:dyDescent="0.25">
      <c r="A45" s="417"/>
      <c r="B45" s="3251"/>
      <c r="C45" s="3018"/>
      <c r="D45" s="3243"/>
      <c r="E45" s="3253"/>
      <c r="F45" s="3249"/>
      <c r="G45" s="3248"/>
      <c r="H45" s="298" t="s">
        <v>23</v>
      </c>
      <c r="I45" s="299">
        <f t="shared" si="4"/>
        <v>65.400000000000006</v>
      </c>
      <c r="J45" s="292">
        <f>SUM(J44)</f>
        <v>65.400000000000006</v>
      </c>
      <c r="K45" s="291"/>
      <c r="L45" s="295"/>
      <c r="M45" s="299">
        <f>SUM(M44)</f>
        <v>65.400000000000006</v>
      </c>
      <c r="N45" s="300">
        <f>SUM(N44)</f>
        <v>65.400000000000006</v>
      </c>
      <c r="O45" s="193" t="s">
        <v>119</v>
      </c>
      <c r="P45" s="194">
        <v>36</v>
      </c>
      <c r="Q45" s="194">
        <v>36</v>
      </c>
      <c r="R45" s="195">
        <v>36</v>
      </c>
    </row>
    <row r="46" spans="1:20" ht="27.75" customHeight="1" x14ac:dyDescent="0.2">
      <c r="A46" s="3221" t="s">
        <v>20</v>
      </c>
      <c r="B46" s="3117" t="s">
        <v>24</v>
      </c>
      <c r="C46" s="3227" t="s">
        <v>24</v>
      </c>
      <c r="D46" s="3095" t="s">
        <v>121</v>
      </c>
      <c r="E46" s="3252"/>
      <c r="F46" s="3000" t="s">
        <v>21</v>
      </c>
      <c r="G46" s="3244">
        <v>2</v>
      </c>
      <c r="H46" s="422" t="s">
        <v>25</v>
      </c>
      <c r="I46" s="310">
        <f t="shared" si="4"/>
        <v>105.4</v>
      </c>
      <c r="J46" s="270">
        <v>105.4</v>
      </c>
      <c r="K46" s="305"/>
      <c r="L46" s="296"/>
      <c r="M46" s="10">
        <v>105.5</v>
      </c>
      <c r="N46" s="11">
        <v>105.5</v>
      </c>
      <c r="O46" s="196" t="s">
        <v>83</v>
      </c>
      <c r="P46" s="138">
        <v>17</v>
      </c>
      <c r="Q46" s="138">
        <v>17</v>
      </c>
      <c r="R46" s="137">
        <v>17</v>
      </c>
    </row>
    <row r="47" spans="1:20" ht="13.5" customHeight="1" thickBot="1" x14ac:dyDescent="0.25">
      <c r="A47" s="3241"/>
      <c r="B47" s="3251"/>
      <c r="C47" s="3240"/>
      <c r="D47" s="3096"/>
      <c r="E47" s="3253"/>
      <c r="F47" s="3001"/>
      <c r="G47" s="3245"/>
      <c r="H47" s="298" t="s">
        <v>23</v>
      </c>
      <c r="I47" s="313">
        <f>I46</f>
        <v>105.4</v>
      </c>
      <c r="J47" s="313">
        <f>J46</f>
        <v>105.4</v>
      </c>
      <c r="K47" s="292"/>
      <c r="L47" s="295"/>
      <c r="M47" s="300">
        <f>SUM(M46)</f>
        <v>105.5</v>
      </c>
      <c r="N47" s="291">
        <f>SUM(N46)</f>
        <v>105.5</v>
      </c>
      <c r="O47" s="105" t="s">
        <v>82</v>
      </c>
      <c r="P47" s="106">
        <v>11</v>
      </c>
      <c r="Q47" s="106">
        <v>11</v>
      </c>
      <c r="R47" s="211">
        <v>10</v>
      </c>
    </row>
    <row r="48" spans="1:20" ht="28.5" customHeight="1" x14ac:dyDescent="0.2">
      <c r="A48" s="3154" t="s">
        <v>20</v>
      </c>
      <c r="B48" s="390" t="s">
        <v>24</v>
      </c>
      <c r="C48" s="3230" t="s">
        <v>26</v>
      </c>
      <c r="D48" s="3208" t="s">
        <v>45</v>
      </c>
      <c r="E48" s="3210"/>
      <c r="F48" s="3215" t="s">
        <v>21</v>
      </c>
      <c r="G48" s="3092">
        <v>2</v>
      </c>
      <c r="H48" s="197" t="s">
        <v>22</v>
      </c>
      <c r="I48" s="288">
        <f>J48+L48</f>
        <v>136.69999999999999</v>
      </c>
      <c r="J48" s="289">
        <v>136.69999999999999</v>
      </c>
      <c r="K48" s="289"/>
      <c r="L48" s="365"/>
      <c r="M48" s="63">
        <v>140</v>
      </c>
      <c r="N48" s="7">
        <v>140</v>
      </c>
      <c r="O48" s="103" t="s">
        <v>125</v>
      </c>
      <c r="P48" s="399">
        <v>180</v>
      </c>
      <c r="Q48" s="85">
        <v>180</v>
      </c>
      <c r="R48" s="401">
        <v>180</v>
      </c>
    </row>
    <row r="49" spans="1:18" ht="13.5" customHeight="1" thickBot="1" x14ac:dyDescent="0.25">
      <c r="A49" s="3156"/>
      <c r="B49" s="391"/>
      <c r="C49" s="3231"/>
      <c r="D49" s="3209"/>
      <c r="E49" s="3211"/>
      <c r="F49" s="3216"/>
      <c r="G49" s="3093"/>
      <c r="H49" s="367" t="s">
        <v>23</v>
      </c>
      <c r="I49" s="317">
        <f>J49+L49</f>
        <v>136.69999999999999</v>
      </c>
      <c r="J49" s="320">
        <f>SUM(J48)</f>
        <v>136.69999999999999</v>
      </c>
      <c r="K49" s="317"/>
      <c r="L49" s="337"/>
      <c r="M49" s="315">
        <f>SUM(M48)</f>
        <v>140</v>
      </c>
      <c r="N49" s="316">
        <f>SUM(N48)</f>
        <v>140</v>
      </c>
      <c r="O49" s="65"/>
      <c r="P49" s="83"/>
      <c r="Q49" s="84"/>
      <c r="R49" s="402"/>
    </row>
    <row r="50" spans="1:18" ht="13.5" customHeight="1" x14ac:dyDescent="0.2">
      <c r="A50" s="3221" t="s">
        <v>20</v>
      </c>
      <c r="B50" s="3117" t="s">
        <v>24</v>
      </c>
      <c r="C50" s="3227" t="s">
        <v>28</v>
      </c>
      <c r="D50" s="3208" t="s">
        <v>122</v>
      </c>
      <c r="E50" s="3210" t="s">
        <v>123</v>
      </c>
      <c r="F50" s="3215" t="s">
        <v>21</v>
      </c>
      <c r="G50" s="3090">
        <v>2</v>
      </c>
      <c r="H50" s="542" t="s">
        <v>22</v>
      </c>
      <c r="I50" s="322"/>
      <c r="J50" s="323"/>
      <c r="K50" s="371"/>
      <c r="L50" s="543"/>
      <c r="M50" s="62">
        <v>100</v>
      </c>
      <c r="N50" s="7">
        <v>100</v>
      </c>
      <c r="O50" s="104" t="s">
        <v>66</v>
      </c>
      <c r="P50" s="76">
        <v>1</v>
      </c>
      <c r="Q50" s="76">
        <v>2</v>
      </c>
      <c r="R50" s="574">
        <v>2</v>
      </c>
    </row>
    <row r="51" spans="1:18" ht="13.5" customHeight="1" x14ac:dyDescent="0.2">
      <c r="A51" s="3155"/>
      <c r="B51" s="3159"/>
      <c r="C51" s="3228"/>
      <c r="D51" s="3263"/>
      <c r="E51" s="3262"/>
      <c r="F51" s="3261"/>
      <c r="G51" s="3239"/>
      <c r="H51" s="470" t="s">
        <v>25</v>
      </c>
      <c r="I51" s="327">
        <f>J51+L51</f>
        <v>31</v>
      </c>
      <c r="J51" s="328"/>
      <c r="K51" s="372"/>
      <c r="L51" s="473">
        <v>31</v>
      </c>
      <c r="M51" s="38"/>
      <c r="N51" s="38"/>
      <c r="O51" s="469"/>
      <c r="P51" s="376"/>
      <c r="Q51" s="376"/>
      <c r="R51" s="576"/>
    </row>
    <row r="52" spans="1:18" ht="13.5" customHeight="1" thickBot="1" x14ac:dyDescent="0.25">
      <c r="A52" s="3222"/>
      <c r="B52" s="3118"/>
      <c r="C52" s="3229"/>
      <c r="D52" s="3209"/>
      <c r="E52" s="3211"/>
      <c r="F52" s="3216"/>
      <c r="G52" s="3091"/>
      <c r="H52" s="368" t="s">
        <v>23</v>
      </c>
      <c r="I52" s="337">
        <f>J52+L52</f>
        <v>31</v>
      </c>
      <c r="J52" s="337"/>
      <c r="K52" s="320"/>
      <c r="L52" s="318">
        <f>SUM(L51)</f>
        <v>31</v>
      </c>
      <c r="M52" s="315">
        <f>SUM(M50)</f>
        <v>100</v>
      </c>
      <c r="N52" s="317">
        <f>SUM(N50)</f>
        <v>100</v>
      </c>
      <c r="O52" s="547"/>
      <c r="P52" s="572"/>
      <c r="Q52" s="572"/>
      <c r="R52" s="135"/>
    </row>
    <row r="53" spans="1:18" ht="41.25" customHeight="1" x14ac:dyDescent="0.2">
      <c r="A53" s="3221" t="s">
        <v>20</v>
      </c>
      <c r="B53" s="3117" t="s">
        <v>24</v>
      </c>
      <c r="C53" s="3227" t="s">
        <v>29</v>
      </c>
      <c r="D53" s="3208" t="s">
        <v>124</v>
      </c>
      <c r="E53" s="3210"/>
      <c r="F53" s="3215" t="s">
        <v>21</v>
      </c>
      <c r="G53" s="3090">
        <v>2</v>
      </c>
      <c r="H53" s="542" t="s">
        <v>25</v>
      </c>
      <c r="I53" s="322">
        <f>J53+L53</f>
        <v>992.1</v>
      </c>
      <c r="J53" s="323">
        <v>992.1</v>
      </c>
      <c r="K53" s="371"/>
      <c r="L53" s="543"/>
      <c r="M53" s="62">
        <v>4730.8999999999996</v>
      </c>
      <c r="N53" s="62">
        <v>4730.8999999999996</v>
      </c>
      <c r="O53" s="104" t="s">
        <v>66</v>
      </c>
      <c r="P53" s="76">
        <v>36</v>
      </c>
      <c r="Q53" s="76">
        <v>36</v>
      </c>
      <c r="R53" s="452">
        <v>36</v>
      </c>
    </row>
    <row r="54" spans="1:18" ht="13.5" customHeight="1" thickBot="1" x14ac:dyDescent="0.25">
      <c r="A54" s="3222"/>
      <c r="B54" s="3118"/>
      <c r="C54" s="3229"/>
      <c r="D54" s="3209"/>
      <c r="E54" s="3211"/>
      <c r="F54" s="3216"/>
      <c r="G54" s="3091"/>
      <c r="H54" s="368" t="s">
        <v>23</v>
      </c>
      <c r="I54" s="337">
        <f>I53</f>
        <v>992.1</v>
      </c>
      <c r="J54" s="337">
        <f>J53</f>
        <v>992.1</v>
      </c>
      <c r="K54" s="320"/>
      <c r="L54" s="318"/>
      <c r="M54" s="315">
        <f>SUM(M53)</f>
        <v>4730.8999999999996</v>
      </c>
      <c r="N54" s="317">
        <f>SUM(N53)</f>
        <v>4730.8999999999996</v>
      </c>
      <c r="O54" s="450"/>
      <c r="P54" s="451"/>
      <c r="Q54" s="451"/>
      <c r="R54" s="135"/>
    </row>
    <row r="55" spans="1:18" ht="16.5" customHeight="1" x14ac:dyDescent="0.2">
      <c r="A55" s="3154" t="s">
        <v>20</v>
      </c>
      <c r="B55" s="390" t="s">
        <v>24</v>
      </c>
      <c r="C55" s="3230" t="s">
        <v>30</v>
      </c>
      <c r="D55" s="3208" t="s">
        <v>153</v>
      </c>
      <c r="E55" s="3210"/>
      <c r="F55" s="3215" t="s">
        <v>21</v>
      </c>
      <c r="G55" s="3092">
        <v>2</v>
      </c>
      <c r="H55" s="197" t="s">
        <v>22</v>
      </c>
      <c r="I55" s="288">
        <f>J55+L55</f>
        <v>30</v>
      </c>
      <c r="J55" s="289">
        <v>30</v>
      </c>
      <c r="K55" s="289"/>
      <c r="L55" s="365"/>
      <c r="M55" s="63">
        <v>40</v>
      </c>
      <c r="N55" s="7">
        <v>40</v>
      </c>
      <c r="O55" s="103" t="s">
        <v>140</v>
      </c>
      <c r="P55" s="475">
        <v>5000</v>
      </c>
      <c r="Q55" s="476">
        <v>5000</v>
      </c>
      <c r="R55" s="477">
        <v>5000</v>
      </c>
    </row>
    <row r="56" spans="1:18" ht="13.5" customHeight="1" thickBot="1" x14ac:dyDescent="0.25">
      <c r="A56" s="3156"/>
      <c r="B56" s="391"/>
      <c r="C56" s="3231"/>
      <c r="D56" s="3209"/>
      <c r="E56" s="3211"/>
      <c r="F56" s="3216"/>
      <c r="G56" s="3093"/>
      <c r="H56" s="367" t="s">
        <v>23</v>
      </c>
      <c r="I56" s="317">
        <f>J56+L56</f>
        <v>30</v>
      </c>
      <c r="J56" s="320">
        <f>SUM(J55)</f>
        <v>30</v>
      </c>
      <c r="K56" s="317"/>
      <c r="L56" s="337"/>
      <c r="M56" s="315">
        <f>SUM(M55)</f>
        <v>40</v>
      </c>
      <c r="N56" s="316">
        <f>SUM(N55)</f>
        <v>40</v>
      </c>
      <c r="O56" s="65"/>
      <c r="P56" s="83"/>
      <c r="Q56" s="84"/>
      <c r="R56" s="402"/>
    </row>
    <row r="57" spans="1:18" ht="42.75" customHeight="1" x14ac:dyDescent="0.2">
      <c r="A57" s="3154" t="s">
        <v>20</v>
      </c>
      <c r="B57" s="390" t="s">
        <v>24</v>
      </c>
      <c r="C57" s="3230" t="s">
        <v>55</v>
      </c>
      <c r="D57" s="3208" t="s">
        <v>131</v>
      </c>
      <c r="E57" s="3210" t="s">
        <v>133</v>
      </c>
      <c r="F57" s="3215" t="s">
        <v>21</v>
      </c>
      <c r="G57" s="3092">
        <v>2</v>
      </c>
      <c r="H57" s="197" t="s">
        <v>22</v>
      </c>
      <c r="I57" s="288">
        <f>J57+L57</f>
        <v>218.2</v>
      </c>
      <c r="J57" s="289">
        <v>218.2</v>
      </c>
      <c r="K57" s="289"/>
      <c r="L57" s="365"/>
      <c r="M57" s="63">
        <v>220.4</v>
      </c>
      <c r="N57" s="7">
        <v>295.39999999999998</v>
      </c>
      <c r="O57" s="3201" t="s">
        <v>201</v>
      </c>
      <c r="P57" s="464">
        <v>29</v>
      </c>
      <c r="Q57" s="85">
        <v>17</v>
      </c>
      <c r="R57" s="460">
        <v>16</v>
      </c>
    </row>
    <row r="58" spans="1:18" ht="13.5" customHeight="1" thickBot="1" x14ac:dyDescent="0.25">
      <c r="A58" s="3156"/>
      <c r="B58" s="391"/>
      <c r="C58" s="3231"/>
      <c r="D58" s="3209"/>
      <c r="E58" s="3211"/>
      <c r="F58" s="3216"/>
      <c r="G58" s="3093"/>
      <c r="H58" s="367" t="s">
        <v>23</v>
      </c>
      <c r="I58" s="317">
        <f>J58+L58</f>
        <v>218.2</v>
      </c>
      <c r="J58" s="320">
        <f>SUM(J57)</f>
        <v>218.2</v>
      </c>
      <c r="K58" s="317"/>
      <c r="L58" s="337"/>
      <c r="M58" s="315">
        <f>SUM(M57)</f>
        <v>220.4</v>
      </c>
      <c r="N58" s="316">
        <f>SUM(N57)</f>
        <v>295.39999999999998</v>
      </c>
      <c r="O58" s="3202"/>
      <c r="P58" s="83"/>
      <c r="Q58" s="84"/>
      <c r="R58" s="402"/>
    </row>
    <row r="59" spans="1:18" ht="15" customHeight="1" thickBot="1" x14ac:dyDescent="0.25">
      <c r="A59" s="15" t="s">
        <v>20</v>
      </c>
      <c r="B59" s="14" t="s">
        <v>24</v>
      </c>
      <c r="C59" s="3104" t="s">
        <v>27</v>
      </c>
      <c r="D59" s="3104"/>
      <c r="E59" s="3104"/>
      <c r="F59" s="3104"/>
      <c r="G59" s="3104"/>
      <c r="H59" s="3104"/>
      <c r="I59" s="1">
        <f t="shared" ref="I59:N59" si="5">I49+I54+I52+I47+I45+I56+I58</f>
        <v>1578.8000000000002</v>
      </c>
      <c r="J59" s="1">
        <f>J49+J54+J52+J47+J45+J56+J58</f>
        <v>1547.8000000000002</v>
      </c>
      <c r="K59" s="1">
        <f t="shared" si="5"/>
        <v>0</v>
      </c>
      <c r="L59" s="1">
        <f t="shared" si="5"/>
        <v>31</v>
      </c>
      <c r="M59" s="1">
        <f t="shared" si="5"/>
        <v>5402.1999999999989</v>
      </c>
      <c r="N59" s="1">
        <f t="shared" si="5"/>
        <v>5477.1999999999989</v>
      </c>
      <c r="O59" s="411"/>
      <c r="P59" s="3204"/>
      <c r="Q59" s="3204"/>
      <c r="R59" s="3205"/>
    </row>
    <row r="60" spans="1:18" ht="14.25" customHeight="1" thickBot="1" x14ac:dyDescent="0.25">
      <c r="A60" s="386" t="s">
        <v>20</v>
      </c>
      <c r="B60" s="3256" t="s">
        <v>10</v>
      </c>
      <c r="C60" s="3257"/>
      <c r="D60" s="3257"/>
      <c r="E60" s="3257"/>
      <c r="F60" s="3257"/>
      <c r="G60" s="3257"/>
      <c r="H60" s="3257"/>
      <c r="I60" s="20">
        <f t="shared" ref="I60:N60" si="6">I59+I42</f>
        <v>189455.79999999996</v>
      </c>
      <c r="J60" s="20">
        <f t="shared" si="6"/>
        <v>189246.4</v>
      </c>
      <c r="K60" s="20">
        <f t="shared" si="6"/>
        <v>126925.3</v>
      </c>
      <c r="L60" s="20">
        <f>L59+L42</f>
        <v>209.4</v>
      </c>
      <c r="M60" s="20">
        <f t="shared" si="6"/>
        <v>194560.30000000002</v>
      </c>
      <c r="N60" s="20">
        <f t="shared" si="6"/>
        <v>193921.9</v>
      </c>
      <c r="O60" s="3109"/>
      <c r="P60" s="3110"/>
      <c r="Q60" s="3110"/>
      <c r="R60" s="3111"/>
    </row>
    <row r="61" spans="1:18" ht="15.75" customHeight="1" thickBot="1" x14ac:dyDescent="0.25">
      <c r="A61" s="385" t="s">
        <v>24</v>
      </c>
      <c r="B61" s="3258" t="s">
        <v>56</v>
      </c>
      <c r="C61" s="3259"/>
      <c r="D61" s="3259"/>
      <c r="E61" s="3259"/>
      <c r="F61" s="3259"/>
      <c r="G61" s="3259"/>
      <c r="H61" s="3259"/>
      <c r="I61" s="3259"/>
      <c r="J61" s="3259"/>
      <c r="K61" s="3259"/>
      <c r="L61" s="3259"/>
      <c r="M61" s="3259"/>
      <c r="N61" s="3259"/>
      <c r="O61" s="3259"/>
      <c r="P61" s="3259"/>
      <c r="Q61" s="3259"/>
      <c r="R61" s="3260"/>
    </row>
    <row r="62" spans="1:18" ht="17.25" customHeight="1" x14ac:dyDescent="0.2">
      <c r="A62" s="218" t="s">
        <v>24</v>
      </c>
      <c r="B62" s="626" t="s">
        <v>20</v>
      </c>
      <c r="C62" s="3010" t="s">
        <v>47</v>
      </c>
      <c r="D62" s="3011"/>
      <c r="E62" s="3011"/>
      <c r="F62" s="3011"/>
      <c r="G62" s="3011"/>
      <c r="H62" s="3011"/>
      <c r="I62" s="3011"/>
      <c r="J62" s="3011"/>
      <c r="K62" s="3011"/>
      <c r="L62" s="3011"/>
      <c r="M62" s="3011"/>
      <c r="N62" s="3011"/>
      <c r="O62" s="3011"/>
      <c r="P62" s="3011"/>
      <c r="Q62" s="3011"/>
      <c r="R62" s="3203"/>
    </row>
    <row r="63" spans="1:18" ht="26.25" customHeight="1" x14ac:dyDescent="0.2">
      <c r="A63" s="627" t="s">
        <v>24</v>
      </c>
      <c r="B63" s="614" t="s">
        <v>20</v>
      </c>
      <c r="C63" s="628" t="s">
        <v>20</v>
      </c>
      <c r="D63" s="629" t="s">
        <v>57</v>
      </c>
      <c r="E63" s="597" t="s">
        <v>4</v>
      </c>
      <c r="F63" s="596" t="s">
        <v>21</v>
      </c>
      <c r="G63" s="221">
        <v>5</v>
      </c>
      <c r="H63" s="24"/>
      <c r="I63" s="355"/>
      <c r="J63" s="281"/>
      <c r="K63" s="281"/>
      <c r="L63" s="281"/>
      <c r="M63" s="31"/>
      <c r="N63" s="37"/>
      <c r="O63" s="615"/>
      <c r="P63" s="148"/>
      <c r="Q63" s="87"/>
      <c r="R63" s="98"/>
    </row>
    <row r="64" spans="1:18" s="4" customFormat="1" ht="12.75" customHeight="1" x14ac:dyDescent="0.2">
      <c r="A64" s="147"/>
      <c r="B64" s="606"/>
      <c r="C64" s="613"/>
      <c r="D64" s="3195" t="s">
        <v>222</v>
      </c>
      <c r="E64" s="609" t="s">
        <v>58</v>
      </c>
      <c r="F64" s="599"/>
      <c r="G64" s="222"/>
      <c r="H64" s="24" t="s">
        <v>22</v>
      </c>
      <c r="I64" s="355">
        <f>J64+L64</f>
        <v>114.3</v>
      </c>
      <c r="J64" s="281"/>
      <c r="K64" s="281"/>
      <c r="L64" s="281">
        <v>114.3</v>
      </c>
      <c r="M64" s="524"/>
      <c r="N64" s="10"/>
      <c r="O64" s="3212" t="s">
        <v>103</v>
      </c>
      <c r="P64" s="148">
        <v>100</v>
      </c>
      <c r="Q64" s="87"/>
      <c r="R64" s="100"/>
    </row>
    <row r="65" spans="1:18" s="4" customFormat="1" ht="12.75" customHeight="1" x14ac:dyDescent="0.2">
      <c r="A65" s="147"/>
      <c r="B65" s="606"/>
      <c r="C65" s="613"/>
      <c r="D65" s="3196"/>
      <c r="E65" s="609"/>
      <c r="F65" s="599"/>
      <c r="G65" s="222"/>
      <c r="H65" s="24" t="s">
        <v>5</v>
      </c>
      <c r="I65" s="355"/>
      <c r="J65" s="281"/>
      <c r="K65" s="281"/>
      <c r="L65" s="281"/>
      <c r="M65" s="524"/>
      <c r="N65" s="10"/>
      <c r="O65" s="3213"/>
      <c r="P65" s="622"/>
      <c r="Q65" s="88"/>
      <c r="R65" s="101"/>
    </row>
    <row r="66" spans="1:18" s="4" customFormat="1" ht="14.25" customHeight="1" x14ac:dyDescent="0.2">
      <c r="A66" s="147"/>
      <c r="B66" s="606"/>
      <c r="C66" s="613"/>
      <c r="D66" s="3196"/>
      <c r="E66" s="609"/>
      <c r="F66" s="599"/>
      <c r="G66" s="222"/>
      <c r="H66" s="24" t="s">
        <v>6</v>
      </c>
      <c r="I66" s="279">
        <f>J66+L66</f>
        <v>1178.9000000000001</v>
      </c>
      <c r="J66" s="281">
        <v>23</v>
      </c>
      <c r="K66" s="281">
        <v>18.5</v>
      </c>
      <c r="L66" s="281">
        <v>1155.9000000000001</v>
      </c>
      <c r="M66" s="524"/>
      <c r="N66" s="10"/>
      <c r="O66" s="3214"/>
      <c r="P66" s="622"/>
      <c r="Q66" s="88"/>
      <c r="R66" s="101"/>
    </row>
    <row r="67" spans="1:18" s="4" customFormat="1" ht="12.75" customHeight="1" x14ac:dyDescent="0.2">
      <c r="A67" s="147"/>
      <c r="B67" s="606"/>
      <c r="C67" s="613"/>
      <c r="D67" s="3197"/>
      <c r="E67" s="609"/>
      <c r="F67" s="599"/>
      <c r="G67" s="222"/>
      <c r="H67" s="362" t="s">
        <v>23</v>
      </c>
      <c r="I67" s="334">
        <f>SUM(I64:I66)</f>
        <v>1293.2</v>
      </c>
      <c r="J67" s="333">
        <f>SUM(J64:J66)</f>
        <v>23</v>
      </c>
      <c r="K67" s="333">
        <f>SUM(K64:K66)</f>
        <v>18.5</v>
      </c>
      <c r="L67" s="306">
        <f>SUM(L64:L66)</f>
        <v>1270.2</v>
      </c>
      <c r="M67" s="581"/>
      <c r="N67" s="425"/>
      <c r="O67" s="67"/>
      <c r="P67" s="89"/>
      <c r="Q67" s="90"/>
      <c r="R67" s="102"/>
    </row>
    <row r="68" spans="1:18" s="4" customFormat="1" ht="13.5" customHeight="1" x14ac:dyDescent="0.2">
      <c r="A68" s="147"/>
      <c r="B68" s="606"/>
      <c r="C68" s="613"/>
      <c r="D68" s="3195" t="s">
        <v>178</v>
      </c>
      <c r="E68" s="609"/>
      <c r="F68" s="599"/>
      <c r="G68" s="222"/>
      <c r="H68" s="379" t="s">
        <v>7</v>
      </c>
      <c r="I68" s="355">
        <f>J68+L68</f>
        <v>56.9</v>
      </c>
      <c r="J68" s="281"/>
      <c r="K68" s="281"/>
      <c r="L68" s="281">
        <v>56.9</v>
      </c>
      <c r="M68" s="524"/>
      <c r="N68" s="10"/>
      <c r="O68" s="3212" t="s">
        <v>219</v>
      </c>
      <c r="P68" s="148">
        <v>100</v>
      </c>
      <c r="Q68" s="87"/>
      <c r="R68" s="100"/>
    </row>
    <row r="69" spans="1:18" s="4" customFormat="1" ht="13.5" customHeight="1" x14ac:dyDescent="0.2">
      <c r="A69" s="147"/>
      <c r="B69" s="606"/>
      <c r="C69" s="613"/>
      <c r="D69" s="3196"/>
      <c r="E69" s="609"/>
      <c r="F69" s="599"/>
      <c r="G69" s="222"/>
      <c r="H69" s="24" t="s">
        <v>6</v>
      </c>
      <c r="I69" s="355">
        <f>J69+L69</f>
        <v>539.70000000000005</v>
      </c>
      <c r="J69" s="281">
        <v>5</v>
      </c>
      <c r="K69" s="281">
        <v>3.8</v>
      </c>
      <c r="L69" s="281">
        <v>534.70000000000005</v>
      </c>
      <c r="M69" s="524"/>
      <c r="N69" s="10"/>
      <c r="O69" s="3213"/>
      <c r="P69" s="622"/>
      <c r="Q69" s="88"/>
      <c r="R69" s="101"/>
    </row>
    <row r="70" spans="1:18" s="4" customFormat="1" ht="13.5" customHeight="1" x14ac:dyDescent="0.2">
      <c r="A70" s="147"/>
      <c r="B70" s="606"/>
      <c r="C70" s="613"/>
      <c r="D70" s="3197"/>
      <c r="E70" s="609"/>
      <c r="F70" s="599"/>
      <c r="G70" s="222"/>
      <c r="H70" s="362" t="s">
        <v>23</v>
      </c>
      <c r="I70" s="334">
        <f>SUM(I68:I69)</f>
        <v>596.6</v>
      </c>
      <c r="J70" s="333">
        <f>SUM(J68:J69)</f>
        <v>5</v>
      </c>
      <c r="K70" s="333">
        <f>SUM(K68:K69)</f>
        <v>3.8</v>
      </c>
      <c r="L70" s="306">
        <f>SUM(L68:L69)</f>
        <v>591.6</v>
      </c>
      <c r="M70" s="581"/>
      <c r="N70" s="425"/>
      <c r="O70" s="616" t="s">
        <v>220</v>
      </c>
      <c r="P70" s="89"/>
      <c r="Q70" s="90"/>
      <c r="R70" s="102"/>
    </row>
    <row r="71" spans="1:18" s="4" customFormat="1" ht="17.25" customHeight="1" x14ac:dyDescent="0.2">
      <c r="A71" s="147"/>
      <c r="B71" s="606"/>
      <c r="C71" s="613"/>
      <c r="D71" s="3195" t="s">
        <v>179</v>
      </c>
      <c r="E71" s="609"/>
      <c r="F71" s="599"/>
      <c r="G71" s="222"/>
      <c r="H71" s="24" t="s">
        <v>22</v>
      </c>
      <c r="I71" s="355">
        <f>J71+L71</f>
        <v>168.4</v>
      </c>
      <c r="J71" s="281"/>
      <c r="K71" s="281"/>
      <c r="L71" s="281">
        <v>168.4</v>
      </c>
      <c r="M71" s="524"/>
      <c r="N71" s="10"/>
      <c r="O71" s="3097" t="s">
        <v>217</v>
      </c>
      <c r="P71" s="3086">
        <v>100</v>
      </c>
      <c r="Q71" s="3086"/>
      <c r="R71" s="164"/>
    </row>
    <row r="72" spans="1:18" s="4" customFormat="1" ht="13.5" customHeight="1" x14ac:dyDescent="0.2">
      <c r="A72" s="147"/>
      <c r="B72" s="606"/>
      <c r="C72" s="146"/>
      <c r="D72" s="3196"/>
      <c r="E72" s="609"/>
      <c r="F72" s="599"/>
      <c r="G72" s="222"/>
      <c r="H72" s="515" t="s">
        <v>23</v>
      </c>
      <c r="I72" s="303">
        <f>SUM(I71:I71)</f>
        <v>168.4</v>
      </c>
      <c r="J72" s="302"/>
      <c r="K72" s="302"/>
      <c r="L72" s="302">
        <f>SUM(L71:L71)</f>
        <v>168.4</v>
      </c>
      <c r="M72" s="589"/>
      <c r="N72" s="426"/>
      <c r="O72" s="2924"/>
      <c r="P72" s="3087"/>
      <c r="Q72" s="3087"/>
      <c r="R72" s="166"/>
    </row>
    <row r="73" spans="1:18" ht="13.5" customHeight="1" x14ac:dyDescent="0.2">
      <c r="A73" s="147"/>
      <c r="B73" s="606"/>
      <c r="C73" s="598"/>
      <c r="D73" s="3195" t="s">
        <v>180</v>
      </c>
      <c r="E73" s="467"/>
      <c r="F73" s="599"/>
      <c r="G73" s="222"/>
      <c r="H73" s="12" t="s">
        <v>5</v>
      </c>
      <c r="I73" s="355">
        <f>J73+L73</f>
        <v>0.2</v>
      </c>
      <c r="J73" s="280"/>
      <c r="K73" s="280"/>
      <c r="L73" s="356">
        <v>0.2</v>
      </c>
      <c r="M73" s="31"/>
      <c r="N73" s="37"/>
      <c r="O73" s="3217" t="s">
        <v>158</v>
      </c>
      <c r="P73" s="148">
        <v>100</v>
      </c>
      <c r="Q73" s="87"/>
      <c r="R73" s="98"/>
    </row>
    <row r="74" spans="1:18" ht="13.5" customHeight="1" x14ac:dyDescent="0.2">
      <c r="A74" s="147"/>
      <c r="B74" s="606"/>
      <c r="C74" s="598"/>
      <c r="D74" s="3196"/>
      <c r="E74" s="467"/>
      <c r="F74" s="599"/>
      <c r="G74" s="222"/>
      <c r="H74" s="623" t="s">
        <v>6</v>
      </c>
      <c r="I74" s="263">
        <f>J74+L74</f>
        <v>1.3</v>
      </c>
      <c r="J74" s="264"/>
      <c r="K74" s="264"/>
      <c r="L74" s="265">
        <v>1.3</v>
      </c>
      <c r="M74" s="507"/>
      <c r="N74" s="10"/>
      <c r="O74" s="3218"/>
      <c r="P74" s="622"/>
      <c r="Q74" s="88"/>
      <c r="R74" s="621"/>
    </row>
    <row r="75" spans="1:18" ht="13.5" customHeight="1" thickBot="1" x14ac:dyDescent="0.25">
      <c r="A75" s="601"/>
      <c r="B75" s="604"/>
      <c r="C75" s="594"/>
      <c r="D75" s="3083"/>
      <c r="E75" s="630"/>
      <c r="F75" s="595"/>
      <c r="G75" s="223"/>
      <c r="H75" s="631" t="s">
        <v>23</v>
      </c>
      <c r="I75" s="338">
        <f>J75+L75</f>
        <v>1.5</v>
      </c>
      <c r="J75" s="340"/>
      <c r="K75" s="340"/>
      <c r="L75" s="516">
        <f>SUM(L73:L74)</f>
        <v>1.5</v>
      </c>
      <c r="M75" s="591"/>
      <c r="N75" s="592"/>
      <c r="O75" s="3219"/>
      <c r="P75" s="618"/>
      <c r="Q75" s="80"/>
      <c r="R75" s="620"/>
    </row>
    <row r="76" spans="1:18" ht="13.5" customHeight="1" x14ac:dyDescent="0.2">
      <c r="A76" s="147"/>
      <c r="B76" s="459"/>
      <c r="C76" s="468"/>
      <c r="D76" s="3196" t="s">
        <v>192</v>
      </c>
      <c r="E76" s="249"/>
      <c r="F76" s="465"/>
      <c r="G76" s="222"/>
      <c r="H76" s="623" t="s">
        <v>53</v>
      </c>
      <c r="I76" s="263"/>
      <c r="J76" s="264"/>
      <c r="K76" s="264"/>
      <c r="L76" s="269"/>
      <c r="M76" s="507"/>
      <c r="N76" s="10"/>
      <c r="O76" s="3207" t="s">
        <v>169</v>
      </c>
      <c r="P76" s="622">
        <v>100</v>
      </c>
      <c r="Q76" s="88"/>
      <c r="R76" s="621"/>
    </row>
    <row r="77" spans="1:18" ht="13.5" customHeight="1" x14ac:dyDescent="0.2">
      <c r="A77" s="147"/>
      <c r="B77" s="552"/>
      <c r="C77" s="555"/>
      <c r="D77" s="3196"/>
      <c r="E77" s="544"/>
      <c r="F77" s="557"/>
      <c r="G77" s="222"/>
      <c r="H77" s="12" t="s">
        <v>5</v>
      </c>
      <c r="I77" s="263">
        <f t="shared" ref="I77:I84" si="7">J77+L77</f>
        <v>11.7</v>
      </c>
      <c r="J77" s="269"/>
      <c r="K77" s="269"/>
      <c r="L77" s="269">
        <v>11.7</v>
      </c>
      <c r="M77" s="507"/>
      <c r="N77" s="10"/>
      <c r="O77" s="3207"/>
      <c r="P77" s="577"/>
      <c r="Q77" s="88"/>
      <c r="R77" s="576"/>
    </row>
    <row r="78" spans="1:18" ht="13.5" customHeight="1" x14ac:dyDescent="0.2">
      <c r="A78" s="147"/>
      <c r="B78" s="552"/>
      <c r="C78" s="555"/>
      <c r="D78" s="3196"/>
      <c r="E78" s="544"/>
      <c r="F78" s="557"/>
      <c r="G78" s="222"/>
      <c r="H78" s="569" t="s">
        <v>6</v>
      </c>
      <c r="I78" s="355">
        <f t="shared" si="7"/>
        <v>66.099999999999994</v>
      </c>
      <c r="J78" s="281"/>
      <c r="K78" s="281"/>
      <c r="L78" s="281">
        <v>66.099999999999994</v>
      </c>
      <c r="M78" s="507"/>
      <c r="N78" s="10"/>
      <c r="O78" s="3207"/>
      <c r="P78" s="577"/>
      <c r="Q78" s="88"/>
      <c r="R78" s="576"/>
    </row>
    <row r="79" spans="1:18" ht="13.5" customHeight="1" x14ac:dyDescent="0.2">
      <c r="A79" s="147"/>
      <c r="B79" s="552"/>
      <c r="C79" s="555"/>
      <c r="D79" s="3197"/>
      <c r="E79" s="544"/>
      <c r="F79" s="557"/>
      <c r="G79" s="222"/>
      <c r="H79" s="381" t="s">
        <v>23</v>
      </c>
      <c r="I79" s="358">
        <f t="shared" si="7"/>
        <v>77.8</v>
      </c>
      <c r="J79" s="307"/>
      <c r="K79" s="307"/>
      <c r="L79" s="307">
        <f>SUM(L76:L78)</f>
        <v>77.8</v>
      </c>
      <c r="M79" s="581"/>
      <c r="N79" s="425"/>
      <c r="O79" s="3220"/>
      <c r="P79" s="149"/>
      <c r="Q79" s="92"/>
      <c r="R79" s="99"/>
    </row>
    <row r="80" spans="1:18" s="4" customFormat="1" ht="13.5" customHeight="1" x14ac:dyDescent="0.2">
      <c r="A80" s="147"/>
      <c r="B80" s="459"/>
      <c r="C80" s="468"/>
      <c r="D80" s="3195" t="s">
        <v>181</v>
      </c>
      <c r="E80" s="249"/>
      <c r="F80" s="465"/>
      <c r="G80" s="222"/>
      <c r="H80" s="378" t="s">
        <v>53</v>
      </c>
      <c r="I80" s="287">
        <f t="shared" si="7"/>
        <v>47</v>
      </c>
      <c r="J80" s="275"/>
      <c r="K80" s="275"/>
      <c r="L80" s="281">
        <v>47</v>
      </c>
      <c r="M80" s="507"/>
      <c r="N80" s="10"/>
      <c r="O80" s="3254" t="s">
        <v>159</v>
      </c>
      <c r="P80" s="2949">
        <v>100</v>
      </c>
      <c r="Q80" s="114"/>
      <c r="R80" s="100"/>
    </row>
    <row r="81" spans="1:18" s="4" customFormat="1" ht="13.5" customHeight="1" x14ac:dyDescent="0.2">
      <c r="A81" s="147"/>
      <c r="B81" s="552"/>
      <c r="C81" s="555"/>
      <c r="D81" s="3196"/>
      <c r="E81" s="544"/>
      <c r="F81" s="557"/>
      <c r="G81" s="222"/>
      <c r="H81" s="24" t="s">
        <v>5</v>
      </c>
      <c r="I81" s="355">
        <f t="shared" si="7"/>
        <v>15.8</v>
      </c>
      <c r="J81" s="281"/>
      <c r="K81" s="281"/>
      <c r="L81" s="281">
        <v>15.8</v>
      </c>
      <c r="M81" s="507"/>
      <c r="N81" s="10"/>
      <c r="O81" s="3255"/>
      <c r="P81" s="2950"/>
      <c r="Q81" s="81"/>
      <c r="R81" s="101"/>
    </row>
    <row r="82" spans="1:18" s="4" customFormat="1" ht="13.5" customHeight="1" x14ac:dyDescent="0.2">
      <c r="A82" s="147"/>
      <c r="B82" s="552"/>
      <c r="C82" s="555"/>
      <c r="D82" s="3196"/>
      <c r="E82" s="544"/>
      <c r="F82" s="557"/>
      <c r="G82" s="222"/>
      <c r="H82" s="24" t="s">
        <v>6</v>
      </c>
      <c r="I82" s="355">
        <f t="shared" si="7"/>
        <v>89.2</v>
      </c>
      <c r="J82" s="281"/>
      <c r="K82" s="281"/>
      <c r="L82" s="281">
        <v>89.2</v>
      </c>
      <c r="M82" s="507"/>
      <c r="N82" s="10"/>
      <c r="O82" s="3255"/>
      <c r="P82" s="2950"/>
      <c r="Q82" s="88"/>
      <c r="R82" s="101"/>
    </row>
    <row r="83" spans="1:18" s="4" customFormat="1" ht="13.5" customHeight="1" x14ac:dyDescent="0.2">
      <c r="A83" s="147"/>
      <c r="B83" s="459"/>
      <c r="C83" s="468"/>
      <c r="D83" s="3197"/>
      <c r="E83" s="642"/>
      <c r="F83" s="637"/>
      <c r="G83" s="222"/>
      <c r="H83" s="582" t="s">
        <v>23</v>
      </c>
      <c r="I83" s="583">
        <f t="shared" si="7"/>
        <v>152</v>
      </c>
      <c r="J83" s="584"/>
      <c r="K83" s="584"/>
      <c r="L83" s="584">
        <f>SUM(L80:L82)</f>
        <v>152</v>
      </c>
      <c r="M83" s="589"/>
      <c r="N83" s="426"/>
      <c r="O83" s="3255"/>
      <c r="P83" s="2950"/>
      <c r="Q83" s="590"/>
      <c r="R83" s="101"/>
    </row>
    <row r="84" spans="1:18" ht="13.5" customHeight="1" x14ac:dyDescent="0.2">
      <c r="A84" s="147"/>
      <c r="B84" s="459"/>
      <c r="C84" s="441"/>
      <c r="D84" s="3195" t="s">
        <v>69</v>
      </c>
      <c r="E84" s="467"/>
      <c r="F84" s="637"/>
      <c r="G84" s="222"/>
      <c r="H84" s="169" t="s">
        <v>53</v>
      </c>
      <c r="I84" s="287">
        <f t="shared" si="7"/>
        <v>24.8</v>
      </c>
      <c r="J84" s="273"/>
      <c r="K84" s="273"/>
      <c r="L84" s="275">
        <v>24.8</v>
      </c>
      <c r="M84" s="31"/>
      <c r="N84" s="37"/>
      <c r="O84" s="2941" t="s">
        <v>159</v>
      </c>
      <c r="P84" s="570">
        <v>100</v>
      </c>
      <c r="Q84" s="163"/>
      <c r="R84" s="164"/>
    </row>
    <row r="85" spans="1:18" ht="13.5" customHeight="1" x14ac:dyDescent="0.2">
      <c r="A85" s="147"/>
      <c r="B85" s="459"/>
      <c r="C85" s="441"/>
      <c r="D85" s="3196"/>
      <c r="E85" s="544"/>
      <c r="F85" s="557"/>
      <c r="G85" s="222"/>
      <c r="H85" s="169" t="s">
        <v>6</v>
      </c>
      <c r="I85" s="287"/>
      <c r="J85" s="273"/>
      <c r="K85" s="273"/>
      <c r="L85" s="275"/>
      <c r="M85" s="507"/>
      <c r="N85" s="10"/>
      <c r="O85" s="2942"/>
      <c r="P85" s="165"/>
      <c r="Q85" s="563"/>
      <c r="R85" s="166"/>
    </row>
    <row r="86" spans="1:18" ht="13.5" customHeight="1" x14ac:dyDescent="0.2">
      <c r="A86" s="147"/>
      <c r="B86" s="552"/>
      <c r="C86" s="567"/>
      <c r="D86" s="3196"/>
      <c r="E86" s="544"/>
      <c r="F86" s="557"/>
      <c r="G86" s="222"/>
      <c r="H86" s="342" t="s">
        <v>23</v>
      </c>
      <c r="I86" s="360">
        <f>J86+L86</f>
        <v>24.8</v>
      </c>
      <c r="J86" s="294"/>
      <c r="K86" s="294"/>
      <c r="L86" s="363">
        <f>SUM(L84:L85)</f>
        <v>24.8</v>
      </c>
      <c r="M86" s="364"/>
      <c r="N86" s="361"/>
      <c r="O86" s="167"/>
      <c r="P86" s="548"/>
      <c r="Q86" s="563"/>
      <c r="R86" s="166"/>
    </row>
    <row r="87" spans="1:18" ht="13.5" customHeight="1" thickBot="1" x14ac:dyDescent="0.25">
      <c r="A87" s="147"/>
      <c r="B87" s="552"/>
      <c r="C87" s="565"/>
      <c r="D87" s="3083"/>
      <c r="E87" s="2927" t="s">
        <v>218</v>
      </c>
      <c r="F87" s="2928"/>
      <c r="G87" s="2928"/>
      <c r="H87" s="2929"/>
      <c r="I87" s="291">
        <f t="shared" ref="I87:N87" si="8">I86+I83+I79+I75+I72+I70+I67</f>
        <v>2314.3000000000002</v>
      </c>
      <c r="J87" s="292">
        <f t="shared" si="8"/>
        <v>28</v>
      </c>
      <c r="K87" s="291">
        <f t="shared" si="8"/>
        <v>22.3</v>
      </c>
      <c r="L87" s="313">
        <f t="shared" si="8"/>
        <v>2286.3000000000002</v>
      </c>
      <c r="M87" s="300">
        <f t="shared" si="8"/>
        <v>0</v>
      </c>
      <c r="N87" s="301">
        <f t="shared" si="8"/>
        <v>0</v>
      </c>
      <c r="O87" s="522"/>
      <c r="P87" s="446"/>
      <c r="Q87" s="523"/>
      <c r="R87" s="383"/>
    </row>
    <row r="88" spans="1:18" ht="27.75" customHeight="1" x14ac:dyDescent="0.2">
      <c r="A88" s="600" t="s">
        <v>24</v>
      </c>
      <c r="B88" s="603" t="s">
        <v>20</v>
      </c>
      <c r="C88" s="593" t="s">
        <v>24</v>
      </c>
      <c r="D88" s="126" t="s">
        <v>46</v>
      </c>
      <c r="E88" s="525" t="s">
        <v>4</v>
      </c>
      <c r="F88" s="612" t="s">
        <v>21</v>
      </c>
      <c r="G88" s="124">
        <v>5</v>
      </c>
      <c r="H88" s="526"/>
      <c r="I88" s="276"/>
      <c r="J88" s="277"/>
      <c r="K88" s="277"/>
      <c r="L88" s="276"/>
      <c r="M88" s="22"/>
      <c r="N88" s="19"/>
      <c r="O88" s="104"/>
      <c r="P88" s="617"/>
      <c r="Q88" s="86"/>
      <c r="R88" s="619"/>
    </row>
    <row r="89" spans="1:18" s="4" customFormat="1" ht="23.25" customHeight="1" x14ac:dyDescent="0.2">
      <c r="A89" s="147"/>
      <c r="B89" s="606"/>
      <c r="C89" s="613"/>
      <c r="D89" s="3233" t="s">
        <v>182</v>
      </c>
      <c r="E89" s="609"/>
      <c r="F89" s="599"/>
      <c r="G89" s="222"/>
      <c r="H89" s="170" t="s">
        <v>53</v>
      </c>
      <c r="I89" s="282">
        <f>J89+L89</f>
        <v>725.7</v>
      </c>
      <c r="J89" s="280"/>
      <c r="K89" s="280"/>
      <c r="L89" s="282">
        <v>725.7</v>
      </c>
      <c r="M89" s="123"/>
      <c r="N89" s="35"/>
      <c r="O89" s="3217" t="s">
        <v>155</v>
      </c>
      <c r="P89" s="148"/>
      <c r="Q89" s="87"/>
      <c r="R89" s="98"/>
    </row>
    <row r="90" spans="1:18" s="4" customFormat="1" ht="23.25" customHeight="1" x14ac:dyDescent="0.2">
      <c r="A90" s="147"/>
      <c r="B90" s="606"/>
      <c r="C90" s="613"/>
      <c r="D90" s="3234"/>
      <c r="E90" s="609"/>
      <c r="F90" s="599"/>
      <c r="G90" s="222"/>
      <c r="H90" s="624" t="s">
        <v>5</v>
      </c>
      <c r="I90" s="282">
        <f>J90+L90</f>
        <v>38.1</v>
      </c>
      <c r="J90" s="273"/>
      <c r="K90" s="273"/>
      <c r="L90" s="274">
        <v>38.1</v>
      </c>
      <c r="M90" s="31"/>
      <c r="N90" s="36"/>
      <c r="O90" s="3218"/>
      <c r="P90" s="622"/>
      <c r="Q90" s="88"/>
      <c r="R90" s="621"/>
    </row>
    <row r="91" spans="1:18" s="4" customFormat="1" ht="23.25" customHeight="1" x14ac:dyDescent="0.2">
      <c r="A91" s="147"/>
      <c r="B91" s="606"/>
      <c r="C91" s="613"/>
      <c r="D91" s="3234"/>
      <c r="E91" s="609"/>
      <c r="F91" s="599"/>
      <c r="G91" s="222"/>
      <c r="H91" s="624" t="s">
        <v>6</v>
      </c>
      <c r="I91" s="282">
        <f>J91+L91</f>
        <v>216.1</v>
      </c>
      <c r="J91" s="273"/>
      <c r="K91" s="273"/>
      <c r="L91" s="274">
        <v>216.1</v>
      </c>
      <c r="M91" s="31"/>
      <c r="N91" s="36"/>
      <c r="O91" s="3218"/>
      <c r="P91" s="622"/>
      <c r="Q91" s="88"/>
      <c r="R91" s="621"/>
    </row>
    <row r="92" spans="1:18" s="4" customFormat="1" ht="23.25" customHeight="1" x14ac:dyDescent="0.2">
      <c r="A92" s="147"/>
      <c r="B92" s="606"/>
      <c r="C92" s="613"/>
      <c r="D92" s="3235"/>
      <c r="E92" s="609"/>
      <c r="F92" s="599"/>
      <c r="G92" s="222"/>
      <c r="H92" s="342" t="s">
        <v>23</v>
      </c>
      <c r="I92" s="345">
        <f>I91+I90+I89+I88</f>
        <v>979.90000000000009</v>
      </c>
      <c r="J92" s="344">
        <f>J91+J90+J89+J88</f>
        <v>0</v>
      </c>
      <c r="K92" s="344">
        <f>K91+K90+K89+K88</f>
        <v>0</v>
      </c>
      <c r="L92" s="345">
        <f>L91+L90+L89+L88</f>
        <v>979.90000000000009</v>
      </c>
      <c r="M92" s="589"/>
      <c r="N92" s="274"/>
      <c r="O92" s="3218"/>
      <c r="P92" s="622">
        <v>100</v>
      </c>
      <c r="Q92" s="88"/>
      <c r="R92" s="621"/>
    </row>
    <row r="93" spans="1:18" s="4" customFormat="1" ht="21" customHeight="1" x14ac:dyDescent="0.2">
      <c r="A93" s="147"/>
      <c r="B93" s="606"/>
      <c r="C93" s="613"/>
      <c r="D93" s="3233" t="s">
        <v>193</v>
      </c>
      <c r="E93" s="609"/>
      <c r="F93" s="599"/>
      <c r="G93" s="222"/>
      <c r="H93" s="170" t="s">
        <v>53</v>
      </c>
      <c r="I93" s="282">
        <f>J93+L93</f>
        <v>362.1</v>
      </c>
      <c r="J93" s="280"/>
      <c r="K93" s="280"/>
      <c r="L93" s="282">
        <v>362.1</v>
      </c>
      <c r="M93" s="31"/>
      <c r="N93" s="37"/>
      <c r="O93" s="3217" t="s">
        <v>156</v>
      </c>
      <c r="P93" s="148"/>
      <c r="Q93" s="87"/>
      <c r="R93" s="98"/>
    </row>
    <row r="94" spans="1:18" s="4" customFormat="1" ht="21" customHeight="1" x14ac:dyDescent="0.2">
      <c r="A94" s="147"/>
      <c r="B94" s="606"/>
      <c r="C94" s="613"/>
      <c r="D94" s="3234"/>
      <c r="E94" s="609"/>
      <c r="F94" s="599"/>
      <c r="G94" s="222"/>
      <c r="H94" s="624" t="s">
        <v>5</v>
      </c>
      <c r="I94" s="282"/>
      <c r="J94" s="273"/>
      <c r="K94" s="273"/>
      <c r="L94" s="274"/>
      <c r="M94" s="507"/>
      <c r="N94" s="10"/>
      <c r="O94" s="3218"/>
      <c r="P94" s="622"/>
      <c r="Q94" s="88"/>
      <c r="R94" s="621"/>
    </row>
    <row r="95" spans="1:18" s="4" customFormat="1" ht="21" customHeight="1" x14ac:dyDescent="0.2">
      <c r="A95" s="147"/>
      <c r="B95" s="606"/>
      <c r="C95" s="613"/>
      <c r="D95" s="3234"/>
      <c r="E95" s="609"/>
      <c r="F95" s="599"/>
      <c r="G95" s="222"/>
      <c r="H95" s="624" t="s">
        <v>170</v>
      </c>
      <c r="I95" s="282">
        <f>J95+L95</f>
        <v>1389.2</v>
      </c>
      <c r="J95" s="273"/>
      <c r="K95" s="273"/>
      <c r="L95" s="274">
        <v>1389.2</v>
      </c>
      <c r="M95" s="524"/>
      <c r="N95" s="10"/>
      <c r="O95" s="3218"/>
      <c r="P95" s="622"/>
      <c r="Q95" s="88"/>
      <c r="R95" s="621"/>
    </row>
    <row r="96" spans="1:18" s="4" customFormat="1" ht="18.75" customHeight="1" x14ac:dyDescent="0.2">
      <c r="A96" s="147"/>
      <c r="B96" s="606"/>
      <c r="C96" s="146"/>
      <c r="D96" s="3234"/>
      <c r="E96" s="609"/>
      <c r="F96" s="599"/>
      <c r="G96" s="222"/>
      <c r="H96" s="342" t="s">
        <v>23</v>
      </c>
      <c r="I96" s="345">
        <f>SUM(I93:I95)</f>
        <v>1751.3000000000002</v>
      </c>
      <c r="J96" s="344">
        <f>J95+J94+J93+J92</f>
        <v>0</v>
      </c>
      <c r="K96" s="344">
        <f>K95+K94+K93+K92</f>
        <v>0</v>
      </c>
      <c r="L96" s="345">
        <f>SUM(L93:L95)</f>
        <v>1751.3000000000002</v>
      </c>
      <c r="M96" s="589"/>
      <c r="N96" s="426"/>
      <c r="O96" s="3218"/>
      <c r="P96" s="622">
        <v>100</v>
      </c>
      <c r="Q96" s="88"/>
      <c r="R96" s="621"/>
    </row>
    <row r="97" spans="1:19" ht="26.25" customHeight="1" x14ac:dyDescent="0.2">
      <c r="A97" s="147"/>
      <c r="B97" s="606"/>
      <c r="C97" s="598"/>
      <c r="D97" s="607" t="s">
        <v>183</v>
      </c>
      <c r="E97" s="467"/>
      <c r="F97" s="599"/>
      <c r="G97" s="610"/>
      <c r="H97" s="12" t="s">
        <v>22</v>
      </c>
      <c r="I97" s="282">
        <f>J97+L97</f>
        <v>100</v>
      </c>
      <c r="J97" s="280"/>
      <c r="K97" s="280"/>
      <c r="L97" s="282">
        <v>100</v>
      </c>
      <c r="M97" s="121">
        <v>900</v>
      </c>
      <c r="N97" s="36">
        <v>600</v>
      </c>
      <c r="O97" s="578" t="s">
        <v>165</v>
      </c>
      <c r="P97" s="579"/>
      <c r="Q97" s="579">
        <v>1</v>
      </c>
      <c r="R97" s="580" t="s">
        <v>216</v>
      </c>
    </row>
    <row r="98" spans="1:19" ht="14.25" customHeight="1" x14ac:dyDescent="0.2">
      <c r="A98" s="147"/>
      <c r="B98" s="606"/>
      <c r="C98" s="598"/>
      <c r="D98" s="608"/>
      <c r="E98" s="467"/>
      <c r="F98" s="599"/>
      <c r="G98" s="222"/>
      <c r="H98" s="625" t="s">
        <v>6</v>
      </c>
      <c r="I98" s="274"/>
      <c r="J98" s="273"/>
      <c r="K98" s="273"/>
      <c r="L98" s="274"/>
      <c r="M98" s="55"/>
      <c r="N98" s="35">
        <v>3400</v>
      </c>
      <c r="O98" s="3217" t="s">
        <v>164</v>
      </c>
      <c r="P98" s="91"/>
      <c r="Q98" s="88">
        <v>20</v>
      </c>
      <c r="R98" s="621">
        <v>80</v>
      </c>
    </row>
    <row r="99" spans="1:19" ht="14.25" customHeight="1" thickBot="1" x14ac:dyDescent="0.25">
      <c r="A99" s="601"/>
      <c r="B99" s="604"/>
      <c r="C99" s="594"/>
      <c r="D99" s="611"/>
      <c r="E99" s="630"/>
      <c r="F99" s="595"/>
      <c r="G99" s="223"/>
      <c r="H99" s="298" t="s">
        <v>23</v>
      </c>
      <c r="I99" s="317">
        <f>J99+L99</f>
        <v>100</v>
      </c>
      <c r="J99" s="320"/>
      <c r="K99" s="320"/>
      <c r="L99" s="317">
        <f>SUM(L97:L98)</f>
        <v>100</v>
      </c>
      <c r="M99" s="315">
        <f>SUM(M97:M98)</f>
        <v>900</v>
      </c>
      <c r="N99" s="316">
        <f>SUM(N97:N98)</f>
        <v>4000</v>
      </c>
      <c r="O99" s="3219"/>
      <c r="P99" s="618"/>
      <c r="Q99" s="80"/>
      <c r="R99" s="620"/>
    </row>
    <row r="100" spans="1:19" ht="12" customHeight="1" x14ac:dyDescent="0.2">
      <c r="A100" s="147"/>
      <c r="B100" s="552"/>
      <c r="C100" s="567"/>
      <c r="D100" s="3232" t="s">
        <v>174</v>
      </c>
      <c r="E100" s="527"/>
      <c r="F100" s="557"/>
      <c r="G100" s="222"/>
      <c r="H100" s="623" t="s">
        <v>6</v>
      </c>
      <c r="I100" s="351"/>
      <c r="J100" s="352"/>
      <c r="K100" s="352"/>
      <c r="L100" s="632"/>
      <c r="M100" s="109"/>
      <c r="N100" s="110">
        <v>100</v>
      </c>
      <c r="O100" s="633" t="s">
        <v>148</v>
      </c>
      <c r="P100" s="528"/>
      <c r="Q100" s="634"/>
      <c r="R100" s="477">
        <v>1</v>
      </c>
      <c r="S100" s="108"/>
    </row>
    <row r="101" spans="1:19" ht="12" customHeight="1" x14ac:dyDescent="0.2">
      <c r="A101" s="550"/>
      <c r="B101" s="552"/>
      <c r="C101" s="567"/>
      <c r="D101" s="3232"/>
      <c r="E101" s="478"/>
      <c r="F101" s="557"/>
      <c r="G101" s="545"/>
      <c r="H101" s="380" t="s">
        <v>23</v>
      </c>
      <c r="I101" s="482"/>
      <c r="J101" s="481"/>
      <c r="K101" s="481"/>
      <c r="L101" s="480"/>
      <c r="M101" s="587"/>
      <c r="N101" s="586">
        <f>N100</f>
        <v>100</v>
      </c>
      <c r="O101" s="483"/>
      <c r="P101" s="577"/>
      <c r="Q101" s="88"/>
      <c r="R101" s="576"/>
    </row>
    <row r="102" spans="1:19" ht="13.5" customHeight="1" thickBot="1" x14ac:dyDescent="0.25">
      <c r="A102" s="549"/>
      <c r="B102" s="562"/>
      <c r="C102" s="227"/>
      <c r="D102" s="558"/>
      <c r="E102" s="2927" t="s">
        <v>218</v>
      </c>
      <c r="F102" s="2928"/>
      <c r="G102" s="2928"/>
      <c r="H102" s="2929"/>
      <c r="I102" s="321">
        <f>I101+I99+I96+I92</f>
        <v>2831.2000000000003</v>
      </c>
      <c r="J102" s="320">
        <f t="shared" ref="J102:N102" si="9">J101+J99+J96+J92</f>
        <v>0</v>
      </c>
      <c r="K102" s="320">
        <f t="shared" si="9"/>
        <v>0</v>
      </c>
      <c r="L102" s="317">
        <f t="shared" si="9"/>
        <v>2831.2000000000003</v>
      </c>
      <c r="M102" s="321">
        <f t="shared" si="9"/>
        <v>900</v>
      </c>
      <c r="N102" s="321">
        <f t="shared" si="9"/>
        <v>4100</v>
      </c>
      <c r="O102" s="68"/>
      <c r="P102" s="573"/>
      <c r="Q102" s="80"/>
      <c r="R102" s="575"/>
    </row>
    <row r="103" spans="1:19" ht="27" customHeight="1" x14ac:dyDescent="0.2">
      <c r="A103" s="147" t="s">
        <v>24</v>
      </c>
      <c r="B103" s="389" t="s">
        <v>20</v>
      </c>
      <c r="C103" s="154" t="s">
        <v>26</v>
      </c>
      <c r="D103" s="127" t="s">
        <v>52</v>
      </c>
      <c r="E103" s="544"/>
      <c r="F103" s="220"/>
      <c r="G103" s="566"/>
      <c r="H103" s="427"/>
      <c r="I103" s="325"/>
      <c r="J103" s="290"/>
      <c r="K103" s="290"/>
      <c r="L103" s="326"/>
      <c r="M103" s="40"/>
      <c r="N103" s="40"/>
      <c r="O103" s="588"/>
      <c r="P103" s="577"/>
      <c r="Q103" s="88"/>
      <c r="R103" s="576"/>
    </row>
    <row r="104" spans="1:19" ht="36.75" customHeight="1" x14ac:dyDescent="0.2">
      <c r="A104" s="147"/>
      <c r="B104" s="389"/>
      <c r="C104" s="154"/>
      <c r="D104" s="3196" t="s">
        <v>194</v>
      </c>
      <c r="E104" s="488" t="s">
        <v>127</v>
      </c>
      <c r="F104" s="3100" t="s">
        <v>21</v>
      </c>
      <c r="G104" s="3101">
        <v>2</v>
      </c>
      <c r="H104" s="414" t="s">
        <v>22</v>
      </c>
      <c r="I104" s="351">
        <f>J104+L104</f>
        <v>75</v>
      </c>
      <c r="J104" s="352">
        <v>75</v>
      </c>
      <c r="K104" s="352"/>
      <c r="L104" s="353"/>
      <c r="M104" s="109"/>
      <c r="N104" s="110"/>
      <c r="O104" s="2924" t="s">
        <v>147</v>
      </c>
      <c r="P104" s="463">
        <v>1</v>
      </c>
      <c r="Q104" s="88"/>
      <c r="R104" s="460"/>
    </row>
    <row r="105" spans="1:19" ht="13.5" customHeight="1" thickBot="1" x14ac:dyDescent="0.25">
      <c r="A105" s="147"/>
      <c r="B105" s="459"/>
      <c r="C105" s="154"/>
      <c r="D105" s="3196"/>
      <c r="E105" s="636" t="s">
        <v>60</v>
      </c>
      <c r="F105" s="3100"/>
      <c r="G105" s="3101"/>
      <c r="H105" s="342" t="s">
        <v>23</v>
      </c>
      <c r="I105" s="343">
        <f>J105+L105</f>
        <v>75</v>
      </c>
      <c r="J105" s="344">
        <f>J104</f>
        <v>75</v>
      </c>
      <c r="K105" s="344">
        <f>K104</f>
        <v>0</v>
      </c>
      <c r="L105" s="348">
        <f>L104</f>
        <v>0</v>
      </c>
      <c r="M105" s="350">
        <f>SUM(M104)</f>
        <v>0</v>
      </c>
      <c r="N105" s="349">
        <f>SUM(N104)</f>
        <v>0</v>
      </c>
      <c r="O105" s="3200"/>
      <c r="P105" s="82"/>
      <c r="Q105" s="79"/>
      <c r="R105" s="453"/>
    </row>
    <row r="106" spans="1:19" ht="39" customHeight="1" x14ac:dyDescent="0.2">
      <c r="A106" s="394" t="s">
        <v>24</v>
      </c>
      <c r="B106" s="390" t="s">
        <v>20</v>
      </c>
      <c r="C106" s="404" t="s">
        <v>28</v>
      </c>
      <c r="D106" s="2925" t="s">
        <v>208</v>
      </c>
      <c r="E106" s="3078"/>
      <c r="F106" s="198" t="s">
        <v>21</v>
      </c>
      <c r="G106" s="199">
        <v>6</v>
      </c>
      <c r="H106" s="415"/>
      <c r="I106" s="322"/>
      <c r="J106" s="323"/>
      <c r="K106" s="323"/>
      <c r="L106" s="324"/>
      <c r="M106" s="62"/>
      <c r="N106" s="62"/>
      <c r="O106" s="2"/>
      <c r="P106" s="91"/>
      <c r="Q106" s="88"/>
      <c r="R106" s="401"/>
    </row>
    <row r="107" spans="1:19" ht="12.75" customHeight="1" x14ac:dyDescent="0.2">
      <c r="A107" s="147"/>
      <c r="B107" s="389"/>
      <c r="C107" s="406"/>
      <c r="D107" s="2926"/>
      <c r="E107" s="3157"/>
      <c r="F107" s="125"/>
      <c r="G107" s="408"/>
      <c r="H107" s="414" t="s">
        <v>22</v>
      </c>
      <c r="I107" s="325">
        <f>J107+L107</f>
        <v>800</v>
      </c>
      <c r="J107" s="290">
        <v>800</v>
      </c>
      <c r="K107" s="290"/>
      <c r="L107" s="326"/>
      <c r="M107" s="40"/>
      <c r="N107" s="40"/>
      <c r="O107" s="2924" t="s">
        <v>79</v>
      </c>
      <c r="P107" s="398">
        <v>4</v>
      </c>
      <c r="Q107" s="88"/>
      <c r="R107" s="401"/>
    </row>
    <row r="108" spans="1:19" ht="13.5" customHeight="1" x14ac:dyDescent="0.2">
      <c r="A108" s="147"/>
      <c r="B108" s="389"/>
      <c r="C108" s="406"/>
      <c r="D108" s="127" t="s">
        <v>209</v>
      </c>
      <c r="E108" s="3157"/>
      <c r="F108" s="125"/>
      <c r="G108" s="408"/>
      <c r="H108" s="12"/>
      <c r="I108" s="327"/>
      <c r="J108" s="328"/>
      <c r="K108" s="328"/>
      <c r="L108" s="329"/>
      <c r="M108" s="38"/>
      <c r="N108" s="38"/>
      <c r="O108" s="2924"/>
      <c r="P108" s="398"/>
      <c r="Q108" s="88"/>
      <c r="R108" s="401"/>
    </row>
    <row r="109" spans="1:19" ht="13.5" customHeight="1" x14ac:dyDescent="0.2">
      <c r="A109" s="147"/>
      <c r="B109" s="389"/>
      <c r="C109" s="406"/>
      <c r="D109" s="127" t="s">
        <v>210</v>
      </c>
      <c r="E109" s="3157"/>
      <c r="F109" s="125"/>
      <c r="G109" s="408"/>
      <c r="H109" s="414"/>
      <c r="I109" s="325"/>
      <c r="J109" s="290"/>
      <c r="K109" s="290"/>
      <c r="L109" s="326"/>
      <c r="M109" s="40"/>
      <c r="N109" s="40"/>
      <c r="O109" s="2924"/>
      <c r="P109" s="398"/>
      <c r="Q109" s="88"/>
      <c r="R109" s="401"/>
    </row>
    <row r="110" spans="1:19" ht="13.5" customHeight="1" x14ac:dyDescent="0.2">
      <c r="A110" s="147"/>
      <c r="B110" s="389"/>
      <c r="C110" s="406"/>
      <c r="D110" s="127" t="s">
        <v>211</v>
      </c>
      <c r="E110" s="3157"/>
      <c r="F110" s="125"/>
      <c r="G110" s="408"/>
      <c r="H110" s="12"/>
      <c r="I110" s="327"/>
      <c r="J110" s="328"/>
      <c r="K110" s="328"/>
      <c r="L110" s="329"/>
      <c r="M110" s="38"/>
      <c r="N110" s="38"/>
      <c r="O110" s="2924"/>
      <c r="P110" s="398"/>
      <c r="Q110" s="88"/>
      <c r="R110" s="401"/>
    </row>
    <row r="111" spans="1:19" ht="14.25" customHeight="1" thickBot="1" x14ac:dyDescent="0.25">
      <c r="A111" s="395"/>
      <c r="B111" s="391"/>
      <c r="C111" s="388"/>
      <c r="D111" s="127" t="s">
        <v>212</v>
      </c>
      <c r="E111" s="3079"/>
      <c r="F111" s="410"/>
      <c r="G111" s="150"/>
      <c r="H111" s="298" t="s">
        <v>23</v>
      </c>
      <c r="I111" s="299">
        <f>SUM(I107:I110)</f>
        <v>800</v>
      </c>
      <c r="J111" s="292">
        <f>SUM(J107:J110)</f>
        <v>800</v>
      </c>
      <c r="K111" s="320"/>
      <c r="L111" s="316"/>
      <c r="M111" s="315">
        <f>SUM(M106:M110)</f>
        <v>0</v>
      </c>
      <c r="N111" s="316">
        <f>SUM(N106:N110)</f>
        <v>0</v>
      </c>
      <c r="O111" s="69"/>
      <c r="P111" s="78"/>
      <c r="Q111" s="79"/>
      <c r="R111" s="402"/>
    </row>
    <row r="112" spans="1:19" ht="27" customHeight="1" x14ac:dyDescent="0.2">
      <c r="A112" s="456" t="s">
        <v>24</v>
      </c>
      <c r="B112" s="458" t="s">
        <v>20</v>
      </c>
      <c r="C112" s="593" t="s">
        <v>29</v>
      </c>
      <c r="D112" s="126" t="s">
        <v>195</v>
      </c>
      <c r="E112" s="3078" t="s">
        <v>128</v>
      </c>
      <c r="F112" s="3226" t="s">
        <v>21</v>
      </c>
      <c r="G112" s="171"/>
      <c r="H112" s="13"/>
      <c r="I112" s="330"/>
      <c r="J112" s="289"/>
      <c r="K112" s="289"/>
      <c r="L112" s="384"/>
      <c r="M112" s="7"/>
      <c r="N112" s="63"/>
      <c r="O112" s="521"/>
      <c r="P112" s="673"/>
      <c r="Q112" s="86"/>
      <c r="R112" s="674"/>
    </row>
    <row r="113" spans="1:18" ht="14.25" customHeight="1" x14ac:dyDescent="0.2">
      <c r="A113" s="147"/>
      <c r="B113" s="459"/>
      <c r="C113" s="598"/>
      <c r="D113" s="3238" t="s">
        <v>145</v>
      </c>
      <c r="E113" s="3157"/>
      <c r="F113" s="3100"/>
      <c r="G113" s="449">
        <v>2</v>
      </c>
      <c r="H113" s="431" t="s">
        <v>22</v>
      </c>
      <c r="I113" s="332">
        <f>J113+L113</f>
        <v>10</v>
      </c>
      <c r="J113" s="273">
        <v>10</v>
      </c>
      <c r="K113" s="273"/>
      <c r="L113" s="426"/>
      <c r="M113" s="36">
        <v>50</v>
      </c>
      <c r="N113" s="31">
        <v>50</v>
      </c>
      <c r="O113" s="3097" t="s">
        <v>126</v>
      </c>
      <c r="P113" s="664">
        <v>1</v>
      </c>
      <c r="Q113" s="87"/>
      <c r="R113" s="668"/>
    </row>
    <row r="114" spans="1:18" ht="15" customHeight="1" x14ac:dyDescent="0.2">
      <c r="A114" s="147"/>
      <c r="B114" s="552"/>
      <c r="C114" s="598"/>
      <c r="D114" s="2926"/>
      <c r="E114" s="3157"/>
      <c r="F114" s="3100"/>
      <c r="G114" s="672">
        <v>6</v>
      </c>
      <c r="H114" s="680" t="s">
        <v>22</v>
      </c>
      <c r="I114" s="332">
        <f>J114+L114</f>
        <v>450</v>
      </c>
      <c r="J114" s="273">
        <v>450</v>
      </c>
      <c r="K114" s="294"/>
      <c r="L114" s="361"/>
      <c r="M114" s="681"/>
      <c r="N114" s="682"/>
      <c r="O114" s="2924"/>
      <c r="P114" s="665"/>
      <c r="Q114" s="88"/>
      <c r="R114" s="671"/>
    </row>
    <row r="115" spans="1:18" ht="15" customHeight="1" thickBot="1" x14ac:dyDescent="0.25">
      <c r="A115" s="676"/>
      <c r="B115" s="655"/>
      <c r="C115" s="666"/>
      <c r="D115" s="670"/>
      <c r="E115" s="661"/>
      <c r="F115" s="125"/>
      <c r="G115" s="667"/>
      <c r="H115" s="298" t="s">
        <v>23</v>
      </c>
      <c r="I115" s="299">
        <f>SUM(I113:I114)</f>
        <v>460</v>
      </c>
      <c r="J115" s="292">
        <f t="shared" ref="J115:N115" si="10">SUM(J113:J114)</f>
        <v>460</v>
      </c>
      <c r="K115" s="292"/>
      <c r="L115" s="291"/>
      <c r="M115" s="299">
        <f t="shared" si="10"/>
        <v>50</v>
      </c>
      <c r="N115" s="299">
        <f t="shared" si="10"/>
        <v>50</v>
      </c>
      <c r="O115" s="663"/>
      <c r="P115" s="446"/>
      <c r="Q115" s="80"/>
      <c r="R115" s="669"/>
    </row>
    <row r="116" spans="1:18" ht="26.25" customHeight="1" x14ac:dyDescent="0.2">
      <c r="A116" s="147"/>
      <c r="B116" s="389"/>
      <c r="C116" s="406"/>
      <c r="D116" s="3082" t="s">
        <v>198</v>
      </c>
      <c r="E116" s="683" t="s">
        <v>4</v>
      </c>
      <c r="F116" s="659"/>
      <c r="G116" s="3198">
        <v>5</v>
      </c>
      <c r="H116" s="432" t="s">
        <v>7</v>
      </c>
      <c r="I116" s="517">
        <f>J116+L116</f>
        <v>50</v>
      </c>
      <c r="J116" s="264"/>
      <c r="K116" s="264"/>
      <c r="L116" s="518">
        <v>50</v>
      </c>
      <c r="M116" s="679">
        <v>1000</v>
      </c>
      <c r="N116" s="183"/>
      <c r="O116" s="519" t="s">
        <v>165</v>
      </c>
      <c r="P116" s="442"/>
      <c r="Q116" s="442">
        <v>1</v>
      </c>
      <c r="R116" s="520"/>
    </row>
    <row r="117" spans="1:18" ht="16.5" customHeight="1" x14ac:dyDescent="0.2">
      <c r="A117" s="147"/>
      <c r="B117" s="389"/>
      <c r="C117" s="406"/>
      <c r="D117" s="3196"/>
      <c r="E117" s="684" t="s">
        <v>227</v>
      </c>
      <c r="F117" s="660"/>
      <c r="G117" s="3199"/>
      <c r="H117" s="431" t="s">
        <v>22</v>
      </c>
      <c r="I117" s="332"/>
      <c r="J117" s="273"/>
      <c r="K117" s="273"/>
      <c r="L117" s="426"/>
      <c r="M117" s="36"/>
      <c r="N117" s="31">
        <v>1050</v>
      </c>
      <c r="O117" s="3206" t="s">
        <v>173</v>
      </c>
      <c r="P117" s="148"/>
      <c r="Q117" s="87">
        <v>20</v>
      </c>
      <c r="R117" s="437">
        <v>100</v>
      </c>
    </row>
    <row r="118" spans="1:18" ht="15" customHeight="1" x14ac:dyDescent="0.2">
      <c r="A118" s="457"/>
      <c r="B118" s="459"/>
      <c r="C118" s="441"/>
      <c r="D118" s="608"/>
      <c r="E118" s="478"/>
      <c r="F118" s="660"/>
      <c r="G118" s="662"/>
      <c r="H118" s="685" t="s">
        <v>23</v>
      </c>
      <c r="I118" s="303">
        <f>SUM(I116:I117)</f>
        <v>50</v>
      </c>
      <c r="J118" s="293"/>
      <c r="K118" s="293"/>
      <c r="L118" s="361">
        <f t="shared" ref="L118" si="11">SUM(L113:L117)</f>
        <v>50</v>
      </c>
      <c r="M118" s="363">
        <f>SUM(M116:M117)</f>
        <v>1000</v>
      </c>
      <c r="N118" s="364">
        <f>SUM(N116:N117)</f>
        <v>1050</v>
      </c>
      <c r="O118" s="3207"/>
      <c r="P118" s="463"/>
      <c r="Q118" s="88"/>
      <c r="R118" s="438"/>
    </row>
    <row r="119" spans="1:18" ht="15" customHeight="1" thickBot="1" x14ac:dyDescent="0.25">
      <c r="A119" s="656"/>
      <c r="B119" s="655"/>
      <c r="C119" s="666"/>
      <c r="D119" s="654"/>
      <c r="E119" s="2927" t="s">
        <v>218</v>
      </c>
      <c r="F119" s="2928"/>
      <c r="G119" s="2928"/>
      <c r="H119" s="2929"/>
      <c r="I119" s="299">
        <f>I118+I115</f>
        <v>510</v>
      </c>
      <c r="J119" s="292">
        <f t="shared" ref="J119:N119" si="12">J118+J115</f>
        <v>460</v>
      </c>
      <c r="K119" s="291"/>
      <c r="L119" s="295">
        <f t="shared" si="12"/>
        <v>50</v>
      </c>
      <c r="M119" s="299">
        <f t="shared" si="12"/>
        <v>1050</v>
      </c>
      <c r="N119" s="299">
        <f t="shared" si="12"/>
        <v>1100</v>
      </c>
      <c r="O119" s="653"/>
      <c r="P119" s="675"/>
      <c r="Q119" s="88"/>
      <c r="R119" s="671"/>
    </row>
    <row r="120" spans="1:18" ht="14.25" customHeight="1" x14ac:dyDescent="0.2">
      <c r="A120" s="385" t="s">
        <v>24</v>
      </c>
      <c r="B120" s="390" t="s">
        <v>20</v>
      </c>
      <c r="C120" s="2912" t="s">
        <v>30</v>
      </c>
      <c r="D120" s="2914" t="s">
        <v>162</v>
      </c>
      <c r="E120" s="3099"/>
      <c r="F120" s="3225" t="s">
        <v>21</v>
      </c>
      <c r="G120" s="3098">
        <v>5</v>
      </c>
      <c r="H120" s="686" t="s">
        <v>6</v>
      </c>
      <c r="I120" s="687"/>
      <c r="J120" s="264"/>
      <c r="K120" s="688"/>
      <c r="L120" s="689"/>
      <c r="M120" s="21">
        <v>784.1</v>
      </c>
      <c r="N120" s="690"/>
      <c r="O120" s="2922" t="s">
        <v>166</v>
      </c>
      <c r="P120" s="397"/>
      <c r="Q120" s="86">
        <v>100</v>
      </c>
      <c r="R120" s="400"/>
    </row>
    <row r="121" spans="1:18" ht="14.25" customHeight="1" thickBot="1" x14ac:dyDescent="0.25">
      <c r="A121" s="386"/>
      <c r="B121" s="391"/>
      <c r="C121" s="2913"/>
      <c r="D121" s="2915"/>
      <c r="E121" s="2917"/>
      <c r="F121" s="2919"/>
      <c r="G121" s="2921"/>
      <c r="H121" s="312" t="s">
        <v>23</v>
      </c>
      <c r="I121" s="321"/>
      <c r="J121" s="320"/>
      <c r="K121" s="320"/>
      <c r="L121" s="316"/>
      <c r="M121" s="315">
        <f>M120</f>
        <v>784.1</v>
      </c>
      <c r="N121" s="316"/>
      <c r="O121" s="2923"/>
      <c r="P121" s="78"/>
      <c r="Q121" s="79"/>
      <c r="R121" s="402"/>
    </row>
    <row r="122" spans="1:18" ht="16.5" customHeight="1" x14ac:dyDescent="0.2">
      <c r="A122" s="638" t="s">
        <v>24</v>
      </c>
      <c r="B122" s="640" t="s">
        <v>20</v>
      </c>
      <c r="C122" s="2912" t="s">
        <v>55</v>
      </c>
      <c r="D122" s="2914" t="s">
        <v>226</v>
      </c>
      <c r="E122" s="2916"/>
      <c r="F122" s="2918" t="s">
        <v>21</v>
      </c>
      <c r="G122" s="2920">
        <v>5</v>
      </c>
      <c r="H122" s="172" t="s">
        <v>170</v>
      </c>
      <c r="I122" s="334"/>
      <c r="J122" s="280"/>
      <c r="K122" s="335"/>
      <c r="L122" s="336"/>
      <c r="M122" s="35"/>
      <c r="N122" s="41">
        <v>50</v>
      </c>
      <c r="O122" s="2922" t="s">
        <v>166</v>
      </c>
      <c r="P122" s="643"/>
      <c r="Q122" s="86"/>
      <c r="R122" s="644">
        <v>20</v>
      </c>
    </row>
    <row r="123" spans="1:18" ht="14.25" customHeight="1" thickBot="1" x14ac:dyDescent="0.25">
      <c r="A123" s="639"/>
      <c r="B123" s="641"/>
      <c r="C123" s="2913"/>
      <c r="D123" s="2915"/>
      <c r="E123" s="2917"/>
      <c r="F123" s="2919"/>
      <c r="G123" s="2921"/>
      <c r="H123" s="312" t="s">
        <v>23</v>
      </c>
      <c r="I123" s="321"/>
      <c r="J123" s="320"/>
      <c r="K123" s="320"/>
      <c r="L123" s="316"/>
      <c r="M123" s="315"/>
      <c r="N123" s="316">
        <f>N122</f>
        <v>50</v>
      </c>
      <c r="O123" s="2923"/>
      <c r="P123" s="78"/>
      <c r="Q123" s="79"/>
      <c r="R123" s="645"/>
    </row>
    <row r="124" spans="1:18" ht="16.5" customHeight="1" thickBot="1" x14ac:dyDescent="0.25">
      <c r="A124" s="15" t="s">
        <v>24</v>
      </c>
      <c r="B124" s="14" t="s">
        <v>20</v>
      </c>
      <c r="C124" s="3089" t="s">
        <v>27</v>
      </c>
      <c r="D124" s="3104"/>
      <c r="E124" s="3104"/>
      <c r="F124" s="3104"/>
      <c r="G124" s="3104"/>
      <c r="H124" s="3104"/>
      <c r="I124" s="605">
        <f>I123+I121+I119+I111+I105+I102+I87</f>
        <v>6530.5000000000009</v>
      </c>
      <c r="J124" s="541">
        <f t="shared" ref="J124:N124" si="13">J123+J121+J119+J111+J105+J102+J87</f>
        <v>1363</v>
      </c>
      <c r="K124" s="541">
        <f t="shared" si="13"/>
        <v>22.3</v>
      </c>
      <c r="L124" s="658">
        <f t="shared" si="13"/>
        <v>5167.5</v>
      </c>
      <c r="M124" s="657">
        <f t="shared" si="13"/>
        <v>2734.1</v>
      </c>
      <c r="N124" s="657">
        <f t="shared" si="13"/>
        <v>5250</v>
      </c>
      <c r="O124" s="3189"/>
      <c r="P124" s="3190"/>
      <c r="Q124" s="3190"/>
      <c r="R124" s="3191"/>
    </row>
    <row r="125" spans="1:18" ht="16.5" customHeight="1" thickBot="1" x14ac:dyDescent="0.25">
      <c r="A125" s="602" t="s">
        <v>24</v>
      </c>
      <c r="B125" s="14" t="s">
        <v>24</v>
      </c>
      <c r="C125" s="3102" t="s">
        <v>49</v>
      </c>
      <c r="D125" s="3103"/>
      <c r="E125" s="3103"/>
      <c r="F125" s="3103"/>
      <c r="G125" s="61"/>
      <c r="H125" s="112"/>
      <c r="I125" s="61"/>
      <c r="J125" s="61"/>
      <c r="K125" s="61"/>
      <c r="L125" s="61"/>
      <c r="M125" s="61"/>
      <c r="N125" s="61"/>
      <c r="O125" s="61"/>
      <c r="P125" s="61"/>
      <c r="Q125" s="3236"/>
      <c r="R125" s="3237"/>
    </row>
    <row r="126" spans="1:18" ht="39" customHeight="1" x14ac:dyDescent="0.2">
      <c r="A126" s="3151" t="s">
        <v>24</v>
      </c>
      <c r="B126" s="3158" t="s">
        <v>24</v>
      </c>
      <c r="C126" s="387" t="s">
        <v>20</v>
      </c>
      <c r="D126" s="3082" t="s">
        <v>146</v>
      </c>
      <c r="E126" s="3078" t="s">
        <v>132</v>
      </c>
      <c r="F126" s="3084" t="s">
        <v>21</v>
      </c>
      <c r="G126" s="3223">
        <v>2</v>
      </c>
      <c r="H126" s="111" t="s">
        <v>22</v>
      </c>
      <c r="I126" s="308">
        <f>J126+L126</f>
        <v>100</v>
      </c>
      <c r="J126" s="277">
        <v>100</v>
      </c>
      <c r="K126" s="277"/>
      <c r="L126" s="309"/>
      <c r="M126" s="41">
        <v>100</v>
      </c>
      <c r="N126" s="41">
        <v>100</v>
      </c>
      <c r="O126" s="3076" t="s">
        <v>88</v>
      </c>
      <c r="P126" s="200">
        <v>320</v>
      </c>
      <c r="Q126" s="200">
        <v>320</v>
      </c>
      <c r="R126" s="201">
        <v>320</v>
      </c>
    </row>
    <row r="127" spans="1:18" ht="29.25" customHeight="1" thickBot="1" x14ac:dyDescent="0.25">
      <c r="A127" s="3153"/>
      <c r="B127" s="3160"/>
      <c r="C127" s="388"/>
      <c r="D127" s="3083"/>
      <c r="E127" s="3079"/>
      <c r="F127" s="3085"/>
      <c r="G127" s="3224"/>
      <c r="H127" s="298" t="s">
        <v>23</v>
      </c>
      <c r="I127" s="299">
        <f>J127+L127</f>
        <v>100</v>
      </c>
      <c r="J127" s="292">
        <f>SUM(J126)</f>
        <v>100</v>
      </c>
      <c r="K127" s="292"/>
      <c r="L127" s="295"/>
      <c r="M127" s="300">
        <f>SUM(M126)</f>
        <v>100</v>
      </c>
      <c r="N127" s="301">
        <f>SUM(N126)</f>
        <v>100</v>
      </c>
      <c r="O127" s="3077"/>
      <c r="P127" s="128"/>
      <c r="Q127" s="128"/>
      <c r="R127" s="202"/>
    </row>
    <row r="128" spans="1:18" ht="28.5" customHeight="1" x14ac:dyDescent="0.2">
      <c r="A128" s="3183" t="s">
        <v>24</v>
      </c>
      <c r="B128" s="219" t="s">
        <v>24</v>
      </c>
      <c r="C128" s="404" t="s">
        <v>24</v>
      </c>
      <c r="D128" s="2925" t="s">
        <v>196</v>
      </c>
      <c r="E128" s="3078"/>
      <c r="F128" s="3084" t="s">
        <v>21</v>
      </c>
      <c r="G128" s="3185" t="s">
        <v>43</v>
      </c>
      <c r="H128" s="117" t="s">
        <v>22</v>
      </c>
      <c r="I128" s="310">
        <f>J128+L128</f>
        <v>150</v>
      </c>
      <c r="J128" s="270">
        <v>150</v>
      </c>
      <c r="K128" s="305"/>
      <c r="L128" s="296"/>
      <c r="M128" s="484">
        <v>250</v>
      </c>
      <c r="N128" s="484">
        <v>250</v>
      </c>
      <c r="O128" s="136" t="s">
        <v>202</v>
      </c>
      <c r="P128" s="93">
        <v>4</v>
      </c>
      <c r="Q128" s="94">
        <v>5</v>
      </c>
      <c r="R128" s="137">
        <v>5</v>
      </c>
    </row>
    <row r="129" spans="1:18" ht="26.25" customHeight="1" thickBot="1" x14ac:dyDescent="0.25">
      <c r="A129" s="3184"/>
      <c r="B129" s="419"/>
      <c r="C129" s="405"/>
      <c r="D129" s="3186"/>
      <c r="E129" s="3079"/>
      <c r="F129" s="3085"/>
      <c r="G129" s="2975"/>
      <c r="H129" s="312" t="s">
        <v>23</v>
      </c>
      <c r="I129" s="311">
        <f>J129+L129</f>
        <v>150</v>
      </c>
      <c r="J129" s="292">
        <f>J128</f>
        <v>150</v>
      </c>
      <c r="K129" s="292"/>
      <c r="L129" s="295"/>
      <c r="M129" s="300">
        <f>SUM(M128)</f>
        <v>250</v>
      </c>
      <c r="N129" s="301">
        <f>SUM(N128)</f>
        <v>250</v>
      </c>
      <c r="O129" s="107" t="s">
        <v>130</v>
      </c>
      <c r="P129" s="203">
        <v>60</v>
      </c>
      <c r="Q129" s="203">
        <v>75</v>
      </c>
      <c r="R129" s="204">
        <v>75</v>
      </c>
    </row>
    <row r="130" spans="1:18" ht="16.5" customHeight="1" thickBot="1" x14ac:dyDescent="0.25">
      <c r="A130" s="15" t="s">
        <v>24</v>
      </c>
      <c r="B130" s="14" t="s">
        <v>24</v>
      </c>
      <c r="C130" s="3089" t="s">
        <v>27</v>
      </c>
      <c r="D130" s="3104"/>
      <c r="E130" s="3104"/>
      <c r="F130" s="3104"/>
      <c r="G130" s="3104"/>
      <c r="H130" s="3104"/>
      <c r="I130" s="448">
        <f t="shared" ref="I130:N130" si="14">I129+I127</f>
        <v>250</v>
      </c>
      <c r="J130" s="541">
        <f t="shared" si="14"/>
        <v>250</v>
      </c>
      <c r="K130" s="541">
        <f t="shared" si="14"/>
        <v>0</v>
      </c>
      <c r="L130" s="540">
        <f t="shared" si="14"/>
        <v>0</v>
      </c>
      <c r="M130" s="29">
        <f t="shared" si="14"/>
        <v>350</v>
      </c>
      <c r="N130" s="29">
        <f t="shared" si="14"/>
        <v>350</v>
      </c>
      <c r="O130" s="3189"/>
      <c r="P130" s="3190"/>
      <c r="Q130" s="3190"/>
      <c r="R130" s="3191"/>
    </row>
    <row r="131" spans="1:18" ht="16.5" customHeight="1" thickBot="1" x14ac:dyDescent="0.25">
      <c r="A131" s="385" t="s">
        <v>24</v>
      </c>
      <c r="B131" s="133" t="s">
        <v>26</v>
      </c>
      <c r="C131" s="3187" t="s">
        <v>48</v>
      </c>
      <c r="D131" s="3187"/>
      <c r="E131" s="3187"/>
      <c r="F131" s="3187"/>
      <c r="G131" s="3187"/>
      <c r="H131" s="3187"/>
      <c r="I131" s="3187"/>
      <c r="J131" s="3187"/>
      <c r="K131" s="3187"/>
      <c r="L131" s="3187"/>
      <c r="M131" s="3187"/>
      <c r="N131" s="3187"/>
      <c r="O131" s="3187"/>
      <c r="P131" s="3187"/>
      <c r="Q131" s="3187"/>
      <c r="R131" s="3188"/>
    </row>
    <row r="132" spans="1:18" ht="26.25" customHeight="1" x14ac:dyDescent="0.2">
      <c r="A132" s="559" t="s">
        <v>24</v>
      </c>
      <c r="B132" s="561" t="s">
        <v>26</v>
      </c>
      <c r="C132" s="564" t="s">
        <v>20</v>
      </c>
      <c r="D132" s="126" t="s">
        <v>50</v>
      </c>
      <c r="E132" s="553"/>
      <c r="F132" s="556" t="s">
        <v>21</v>
      </c>
      <c r="G132" s="118">
        <v>6</v>
      </c>
      <c r="H132" s="568" t="s">
        <v>22</v>
      </c>
      <c r="I132" s="276">
        <f>J132+L132</f>
        <v>3109.3</v>
      </c>
      <c r="J132" s="277">
        <v>3109.3</v>
      </c>
      <c r="K132" s="304"/>
      <c r="L132" s="278"/>
      <c r="M132" s="22">
        <v>6389.3</v>
      </c>
      <c r="N132" s="41">
        <v>5990.3</v>
      </c>
      <c r="O132" s="160"/>
      <c r="P132" s="161"/>
      <c r="Q132" s="162"/>
      <c r="R132" s="574"/>
    </row>
    <row r="133" spans="1:18" ht="28.5" customHeight="1" x14ac:dyDescent="0.2">
      <c r="A133" s="147"/>
      <c r="B133" s="552"/>
      <c r="C133" s="565"/>
      <c r="D133" s="489" t="s">
        <v>184</v>
      </c>
      <c r="E133" s="546"/>
      <c r="F133" s="557"/>
      <c r="G133" s="119"/>
      <c r="H133" s="569" t="s">
        <v>25</v>
      </c>
      <c r="I133" s="305">
        <f>J133+L133</f>
        <v>23.7</v>
      </c>
      <c r="J133" s="270">
        <v>23.7</v>
      </c>
      <c r="K133" s="305"/>
      <c r="L133" s="271"/>
      <c r="M133" s="524"/>
      <c r="N133" s="524"/>
      <c r="O133" s="529" t="s">
        <v>76</v>
      </c>
      <c r="P133" s="528">
        <v>13</v>
      </c>
      <c r="Q133" s="528">
        <v>11</v>
      </c>
      <c r="R133" s="530">
        <v>14</v>
      </c>
    </row>
    <row r="134" spans="1:18" ht="27" customHeight="1" x14ac:dyDescent="0.2">
      <c r="A134" s="147"/>
      <c r="B134" s="552"/>
      <c r="C134" s="555"/>
      <c r="D134" s="489" t="s">
        <v>185</v>
      </c>
      <c r="E134" s="546"/>
      <c r="F134" s="557"/>
      <c r="G134" s="119"/>
      <c r="H134" s="569"/>
      <c r="I134" s="305"/>
      <c r="J134" s="270"/>
      <c r="K134" s="305"/>
      <c r="L134" s="271"/>
      <c r="M134" s="524"/>
      <c r="N134" s="524"/>
      <c r="O134" s="529" t="s">
        <v>77</v>
      </c>
      <c r="P134" s="548">
        <v>95</v>
      </c>
      <c r="Q134" s="548">
        <v>95</v>
      </c>
      <c r="R134" s="491">
        <v>95</v>
      </c>
    </row>
    <row r="135" spans="1:18" s="4" customFormat="1" ht="28.5" customHeight="1" x14ac:dyDescent="0.2">
      <c r="A135" s="147"/>
      <c r="B135" s="552"/>
      <c r="C135" s="555"/>
      <c r="D135" s="489" t="s">
        <v>186</v>
      </c>
      <c r="E135" s="546"/>
      <c r="F135" s="557"/>
      <c r="G135" s="382"/>
      <c r="H135" s="569"/>
      <c r="I135" s="305"/>
      <c r="J135" s="270"/>
      <c r="K135" s="305"/>
      <c r="L135" s="271"/>
      <c r="M135" s="524"/>
      <c r="N135" s="524"/>
      <c r="O135" s="529" t="s">
        <v>203</v>
      </c>
      <c r="P135" s="548">
        <v>30</v>
      </c>
      <c r="Q135" s="548">
        <v>30</v>
      </c>
      <c r="R135" s="491">
        <v>30</v>
      </c>
    </row>
    <row r="136" spans="1:18" ht="39.75" customHeight="1" x14ac:dyDescent="0.2">
      <c r="A136" s="147"/>
      <c r="B136" s="552"/>
      <c r="C136" s="146"/>
      <c r="D136" s="489" t="s">
        <v>187</v>
      </c>
      <c r="E136" s="546"/>
      <c r="F136" s="557"/>
      <c r="G136" s="119"/>
      <c r="H136" s="569"/>
      <c r="I136" s="305"/>
      <c r="J136" s="270"/>
      <c r="K136" s="305"/>
      <c r="L136" s="271"/>
      <c r="M136" s="524"/>
      <c r="N136" s="524"/>
      <c r="O136" s="529" t="s">
        <v>78</v>
      </c>
      <c r="P136" s="548">
        <v>5</v>
      </c>
      <c r="Q136" s="548">
        <v>3</v>
      </c>
      <c r="R136" s="491">
        <v>3</v>
      </c>
    </row>
    <row r="137" spans="1:18" s="4" customFormat="1" ht="17.25" customHeight="1" x14ac:dyDescent="0.2">
      <c r="A137" s="147"/>
      <c r="B137" s="552"/>
      <c r="C137" s="555"/>
      <c r="D137" s="489" t="s">
        <v>188</v>
      </c>
      <c r="E137" s="554"/>
      <c r="F137" s="557"/>
      <c r="G137" s="119"/>
      <c r="H137" s="569"/>
      <c r="I137" s="305"/>
      <c r="J137" s="270"/>
      <c r="K137" s="305"/>
      <c r="L137" s="271"/>
      <c r="M137" s="524"/>
      <c r="N137" s="524"/>
      <c r="O137" s="529" t="s">
        <v>80</v>
      </c>
      <c r="P137" s="174">
        <v>40.1</v>
      </c>
      <c r="Q137" s="174">
        <v>40.1</v>
      </c>
      <c r="R137" s="53">
        <v>40.1</v>
      </c>
    </row>
    <row r="138" spans="1:18" ht="26.25" customHeight="1" x14ac:dyDescent="0.2">
      <c r="A138" s="147"/>
      <c r="B138" s="552"/>
      <c r="C138" s="146"/>
      <c r="D138" s="489" t="s">
        <v>189</v>
      </c>
      <c r="E138" s="554"/>
      <c r="F138" s="557"/>
      <c r="G138" s="119"/>
      <c r="H138" s="569"/>
      <c r="I138" s="305"/>
      <c r="J138" s="270"/>
      <c r="K138" s="585"/>
      <c r="L138" s="584"/>
      <c r="M138" s="524"/>
      <c r="N138" s="524"/>
      <c r="O138" s="529" t="s">
        <v>171</v>
      </c>
      <c r="P138" s="548">
        <v>101</v>
      </c>
      <c r="Q138" s="548">
        <v>101</v>
      </c>
      <c r="R138" s="491">
        <v>101</v>
      </c>
    </row>
    <row r="139" spans="1:18" ht="28.5" customHeight="1" x14ac:dyDescent="0.2">
      <c r="A139" s="147"/>
      <c r="B139" s="552"/>
      <c r="C139" s="555"/>
      <c r="D139" s="489" t="s">
        <v>138</v>
      </c>
      <c r="E139" s="546"/>
      <c r="F139" s="557"/>
      <c r="G139" s="382"/>
      <c r="H139" s="571"/>
      <c r="I139" s="490"/>
      <c r="J139" s="270"/>
      <c r="K139" s="305"/>
      <c r="L139" s="271"/>
      <c r="M139" s="205"/>
      <c r="N139" s="205"/>
      <c r="O139" s="2989" t="s">
        <v>139</v>
      </c>
      <c r="P139" s="548"/>
      <c r="Q139" s="548">
        <v>10</v>
      </c>
      <c r="R139" s="491">
        <v>13</v>
      </c>
    </row>
    <row r="140" spans="1:18" ht="14.25" customHeight="1" thickBot="1" x14ac:dyDescent="0.25">
      <c r="A140" s="560"/>
      <c r="B140" s="562"/>
      <c r="C140" s="551"/>
      <c r="D140" s="533"/>
      <c r="E140" s="531"/>
      <c r="F140" s="534"/>
      <c r="G140" s="532"/>
      <c r="H140" s="298" t="s">
        <v>23</v>
      </c>
      <c r="I140" s="317">
        <f t="shared" ref="I140:I155" si="15">J140+L140</f>
        <v>3133</v>
      </c>
      <c r="J140" s="320">
        <f>SUM(J132:J139)</f>
        <v>3133</v>
      </c>
      <c r="K140" s="320"/>
      <c r="L140" s="337"/>
      <c r="M140" s="315">
        <f>SUM(M132:M139)</f>
        <v>6389.3</v>
      </c>
      <c r="N140" s="316">
        <f>SUM(N132:N139)</f>
        <v>5990.3</v>
      </c>
      <c r="O140" s="3194"/>
      <c r="P140" s="78"/>
      <c r="Q140" s="79"/>
      <c r="R140" s="575"/>
    </row>
    <row r="141" spans="1:18" ht="25.5" customHeight="1" x14ac:dyDescent="0.2">
      <c r="A141" s="394" t="s">
        <v>24</v>
      </c>
      <c r="B141" s="390" t="s">
        <v>26</v>
      </c>
      <c r="C141" s="387" t="s">
        <v>24</v>
      </c>
      <c r="D141" s="3082" t="s">
        <v>197</v>
      </c>
      <c r="E141" s="3143" t="s">
        <v>136</v>
      </c>
      <c r="F141" s="392" t="s">
        <v>21</v>
      </c>
      <c r="G141" s="3192">
        <v>6</v>
      </c>
      <c r="H141" s="13" t="s">
        <v>22</v>
      </c>
      <c r="I141" s="276">
        <f t="shared" ref="I141:I149" si="16">J141+L141</f>
        <v>75.3</v>
      </c>
      <c r="J141" s="277">
        <v>75.3</v>
      </c>
      <c r="K141" s="276"/>
      <c r="L141" s="278"/>
      <c r="M141" s="22">
        <v>180</v>
      </c>
      <c r="N141" s="41">
        <v>180</v>
      </c>
      <c r="O141" s="2922" t="s">
        <v>137</v>
      </c>
      <c r="P141" s="397">
        <v>1</v>
      </c>
      <c r="Q141" s="86">
        <v>2</v>
      </c>
      <c r="R141" s="137">
        <v>2</v>
      </c>
    </row>
    <row r="142" spans="1:18" ht="15" customHeight="1" thickBot="1" x14ac:dyDescent="0.25">
      <c r="A142" s="395"/>
      <c r="B142" s="391"/>
      <c r="C142" s="388"/>
      <c r="D142" s="3083"/>
      <c r="E142" s="3145"/>
      <c r="F142" s="413"/>
      <c r="G142" s="3193"/>
      <c r="H142" s="298" t="s">
        <v>23</v>
      </c>
      <c r="I142" s="291">
        <f t="shared" si="16"/>
        <v>75.3</v>
      </c>
      <c r="J142" s="292">
        <f>J141</f>
        <v>75.3</v>
      </c>
      <c r="K142" s="292">
        <f>K141</f>
        <v>0</v>
      </c>
      <c r="L142" s="292">
        <f>L141</f>
        <v>0</v>
      </c>
      <c r="M142" s="300">
        <f>SUM(M141)</f>
        <v>180</v>
      </c>
      <c r="N142" s="301">
        <f>SUM(N141)</f>
        <v>180</v>
      </c>
      <c r="O142" s="2923"/>
      <c r="P142" s="82"/>
      <c r="Q142" s="407"/>
      <c r="R142" s="189"/>
    </row>
    <row r="143" spans="1:18" ht="27" customHeight="1" x14ac:dyDescent="0.2">
      <c r="A143" s="3154" t="s">
        <v>24</v>
      </c>
      <c r="B143" s="3117" t="s">
        <v>26</v>
      </c>
      <c r="C143" s="132" t="s">
        <v>26</v>
      </c>
      <c r="D143" s="3074" t="s">
        <v>59</v>
      </c>
      <c r="E143" s="3143"/>
      <c r="F143" s="392" t="s">
        <v>21</v>
      </c>
      <c r="G143" s="3080">
        <v>2</v>
      </c>
      <c r="H143" s="115" t="s">
        <v>22</v>
      </c>
      <c r="I143" s="283">
        <f t="shared" si="16"/>
        <v>108</v>
      </c>
      <c r="J143" s="261">
        <v>108</v>
      </c>
      <c r="K143" s="261"/>
      <c r="L143" s="262"/>
      <c r="M143" s="41">
        <v>110</v>
      </c>
      <c r="N143" s="41">
        <v>110</v>
      </c>
      <c r="O143" s="3120" t="s">
        <v>89</v>
      </c>
      <c r="P143" s="206">
        <v>380</v>
      </c>
      <c r="Q143" s="207">
        <v>400</v>
      </c>
      <c r="R143" s="137">
        <v>400</v>
      </c>
    </row>
    <row r="144" spans="1:18" ht="15.75" customHeight="1" thickBot="1" x14ac:dyDescent="0.25">
      <c r="A144" s="3156"/>
      <c r="B144" s="3118"/>
      <c r="C144" s="130"/>
      <c r="D144" s="3075"/>
      <c r="E144" s="3145"/>
      <c r="F144" s="413"/>
      <c r="G144" s="3081"/>
      <c r="H144" s="298" t="s">
        <v>23</v>
      </c>
      <c r="I144" s="293">
        <f t="shared" si="16"/>
        <v>108</v>
      </c>
      <c r="J144" s="294">
        <f>SUM(J143)</f>
        <v>108</v>
      </c>
      <c r="K144" s="294"/>
      <c r="L144" s="295"/>
      <c r="M144" s="300">
        <f>SUM(M143)</f>
        <v>110</v>
      </c>
      <c r="N144" s="301">
        <f>SUM(N143)</f>
        <v>110</v>
      </c>
      <c r="O144" s="2979"/>
      <c r="P144" s="82"/>
      <c r="Q144" s="407"/>
      <c r="R144" s="189"/>
    </row>
    <row r="145" spans="1:18" ht="15" customHeight="1" x14ac:dyDescent="0.2">
      <c r="A145" s="3154" t="s">
        <v>24</v>
      </c>
      <c r="B145" s="3117" t="s">
        <v>26</v>
      </c>
      <c r="C145" s="132" t="s">
        <v>28</v>
      </c>
      <c r="D145" s="3074" t="s">
        <v>134</v>
      </c>
      <c r="E145" s="3143"/>
      <c r="F145" s="392" t="s">
        <v>21</v>
      </c>
      <c r="G145" s="3080">
        <v>2</v>
      </c>
      <c r="H145" s="115" t="s">
        <v>22</v>
      </c>
      <c r="I145" s="283">
        <f t="shared" si="16"/>
        <v>50</v>
      </c>
      <c r="J145" s="261">
        <v>42.8</v>
      </c>
      <c r="K145" s="261"/>
      <c r="L145" s="262">
        <v>7.2</v>
      </c>
      <c r="M145" s="41"/>
      <c r="N145" s="41"/>
      <c r="O145" s="3120" t="s">
        <v>135</v>
      </c>
      <c r="P145" s="206">
        <v>156</v>
      </c>
      <c r="Q145" s="207"/>
      <c r="R145" s="137"/>
    </row>
    <row r="146" spans="1:18" ht="15.75" customHeight="1" thickBot="1" x14ac:dyDescent="0.25">
      <c r="A146" s="3156"/>
      <c r="B146" s="3118"/>
      <c r="C146" s="130"/>
      <c r="D146" s="3075"/>
      <c r="E146" s="3145"/>
      <c r="F146" s="413"/>
      <c r="G146" s="3081"/>
      <c r="H146" s="298" t="s">
        <v>23</v>
      </c>
      <c r="I146" s="293">
        <f>J146+L146</f>
        <v>50</v>
      </c>
      <c r="J146" s="294">
        <f>SUM(J145)</f>
        <v>42.8</v>
      </c>
      <c r="K146" s="294"/>
      <c r="L146" s="295">
        <f>L145</f>
        <v>7.2</v>
      </c>
      <c r="M146" s="300">
        <f>SUM(M145)</f>
        <v>0</v>
      </c>
      <c r="N146" s="301">
        <f>SUM(N145)</f>
        <v>0</v>
      </c>
      <c r="O146" s="2979"/>
      <c r="P146" s="82"/>
      <c r="Q146" s="407"/>
      <c r="R146" s="189"/>
    </row>
    <row r="147" spans="1:18" ht="38.25" customHeight="1" x14ac:dyDescent="0.2">
      <c r="A147" s="3151" t="s">
        <v>24</v>
      </c>
      <c r="B147" s="3158" t="s">
        <v>26</v>
      </c>
      <c r="C147" s="132" t="s">
        <v>29</v>
      </c>
      <c r="D147" s="3074" t="s">
        <v>213</v>
      </c>
      <c r="E147" s="3078"/>
      <c r="F147" s="392" t="s">
        <v>21</v>
      </c>
      <c r="G147" s="3161">
        <v>2</v>
      </c>
      <c r="H147" s="115" t="s">
        <v>170</v>
      </c>
      <c r="I147" s="283">
        <f t="shared" si="16"/>
        <v>50</v>
      </c>
      <c r="J147" s="261">
        <v>50</v>
      </c>
      <c r="K147" s="261"/>
      <c r="L147" s="678"/>
      <c r="M147" s="22"/>
      <c r="N147" s="41"/>
      <c r="O147" s="139" t="s">
        <v>87</v>
      </c>
      <c r="P147" s="487">
        <v>6</v>
      </c>
      <c r="Q147" s="207">
        <v>6</v>
      </c>
      <c r="R147" s="137">
        <v>6</v>
      </c>
    </row>
    <row r="148" spans="1:18" ht="38.25" customHeight="1" x14ac:dyDescent="0.2">
      <c r="A148" s="3152"/>
      <c r="B148" s="3159"/>
      <c r="C148" s="131"/>
      <c r="D148" s="3142"/>
      <c r="E148" s="3157"/>
      <c r="F148" s="650"/>
      <c r="G148" s="3162"/>
      <c r="H148" s="651" t="s">
        <v>22</v>
      </c>
      <c r="I148" s="272"/>
      <c r="J148" s="270"/>
      <c r="K148" s="270"/>
      <c r="L148" s="271"/>
      <c r="M148" s="55">
        <v>50</v>
      </c>
      <c r="N148" s="35">
        <v>50</v>
      </c>
      <c r="O148" s="178"/>
      <c r="P148" s="677"/>
      <c r="Q148" s="232"/>
      <c r="R148" s="652"/>
    </row>
    <row r="149" spans="1:18" ht="16.5" customHeight="1" thickBot="1" x14ac:dyDescent="0.25">
      <c r="A149" s="3153"/>
      <c r="B149" s="3160"/>
      <c r="C149" s="130"/>
      <c r="D149" s="3075"/>
      <c r="E149" s="3079"/>
      <c r="F149" s="413"/>
      <c r="G149" s="3163"/>
      <c r="H149" s="298" t="s">
        <v>23</v>
      </c>
      <c r="I149" s="293">
        <f t="shared" si="16"/>
        <v>50</v>
      </c>
      <c r="J149" s="294">
        <f>J147</f>
        <v>50</v>
      </c>
      <c r="K149" s="294">
        <f>K147</f>
        <v>0</v>
      </c>
      <c r="L149" s="302">
        <f>L147</f>
        <v>0</v>
      </c>
      <c r="M149" s="300">
        <f>SUM(M147:M148)</f>
        <v>50</v>
      </c>
      <c r="N149" s="301">
        <f>SUM(N147:N148)</f>
        <v>50</v>
      </c>
      <c r="O149" s="64"/>
      <c r="P149" s="82"/>
      <c r="Q149" s="407"/>
      <c r="R149" s="189"/>
    </row>
    <row r="150" spans="1:18" ht="28.5" customHeight="1" x14ac:dyDescent="0.2">
      <c r="A150" s="3154" t="s">
        <v>24</v>
      </c>
      <c r="B150" s="3117" t="s">
        <v>26</v>
      </c>
      <c r="C150" s="132" t="s">
        <v>30</v>
      </c>
      <c r="D150" s="3074" t="s">
        <v>150</v>
      </c>
      <c r="E150" s="3143" t="s">
        <v>136</v>
      </c>
      <c r="F150" s="392" t="s">
        <v>21</v>
      </c>
      <c r="G150" s="3080">
        <v>6</v>
      </c>
      <c r="H150" s="115" t="s">
        <v>22</v>
      </c>
      <c r="I150" s="283"/>
      <c r="J150" s="261"/>
      <c r="K150" s="261"/>
      <c r="L150" s="262"/>
      <c r="M150" s="41">
        <v>80</v>
      </c>
      <c r="N150" s="41">
        <v>800</v>
      </c>
      <c r="O150" s="228" t="s">
        <v>149</v>
      </c>
      <c r="P150" s="206">
        <v>1</v>
      </c>
      <c r="Q150" s="207"/>
      <c r="R150" s="137"/>
    </row>
    <row r="151" spans="1:18" ht="17.25" customHeight="1" x14ac:dyDescent="0.2">
      <c r="A151" s="3155"/>
      <c r="B151" s="3159"/>
      <c r="C151" s="131"/>
      <c r="D151" s="3142"/>
      <c r="E151" s="3144"/>
      <c r="F151" s="393"/>
      <c r="G151" s="3182"/>
      <c r="H151" s="422"/>
      <c r="I151" s="272"/>
      <c r="J151" s="270"/>
      <c r="K151" s="270"/>
      <c r="L151" s="296"/>
      <c r="M151" s="55"/>
      <c r="N151" s="35"/>
      <c r="O151" s="230" t="s">
        <v>175</v>
      </c>
      <c r="P151" s="231"/>
      <c r="Q151" s="232">
        <v>1</v>
      </c>
      <c r="R151" s="421"/>
    </row>
    <row r="152" spans="1:18" ht="18" customHeight="1" thickBot="1" x14ac:dyDescent="0.25">
      <c r="A152" s="3156"/>
      <c r="B152" s="3118"/>
      <c r="C152" s="130"/>
      <c r="D152" s="3075"/>
      <c r="E152" s="3145"/>
      <c r="F152" s="413"/>
      <c r="G152" s="3081"/>
      <c r="H152" s="298" t="s">
        <v>23</v>
      </c>
      <c r="I152" s="293"/>
      <c r="J152" s="294"/>
      <c r="K152" s="294"/>
      <c r="L152" s="297"/>
      <c r="M152" s="300">
        <f>SUM(M150)</f>
        <v>80</v>
      </c>
      <c r="N152" s="301">
        <f>SUM(N150)</f>
        <v>800</v>
      </c>
      <c r="O152" s="229" t="s">
        <v>152</v>
      </c>
      <c r="P152" s="82"/>
      <c r="Q152" s="407"/>
      <c r="R152" s="189">
        <v>1</v>
      </c>
    </row>
    <row r="153" spans="1:18" ht="15" customHeight="1" thickBot="1" x14ac:dyDescent="0.25">
      <c r="A153" s="30" t="s">
        <v>24</v>
      </c>
      <c r="B153" s="32" t="s">
        <v>26</v>
      </c>
      <c r="C153" s="3089" t="s">
        <v>27</v>
      </c>
      <c r="D153" s="3104"/>
      <c r="E153" s="3104"/>
      <c r="F153" s="3104"/>
      <c r="G153" s="3104"/>
      <c r="H153" s="3104"/>
      <c r="I153" s="411">
        <f t="shared" ref="I153:N153" si="17">I149+I152+I146+I144+I142+I140</f>
        <v>3416.3</v>
      </c>
      <c r="J153" s="242">
        <f>J149+J152+J146+J144+J142+J140</f>
        <v>3409.1</v>
      </c>
      <c r="K153" s="412">
        <f t="shared" si="17"/>
        <v>0</v>
      </c>
      <c r="L153" s="240">
        <f>L149+L152+L146+L144+L142+L140</f>
        <v>7.2</v>
      </c>
      <c r="M153" s="1">
        <f t="shared" si="17"/>
        <v>6809.3</v>
      </c>
      <c r="N153" s="1">
        <f t="shared" si="17"/>
        <v>7130.3</v>
      </c>
      <c r="O153" s="3139"/>
      <c r="P153" s="3140"/>
      <c r="Q153" s="3140"/>
      <c r="R153" s="3141"/>
    </row>
    <row r="154" spans="1:18" ht="15.75" customHeight="1" thickBot="1" x14ac:dyDescent="0.25">
      <c r="A154" s="30" t="s">
        <v>24</v>
      </c>
      <c r="B154" s="3149" t="s">
        <v>10</v>
      </c>
      <c r="C154" s="3149"/>
      <c r="D154" s="3149"/>
      <c r="E154" s="3149"/>
      <c r="F154" s="3149"/>
      <c r="G154" s="3149"/>
      <c r="H154" s="3149"/>
      <c r="I154" s="251">
        <f t="shared" si="15"/>
        <v>10196.799999999999</v>
      </c>
      <c r="J154" s="252">
        <f>J153+J130+J124</f>
        <v>5022.1000000000004</v>
      </c>
      <c r="K154" s="252">
        <f>K153+K130+K124</f>
        <v>22.3</v>
      </c>
      <c r="L154" s="252">
        <f>L153+L130+L124</f>
        <v>5174.7</v>
      </c>
      <c r="M154" s="254">
        <f>M153+M130+M124</f>
        <v>9893.4</v>
      </c>
      <c r="N154" s="396">
        <f>N153+N130+N124</f>
        <v>12730.3</v>
      </c>
      <c r="O154" s="3109"/>
      <c r="P154" s="3110"/>
      <c r="Q154" s="3110"/>
      <c r="R154" s="3111"/>
    </row>
    <row r="155" spans="1:18" ht="14.25" customHeight="1" thickBot="1" x14ac:dyDescent="0.25">
      <c r="A155" s="33" t="s">
        <v>9</v>
      </c>
      <c r="B155" s="3150" t="s">
        <v>11</v>
      </c>
      <c r="C155" s="3150"/>
      <c r="D155" s="3150"/>
      <c r="E155" s="3150"/>
      <c r="F155" s="3150"/>
      <c r="G155" s="3150"/>
      <c r="H155" s="3150"/>
      <c r="I155" s="255">
        <f t="shared" si="15"/>
        <v>199652.6</v>
      </c>
      <c r="J155" s="256">
        <f>J154+J60</f>
        <v>194268.5</v>
      </c>
      <c r="K155" s="256">
        <f>K154+K60</f>
        <v>126947.6</v>
      </c>
      <c r="L155" s="256">
        <f>L154+L60</f>
        <v>5384.0999999999995</v>
      </c>
      <c r="M155" s="258">
        <f>M154+M60</f>
        <v>204453.7</v>
      </c>
      <c r="N155" s="409">
        <f>N154+N60</f>
        <v>206652.19999999998</v>
      </c>
      <c r="O155" s="3113"/>
      <c r="P155" s="3114"/>
      <c r="Q155" s="3114"/>
      <c r="R155" s="3115"/>
    </row>
    <row r="156" spans="1:18" s="5" customFormat="1" ht="19.5" customHeight="1" thickBot="1" x14ac:dyDescent="0.25">
      <c r="A156" s="3116" t="s">
        <v>2</v>
      </c>
      <c r="B156" s="3116"/>
      <c r="C156" s="3116"/>
      <c r="D156" s="3116"/>
      <c r="E156" s="3116"/>
      <c r="F156" s="3116"/>
      <c r="G156" s="3116"/>
      <c r="H156" s="3116"/>
      <c r="I156" s="3116"/>
      <c r="J156" s="3116"/>
      <c r="K156" s="3116"/>
      <c r="L156" s="3116"/>
      <c r="M156" s="3116"/>
      <c r="N156" s="3116"/>
      <c r="O156" s="259"/>
      <c r="P156" s="259"/>
      <c r="Q156" s="259"/>
      <c r="R156" s="95"/>
    </row>
    <row r="157" spans="1:18" s="6" customFormat="1" ht="34.5" customHeight="1" thickBot="1" x14ac:dyDescent="0.25">
      <c r="A157" s="3146" t="s">
        <v>3</v>
      </c>
      <c r="B157" s="3147"/>
      <c r="C157" s="3147"/>
      <c r="D157" s="3147"/>
      <c r="E157" s="3147"/>
      <c r="F157" s="3147"/>
      <c r="G157" s="3147"/>
      <c r="H157" s="3148"/>
      <c r="I157" s="3054" t="s">
        <v>105</v>
      </c>
      <c r="J157" s="3055"/>
      <c r="K157" s="3055"/>
      <c r="L157" s="3056"/>
      <c r="M157" s="73" t="s">
        <v>108</v>
      </c>
      <c r="N157" s="73" t="s">
        <v>109</v>
      </c>
      <c r="O157" s="71"/>
      <c r="P157" s="3112"/>
      <c r="Q157" s="3112"/>
      <c r="R157" s="60"/>
    </row>
    <row r="158" spans="1:18" s="6" customFormat="1" ht="12" customHeight="1" x14ac:dyDescent="0.2">
      <c r="A158" s="3136" t="s">
        <v>33</v>
      </c>
      <c r="B158" s="3137"/>
      <c r="C158" s="3137"/>
      <c r="D158" s="3137"/>
      <c r="E158" s="3137"/>
      <c r="F158" s="3137"/>
      <c r="G158" s="3137"/>
      <c r="H158" s="3138"/>
      <c r="I158" s="3134">
        <f ca="1">SUM(I159:L163)</f>
        <v>196056.3</v>
      </c>
      <c r="J158" s="3135"/>
      <c r="K158" s="3135"/>
      <c r="L158" s="3135"/>
      <c r="M158" s="74">
        <f>SUM(M159:M163)</f>
        <v>203669.59999999998</v>
      </c>
      <c r="N158" s="74">
        <f>SUM(N159:N163)</f>
        <v>203102.2</v>
      </c>
      <c r="O158" s="72"/>
      <c r="P158" s="3128"/>
      <c r="Q158" s="3128"/>
      <c r="R158" s="60"/>
    </row>
    <row r="159" spans="1:18" s="6" customFormat="1" ht="12" customHeight="1" x14ac:dyDescent="0.2">
      <c r="A159" s="3131" t="s">
        <v>36</v>
      </c>
      <c r="B159" s="3132"/>
      <c r="C159" s="3132"/>
      <c r="D159" s="3132"/>
      <c r="E159" s="3132"/>
      <c r="F159" s="3132"/>
      <c r="G159" s="3132"/>
      <c r="H159" s="3133"/>
      <c r="I159" s="3124">
        <f>SUMIF(H12:H151,"sb",I12:I151)</f>
        <v>74582.099999999991</v>
      </c>
      <c r="J159" s="3125"/>
      <c r="K159" s="3125"/>
      <c r="L159" s="3125"/>
      <c r="M159" s="56">
        <f>SUMIF(H12:H152,"sb",M12:M152)</f>
        <v>77266.399999999994</v>
      </c>
      <c r="N159" s="56">
        <f>SUMIF(H12:H152,"sb",N12:N152)</f>
        <v>78412.399999999994</v>
      </c>
      <c r="O159" s="70"/>
      <c r="P159" s="3119"/>
      <c r="Q159" s="3119"/>
      <c r="R159" s="60"/>
    </row>
    <row r="160" spans="1:18" s="6" customFormat="1" ht="14.25" customHeight="1" x14ac:dyDescent="0.2">
      <c r="A160" s="3131" t="s">
        <v>44</v>
      </c>
      <c r="B160" s="3132"/>
      <c r="C160" s="3132"/>
      <c r="D160" s="3132"/>
      <c r="E160" s="3132"/>
      <c r="F160" s="3132"/>
      <c r="G160" s="3132"/>
      <c r="H160" s="3133"/>
      <c r="I160" s="3124">
        <f>SUMIF(H10:H144,"sb(sp)",I10:I144)</f>
        <v>16236.6</v>
      </c>
      <c r="J160" s="3125"/>
      <c r="K160" s="3125"/>
      <c r="L160" s="3125"/>
      <c r="M160" s="56">
        <f>SUMIF(H12:H152,"sb(sp)",M12:M152)</f>
        <v>16189.6</v>
      </c>
      <c r="N160" s="56">
        <f>SUMIF(H12:H152,"sb(sp)",N12:N152)</f>
        <v>16189.6</v>
      </c>
      <c r="O160" s="70"/>
      <c r="P160" s="3119"/>
      <c r="Q160" s="3119"/>
      <c r="R160" s="60"/>
    </row>
    <row r="161" spans="1:18" s="6" customFormat="1" ht="14.25" customHeight="1" x14ac:dyDescent="0.2">
      <c r="A161" s="3131" t="s">
        <v>37</v>
      </c>
      <c r="B161" s="3132"/>
      <c r="C161" s="3132"/>
      <c r="D161" s="3132"/>
      <c r="E161" s="3132"/>
      <c r="F161" s="3132"/>
      <c r="G161" s="3132"/>
      <c r="H161" s="3133"/>
      <c r="I161" s="3124">
        <f>SUMIF(H12:H144,"sb(vb)",I12:I144)</f>
        <v>103971.09999999999</v>
      </c>
      <c r="J161" s="3125"/>
      <c r="K161" s="3125"/>
      <c r="L161" s="3125"/>
      <c r="M161" s="57">
        <f>SUMIF(H12:H147,"sb(vb)",M12:M147)</f>
        <v>109213.59999999999</v>
      </c>
      <c r="N161" s="57">
        <f>SUMIF(H12:H152,"sb(vb)",N12:N152)</f>
        <v>108500.2</v>
      </c>
      <c r="O161" s="70"/>
      <c r="P161" s="3119"/>
      <c r="Q161" s="3119"/>
      <c r="R161" s="60"/>
    </row>
    <row r="162" spans="1:18" s="6" customFormat="1" ht="12.75" customHeight="1" x14ac:dyDescent="0.2">
      <c r="A162" s="3131" t="s">
        <v>54</v>
      </c>
      <c r="B162" s="3132"/>
      <c r="C162" s="3132"/>
      <c r="D162" s="3132"/>
      <c r="E162" s="3132"/>
      <c r="F162" s="3132"/>
      <c r="G162" s="3132"/>
      <c r="H162" s="3133"/>
      <c r="I162" s="3107">
        <f>SUMIF(H15:H144,"sb(p)",I15:I144)</f>
        <v>1159.5999999999999</v>
      </c>
      <c r="J162" s="3108"/>
      <c r="K162" s="3108"/>
      <c r="L162" s="3108"/>
      <c r="M162" s="39">
        <f>SUMIF(H15:H152,"sb(p)",M15:M152)</f>
        <v>0</v>
      </c>
      <c r="N162" s="39">
        <f>SUMIF(H15:H152,#REF!,N15:N152)</f>
        <v>0</v>
      </c>
      <c r="O162" s="70"/>
      <c r="P162" s="3119"/>
      <c r="Q162" s="3119"/>
      <c r="R162" s="60"/>
    </row>
    <row r="163" spans="1:18" s="6" customFormat="1" ht="12.75" customHeight="1" thickBot="1" x14ac:dyDescent="0.25">
      <c r="A163" s="3173" t="s">
        <v>0</v>
      </c>
      <c r="B163" s="3174"/>
      <c r="C163" s="3174"/>
      <c r="D163" s="3174"/>
      <c r="E163" s="3174"/>
      <c r="F163" s="3174"/>
      <c r="G163" s="3174"/>
      <c r="H163" s="3175"/>
      <c r="I163" s="3126">
        <f ca="1">SUMIF(H10:H155,"pf",I10:I144)</f>
        <v>106.9</v>
      </c>
      <c r="J163" s="3127"/>
      <c r="K163" s="3127"/>
      <c r="L163" s="3127"/>
      <c r="M163" s="75">
        <f>SUMIF(H15:H147,"pf",M15:M147)</f>
        <v>1000</v>
      </c>
      <c r="N163" s="75">
        <f>SUMIF(H15:H152,"pf",N15:N152)</f>
        <v>0</v>
      </c>
      <c r="O163" s="44"/>
      <c r="P163" s="3119"/>
      <c r="Q163" s="3119"/>
      <c r="R163" s="60"/>
    </row>
    <row r="164" spans="1:18" s="6" customFormat="1" ht="12.75" customHeight="1" thickBot="1" x14ac:dyDescent="0.25">
      <c r="A164" s="3167" t="s">
        <v>34</v>
      </c>
      <c r="B164" s="3168"/>
      <c r="C164" s="3168"/>
      <c r="D164" s="3168"/>
      <c r="E164" s="3168"/>
      <c r="F164" s="3168"/>
      <c r="G164" s="3168"/>
      <c r="H164" s="3169"/>
      <c r="I164" s="3121">
        <f>SUM(I165:L167)</f>
        <v>3596.3</v>
      </c>
      <c r="J164" s="3122"/>
      <c r="K164" s="3122"/>
      <c r="L164" s="3122"/>
      <c r="M164" s="34">
        <f>SUM(M165:M167)</f>
        <v>784.1</v>
      </c>
      <c r="N164" s="34">
        <f>SUM(N165:N167)</f>
        <v>3550</v>
      </c>
      <c r="O164" s="54"/>
      <c r="P164" s="3129"/>
      <c r="Q164" s="3129"/>
      <c r="R164" s="60"/>
    </row>
    <row r="165" spans="1:18" s="6" customFormat="1" ht="12.75" customHeight="1" x14ac:dyDescent="0.2">
      <c r="A165" s="3170" t="s">
        <v>38</v>
      </c>
      <c r="B165" s="3171"/>
      <c r="C165" s="3171"/>
      <c r="D165" s="3171"/>
      <c r="E165" s="3171"/>
      <c r="F165" s="3171"/>
      <c r="G165" s="3171"/>
      <c r="H165" s="3172"/>
      <c r="I165" s="3107">
        <f>SUMIF(H10:H144,"es",I10:I144)</f>
        <v>2091.3000000000002</v>
      </c>
      <c r="J165" s="3108"/>
      <c r="K165" s="3108"/>
      <c r="L165" s="3108"/>
      <c r="M165" s="9">
        <f>SUMIF(H15:H147,"es",M15:M147)</f>
        <v>784.1</v>
      </c>
      <c r="N165" s="9">
        <f>SUMIF(H15:H152,"es",N15:N152)</f>
        <v>3500</v>
      </c>
      <c r="O165" s="44"/>
      <c r="P165" s="3123"/>
      <c r="Q165" s="3123"/>
      <c r="R165" s="60"/>
    </row>
    <row r="166" spans="1:18" s="6" customFormat="1" ht="12.75" customHeight="1" x14ac:dyDescent="0.2">
      <c r="A166" s="3176" t="s">
        <v>1</v>
      </c>
      <c r="B166" s="3177"/>
      <c r="C166" s="3177"/>
      <c r="D166" s="3177"/>
      <c r="E166" s="3177"/>
      <c r="F166" s="3177"/>
      <c r="G166" s="3177"/>
      <c r="H166" s="3178"/>
      <c r="I166" s="3124">
        <f>SUMIF(H10:H144,"lrvb",I10:I144)</f>
        <v>65.8</v>
      </c>
      <c r="J166" s="3125"/>
      <c r="K166" s="3125"/>
      <c r="L166" s="3125"/>
      <c r="M166" s="58">
        <f>SUMIF(H15:H143,"lrvb",M15:M143)</f>
        <v>0</v>
      </c>
      <c r="N166" s="58">
        <f>SUMIF(H15:H152,"lrvb",N15:N152)</f>
        <v>0</v>
      </c>
      <c r="O166" s="44"/>
      <c r="P166" s="3123"/>
      <c r="Q166" s="3123"/>
      <c r="R166" s="60"/>
    </row>
    <row r="167" spans="1:18" s="6" customFormat="1" ht="12.75" customHeight="1" thickBot="1" x14ac:dyDescent="0.25">
      <c r="A167" s="3179" t="s">
        <v>176</v>
      </c>
      <c r="B167" s="3180"/>
      <c r="C167" s="3180"/>
      <c r="D167" s="3180"/>
      <c r="E167" s="3180"/>
      <c r="F167" s="3180"/>
      <c r="G167" s="3180"/>
      <c r="H167" s="3181"/>
      <c r="I167" s="3126">
        <f>SUMIF(H15:H150,"kt",I15:I151)</f>
        <v>1439.2</v>
      </c>
      <c r="J167" s="3127"/>
      <c r="K167" s="3127"/>
      <c r="L167" s="3130"/>
      <c r="M167" s="75">
        <f>SUMIF(H12:H150,"kt",M12:M150)</f>
        <v>0</v>
      </c>
      <c r="N167" s="75">
        <f>SUMIF(H12:H150,"Kt",N12:N150)</f>
        <v>50</v>
      </c>
      <c r="O167" s="44"/>
      <c r="P167" s="455"/>
      <c r="Q167" s="455"/>
      <c r="R167" s="60"/>
    </row>
    <row r="168" spans="1:18" ht="12.75" customHeight="1" thickBot="1" x14ac:dyDescent="0.25">
      <c r="A168" s="3164" t="s">
        <v>35</v>
      </c>
      <c r="B168" s="3165"/>
      <c r="C168" s="3165"/>
      <c r="D168" s="3165"/>
      <c r="E168" s="3165"/>
      <c r="F168" s="3165"/>
      <c r="G168" s="3165"/>
      <c r="H168" s="3166"/>
      <c r="I168" s="3105">
        <f ca="1">I164+I158</f>
        <v>199652.59999999998</v>
      </c>
      <c r="J168" s="3106"/>
      <c r="K168" s="3106"/>
      <c r="L168" s="3106"/>
      <c r="M168" s="374">
        <f>M158+M164</f>
        <v>204453.69999999998</v>
      </c>
      <c r="N168" s="374">
        <f>N164+N158</f>
        <v>206652.2</v>
      </c>
      <c r="O168" s="72"/>
      <c r="P168" s="3128"/>
      <c r="Q168" s="3128"/>
    </row>
    <row r="169" spans="1:18" x14ac:dyDescent="0.2">
      <c r="J169" s="208"/>
      <c r="M169" s="208"/>
      <c r="N169" s="208"/>
    </row>
    <row r="170" spans="1:18" x14ac:dyDescent="0.2">
      <c r="D170" s="2"/>
      <c r="E170" s="214"/>
      <c r="F170" s="214"/>
      <c r="G170" s="59"/>
      <c r="H170" s="113"/>
      <c r="I170" s="156"/>
      <c r="J170" s="2"/>
      <c r="K170" s="2"/>
      <c r="L170" s="2"/>
      <c r="M170" s="2"/>
      <c r="N170" s="2"/>
    </row>
    <row r="171" spans="1:18" x14ac:dyDescent="0.2">
      <c r="D171" s="2"/>
      <c r="E171" s="214"/>
      <c r="F171" s="214"/>
      <c r="G171" s="59"/>
      <c r="H171" s="113"/>
      <c r="I171" s="2"/>
      <c r="J171" s="2"/>
      <c r="K171" s="2"/>
      <c r="L171" s="2"/>
      <c r="M171" s="2"/>
      <c r="N171" s="2"/>
    </row>
    <row r="172" spans="1:18" x14ac:dyDescent="0.2">
      <c r="D172" s="2"/>
      <c r="E172" s="214"/>
      <c r="F172" s="214"/>
      <c r="G172" s="59"/>
      <c r="H172" s="113"/>
      <c r="I172" s="2"/>
      <c r="J172" s="2"/>
      <c r="K172" s="2"/>
      <c r="L172" s="2"/>
      <c r="M172" s="2"/>
      <c r="N172" s="2"/>
    </row>
    <row r="173" spans="1:18" x14ac:dyDescent="0.2">
      <c r="D173" s="2"/>
      <c r="E173" s="214"/>
      <c r="F173" s="214"/>
      <c r="G173" s="59"/>
      <c r="H173" s="113"/>
      <c r="I173" s="2"/>
      <c r="J173" s="2"/>
      <c r="K173" s="2"/>
      <c r="L173" s="2"/>
      <c r="M173" s="2"/>
      <c r="N173" s="2"/>
    </row>
    <row r="174" spans="1:18" x14ac:dyDescent="0.2">
      <c r="D174" s="2"/>
      <c r="E174" s="214"/>
      <c r="F174" s="214"/>
      <c r="G174" s="59"/>
      <c r="H174" s="113"/>
      <c r="I174" s="2"/>
      <c r="J174" s="2"/>
      <c r="K174" s="2"/>
      <c r="L174" s="2"/>
      <c r="M174" s="2"/>
      <c r="N174" s="2"/>
    </row>
    <row r="175" spans="1:18" x14ac:dyDescent="0.2">
      <c r="D175" s="2"/>
      <c r="E175" s="214"/>
      <c r="F175" s="214"/>
      <c r="G175" s="59"/>
      <c r="H175" s="113"/>
      <c r="I175" s="2"/>
      <c r="J175" s="2"/>
      <c r="K175" s="2"/>
      <c r="L175" s="2"/>
      <c r="M175" s="2"/>
      <c r="N175" s="2"/>
    </row>
    <row r="176" spans="1:18" x14ac:dyDescent="0.2">
      <c r="D176" s="2"/>
      <c r="E176" s="214"/>
      <c r="F176" s="214"/>
      <c r="G176" s="59"/>
      <c r="H176" s="113"/>
      <c r="I176" s="2"/>
      <c r="J176" s="2"/>
      <c r="K176" s="2"/>
      <c r="L176" s="2"/>
      <c r="M176" s="2"/>
      <c r="N176" s="2"/>
    </row>
    <row r="177" spans="1:18" x14ac:dyDescent="0.2">
      <c r="D177" s="2"/>
      <c r="E177" s="214"/>
      <c r="F177" s="214"/>
      <c r="G177" s="59"/>
      <c r="H177" s="113"/>
      <c r="I177" s="2"/>
      <c r="J177" s="2"/>
      <c r="K177" s="2"/>
      <c r="L177" s="2"/>
      <c r="M177" s="2"/>
      <c r="N177" s="2"/>
    </row>
    <row r="178" spans="1:18" x14ac:dyDescent="0.2">
      <c r="D178" s="2"/>
      <c r="E178" s="214"/>
      <c r="F178" s="214"/>
      <c r="G178" s="59"/>
      <c r="H178" s="113"/>
      <c r="I178" s="2"/>
      <c r="J178" s="2"/>
      <c r="K178" s="2"/>
      <c r="L178" s="2"/>
      <c r="M178" s="2"/>
      <c r="N178" s="2"/>
    </row>
    <row r="179" spans="1:18" x14ac:dyDescent="0.2">
      <c r="D179" s="2"/>
      <c r="E179" s="214"/>
      <c r="F179" s="214"/>
      <c r="G179" s="59"/>
      <c r="H179" s="113"/>
      <c r="I179" s="2"/>
      <c r="J179" s="2"/>
      <c r="K179" s="2"/>
      <c r="L179" s="2"/>
      <c r="M179" s="2"/>
      <c r="N179" s="2"/>
    </row>
    <row r="180" spans="1:18" x14ac:dyDescent="0.2">
      <c r="D180" s="2"/>
      <c r="E180" s="214"/>
      <c r="F180" s="214"/>
      <c r="G180" s="59"/>
      <c r="H180" s="113"/>
      <c r="I180" s="2"/>
      <c r="J180" s="2"/>
      <c r="K180" s="2"/>
      <c r="L180" s="2"/>
      <c r="M180" s="2"/>
      <c r="N180" s="2"/>
    </row>
    <row r="181" spans="1:18" x14ac:dyDescent="0.2">
      <c r="A181" s="2"/>
      <c r="B181" s="2"/>
      <c r="C181" s="2"/>
      <c r="D181" s="2"/>
      <c r="E181" s="214"/>
      <c r="F181" s="214"/>
      <c r="G181" s="59"/>
      <c r="H181" s="113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4"/>
      <c r="F182" s="214"/>
      <c r="G182" s="59"/>
      <c r="H182" s="113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4"/>
      <c r="F183" s="214"/>
      <c r="G183" s="59"/>
      <c r="H183" s="113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4"/>
      <c r="F184" s="214"/>
      <c r="G184" s="59"/>
      <c r="H184" s="113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4"/>
      <c r="F185" s="214"/>
      <c r="G185" s="59"/>
      <c r="H185" s="113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14"/>
      <c r="F186" s="214"/>
      <c r="G186" s="59"/>
      <c r="H186" s="113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14"/>
      <c r="F187" s="214"/>
      <c r="G187" s="59"/>
      <c r="H187" s="113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14"/>
      <c r="F188" s="214"/>
      <c r="G188" s="59"/>
      <c r="H188" s="113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14"/>
      <c r="F189" s="214"/>
      <c r="G189" s="59"/>
      <c r="H189" s="113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14"/>
      <c r="F190" s="214"/>
      <c r="G190" s="59"/>
      <c r="H190" s="113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14"/>
      <c r="F191" s="214"/>
      <c r="G191" s="59"/>
      <c r="H191" s="113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14"/>
      <c r="F192" s="214"/>
      <c r="G192" s="59"/>
      <c r="H192" s="113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14"/>
      <c r="F193" s="214"/>
      <c r="G193" s="59"/>
      <c r="H193" s="113"/>
      <c r="I193" s="2"/>
      <c r="J193" s="2"/>
      <c r="K193" s="2"/>
      <c r="L193" s="2"/>
      <c r="M193" s="2"/>
      <c r="N193" s="2"/>
      <c r="O193" s="2"/>
      <c r="P193" s="2"/>
      <c r="Q193" s="2"/>
      <c r="R193" s="2"/>
    </row>
  </sheetData>
  <mergeCells count="300">
    <mergeCell ref="O98:O99"/>
    <mergeCell ref="O80:O83"/>
    <mergeCell ref="D76:D79"/>
    <mergeCell ref="D73:D75"/>
    <mergeCell ref="B50:B52"/>
    <mergeCell ref="B60:H60"/>
    <mergeCell ref="B61:R61"/>
    <mergeCell ref="D64:D67"/>
    <mergeCell ref="O60:R60"/>
    <mergeCell ref="D53:D54"/>
    <mergeCell ref="F50:F52"/>
    <mergeCell ref="F57:F58"/>
    <mergeCell ref="E50:E52"/>
    <mergeCell ref="B53:B54"/>
    <mergeCell ref="D57:D58"/>
    <mergeCell ref="C55:C56"/>
    <mergeCell ref="D50:D52"/>
    <mergeCell ref="E53:E54"/>
    <mergeCell ref="F53:F54"/>
    <mergeCell ref="E87:H87"/>
    <mergeCell ref="A48:A49"/>
    <mergeCell ref="C46:C47"/>
    <mergeCell ref="A46:A47"/>
    <mergeCell ref="A38:A40"/>
    <mergeCell ref="D44:D45"/>
    <mergeCell ref="C48:C49"/>
    <mergeCell ref="D48:D49"/>
    <mergeCell ref="B38:B40"/>
    <mergeCell ref="G46:G47"/>
    <mergeCell ref="E38:E41"/>
    <mergeCell ref="G48:G49"/>
    <mergeCell ref="C38:C40"/>
    <mergeCell ref="G44:G45"/>
    <mergeCell ref="F44:F45"/>
    <mergeCell ref="F46:F47"/>
    <mergeCell ref="C43:R43"/>
    <mergeCell ref="B46:B47"/>
    <mergeCell ref="B44:B45"/>
    <mergeCell ref="E44:E45"/>
    <mergeCell ref="F48:F49"/>
    <mergeCell ref="E48:E49"/>
    <mergeCell ref="E46:E47"/>
    <mergeCell ref="A50:A52"/>
    <mergeCell ref="O124:R124"/>
    <mergeCell ref="G126:G127"/>
    <mergeCell ref="D120:D121"/>
    <mergeCell ref="E55:E56"/>
    <mergeCell ref="F120:F121"/>
    <mergeCell ref="F112:F114"/>
    <mergeCell ref="E106:E111"/>
    <mergeCell ref="C50:C52"/>
    <mergeCell ref="C57:C58"/>
    <mergeCell ref="C59:H59"/>
    <mergeCell ref="C53:C54"/>
    <mergeCell ref="D68:D70"/>
    <mergeCell ref="D71:D72"/>
    <mergeCell ref="D100:D101"/>
    <mergeCell ref="D89:D92"/>
    <mergeCell ref="D93:D96"/>
    <mergeCell ref="A53:A54"/>
    <mergeCell ref="A126:A127"/>
    <mergeCell ref="B126:B127"/>
    <mergeCell ref="D104:D105"/>
    <mergeCell ref="Q125:R125"/>
    <mergeCell ref="D113:D114"/>
    <mergeCell ref="G50:G52"/>
    <mergeCell ref="A55:A56"/>
    <mergeCell ref="D80:D83"/>
    <mergeCell ref="D116:D117"/>
    <mergeCell ref="G116:G117"/>
    <mergeCell ref="O104:O105"/>
    <mergeCell ref="E112:E114"/>
    <mergeCell ref="O57:O58"/>
    <mergeCell ref="C62:R62"/>
    <mergeCell ref="P59:R59"/>
    <mergeCell ref="Q71:Q72"/>
    <mergeCell ref="O117:O118"/>
    <mergeCell ref="D55:D56"/>
    <mergeCell ref="G55:G56"/>
    <mergeCell ref="E57:E58"/>
    <mergeCell ref="A57:A58"/>
    <mergeCell ref="D84:D87"/>
    <mergeCell ref="E102:H102"/>
    <mergeCell ref="O64:O66"/>
    <mergeCell ref="O68:O69"/>
    <mergeCell ref="F55:F56"/>
    <mergeCell ref="O73:O75"/>
    <mergeCell ref="O76:O79"/>
    <mergeCell ref="O89:O92"/>
    <mergeCell ref="O93:O96"/>
    <mergeCell ref="A128:A129"/>
    <mergeCell ref="A143:A144"/>
    <mergeCell ref="A145:A146"/>
    <mergeCell ref="B145:B146"/>
    <mergeCell ref="G145:G146"/>
    <mergeCell ref="G128:G129"/>
    <mergeCell ref="D128:D129"/>
    <mergeCell ref="C130:H130"/>
    <mergeCell ref="C131:R131"/>
    <mergeCell ref="E143:E144"/>
    <mergeCell ref="O130:R130"/>
    <mergeCell ref="E141:E142"/>
    <mergeCell ref="F128:F129"/>
    <mergeCell ref="E128:E129"/>
    <mergeCell ref="G141:G142"/>
    <mergeCell ref="O141:O142"/>
    <mergeCell ref="O139:O140"/>
    <mergeCell ref="D141:D142"/>
    <mergeCell ref="B150:B152"/>
    <mergeCell ref="A168:H168"/>
    <mergeCell ref="A164:H164"/>
    <mergeCell ref="A165:H165"/>
    <mergeCell ref="A163:H163"/>
    <mergeCell ref="A166:H166"/>
    <mergeCell ref="A162:H162"/>
    <mergeCell ref="A160:H160"/>
    <mergeCell ref="A167:H167"/>
    <mergeCell ref="G150:G152"/>
    <mergeCell ref="I159:L159"/>
    <mergeCell ref="I158:L158"/>
    <mergeCell ref="A159:H159"/>
    <mergeCell ref="I160:L160"/>
    <mergeCell ref="A158:H158"/>
    <mergeCell ref="P159:Q159"/>
    <mergeCell ref="P158:Q158"/>
    <mergeCell ref="O153:R153"/>
    <mergeCell ref="O145:O146"/>
    <mergeCell ref="D150:D152"/>
    <mergeCell ref="E150:E152"/>
    <mergeCell ref="D145:D146"/>
    <mergeCell ref="E145:E146"/>
    <mergeCell ref="I157:L157"/>
    <mergeCell ref="A157:H157"/>
    <mergeCell ref="B154:H154"/>
    <mergeCell ref="B155:H155"/>
    <mergeCell ref="A147:A149"/>
    <mergeCell ref="A150:A152"/>
    <mergeCell ref="D147:D149"/>
    <mergeCell ref="E147:E149"/>
    <mergeCell ref="B147:B149"/>
    <mergeCell ref="G147:G149"/>
    <mergeCell ref="C153:H153"/>
    <mergeCell ref="C124:H124"/>
    <mergeCell ref="I168:L168"/>
    <mergeCell ref="I162:L162"/>
    <mergeCell ref="O154:R154"/>
    <mergeCell ref="P157:Q157"/>
    <mergeCell ref="O155:R155"/>
    <mergeCell ref="A156:N156"/>
    <mergeCell ref="B143:B144"/>
    <mergeCell ref="P163:Q163"/>
    <mergeCell ref="O143:O144"/>
    <mergeCell ref="I164:L164"/>
    <mergeCell ref="I165:L165"/>
    <mergeCell ref="P166:Q166"/>
    <mergeCell ref="I166:L166"/>
    <mergeCell ref="I163:L163"/>
    <mergeCell ref="P168:Q168"/>
    <mergeCell ref="P165:Q165"/>
    <mergeCell ref="P164:Q164"/>
    <mergeCell ref="I167:L167"/>
    <mergeCell ref="P161:Q161"/>
    <mergeCell ref="P160:Q160"/>
    <mergeCell ref="A161:H161"/>
    <mergeCell ref="P162:Q162"/>
    <mergeCell ref="I161:L161"/>
    <mergeCell ref="A18:A20"/>
    <mergeCell ref="A28:A29"/>
    <mergeCell ref="D143:D144"/>
    <mergeCell ref="O126:O127"/>
    <mergeCell ref="E126:E127"/>
    <mergeCell ref="G143:G144"/>
    <mergeCell ref="D126:D127"/>
    <mergeCell ref="F126:F127"/>
    <mergeCell ref="P71:P72"/>
    <mergeCell ref="C42:H42"/>
    <mergeCell ref="G38:G41"/>
    <mergeCell ref="F38:F41"/>
    <mergeCell ref="G53:G54"/>
    <mergeCell ref="G57:G58"/>
    <mergeCell ref="C44:C45"/>
    <mergeCell ref="D38:D41"/>
    <mergeCell ref="D46:D47"/>
    <mergeCell ref="O113:O114"/>
    <mergeCell ref="G120:G121"/>
    <mergeCell ref="O71:O72"/>
    <mergeCell ref="E120:E121"/>
    <mergeCell ref="F104:F105"/>
    <mergeCell ref="G104:G105"/>
    <mergeCell ref="C125:F125"/>
    <mergeCell ref="A1:R1"/>
    <mergeCell ref="E5:E7"/>
    <mergeCell ref="F5:F7"/>
    <mergeCell ref="A2:R2"/>
    <mergeCell ref="A3:R3"/>
    <mergeCell ref="G5:G7"/>
    <mergeCell ref="O5:R5"/>
    <mergeCell ref="P6:R6"/>
    <mergeCell ref="N5:N7"/>
    <mergeCell ref="C4:R4"/>
    <mergeCell ref="M5:M7"/>
    <mergeCell ref="A5:A7"/>
    <mergeCell ref="I5:L5"/>
    <mergeCell ref="D5:D7"/>
    <mergeCell ref="H5:H7"/>
    <mergeCell ref="O6:O7"/>
    <mergeCell ref="I6:I7"/>
    <mergeCell ref="J6:K6"/>
    <mergeCell ref="L6:L7"/>
    <mergeCell ref="B5:B7"/>
    <mergeCell ref="C5:C7"/>
    <mergeCell ref="A21:A24"/>
    <mergeCell ref="C21:C24"/>
    <mergeCell ref="A26:A27"/>
    <mergeCell ref="B26:B27"/>
    <mergeCell ref="C26:C27"/>
    <mergeCell ref="D28:D29"/>
    <mergeCell ref="F26:F27"/>
    <mergeCell ref="A32:A33"/>
    <mergeCell ref="B32:B33"/>
    <mergeCell ref="C32:C33"/>
    <mergeCell ref="E28:E29"/>
    <mergeCell ref="E21:E25"/>
    <mergeCell ref="F21:F25"/>
    <mergeCell ref="B28:B29"/>
    <mergeCell ref="A8:R8"/>
    <mergeCell ref="A9:R9"/>
    <mergeCell ref="D15:D17"/>
    <mergeCell ref="F15:F17"/>
    <mergeCell ref="E15:E17"/>
    <mergeCell ref="F12:F13"/>
    <mergeCell ref="D12:D13"/>
    <mergeCell ref="E12:E13"/>
    <mergeCell ref="B10:R10"/>
    <mergeCell ref="C15:C17"/>
    <mergeCell ref="G15:G17"/>
    <mergeCell ref="C12:C13"/>
    <mergeCell ref="C11:R11"/>
    <mergeCell ref="O16:O17"/>
    <mergeCell ref="G12:G13"/>
    <mergeCell ref="G18:G20"/>
    <mergeCell ref="G30:G31"/>
    <mergeCell ref="D18:D20"/>
    <mergeCell ref="F18:F20"/>
    <mergeCell ref="R28:R29"/>
    <mergeCell ref="Q36:Q37"/>
    <mergeCell ref="O34:O35"/>
    <mergeCell ref="E36:E37"/>
    <mergeCell ref="D32:D33"/>
    <mergeCell ref="O36:O37"/>
    <mergeCell ref="O32:O33"/>
    <mergeCell ref="R36:R37"/>
    <mergeCell ref="Q28:Q29"/>
    <mergeCell ref="P28:P29"/>
    <mergeCell ref="O28:O29"/>
    <mergeCell ref="R30:R31"/>
    <mergeCell ref="P36:P37"/>
    <mergeCell ref="G26:G27"/>
    <mergeCell ref="G28:G29"/>
    <mergeCell ref="C18:C20"/>
    <mergeCell ref="E18:E20"/>
    <mergeCell ref="D26:D27"/>
    <mergeCell ref="D34:D35"/>
    <mergeCell ref="D36:D37"/>
    <mergeCell ref="F34:F35"/>
    <mergeCell ref="E30:E31"/>
    <mergeCell ref="F30:F31"/>
    <mergeCell ref="D30:D31"/>
    <mergeCell ref="F36:F37"/>
    <mergeCell ref="E34:E35"/>
    <mergeCell ref="C28:C29"/>
    <mergeCell ref="E26:E27"/>
    <mergeCell ref="D21:D25"/>
    <mergeCell ref="F28:F29"/>
    <mergeCell ref="X24:X25"/>
    <mergeCell ref="U24:U25"/>
    <mergeCell ref="V24:V25"/>
    <mergeCell ref="W24:W25"/>
    <mergeCell ref="X26:X27"/>
    <mergeCell ref="G36:G37"/>
    <mergeCell ref="O42:R42"/>
    <mergeCell ref="R38:R41"/>
    <mergeCell ref="O84:O85"/>
    <mergeCell ref="Q38:Q41"/>
    <mergeCell ref="P38:P41"/>
    <mergeCell ref="O38:O41"/>
    <mergeCell ref="G34:G35"/>
    <mergeCell ref="P80:P83"/>
    <mergeCell ref="G21:G25"/>
    <mergeCell ref="C122:C123"/>
    <mergeCell ref="D122:D123"/>
    <mergeCell ref="E122:E123"/>
    <mergeCell ref="F122:F123"/>
    <mergeCell ref="G122:G123"/>
    <mergeCell ref="O122:O123"/>
    <mergeCell ref="O107:O110"/>
    <mergeCell ref="C120:C121"/>
    <mergeCell ref="D106:D107"/>
    <mergeCell ref="O120:O121"/>
    <mergeCell ref="E119:H119"/>
  </mergeCells>
  <phoneticPr fontId="0" type="noConversion"/>
  <printOptions horizontalCentered="1"/>
  <pageMargins left="0" right="0" top="0.35433070866141736" bottom="0.19685039370078741" header="0.31496062992125984" footer="0.31496062992125984"/>
  <pageSetup paperSize="9" scale="95" orientation="landscape" r:id="rId1"/>
  <rowBreaks count="7" manualBreakCount="7">
    <brk id="31" max="17" man="1"/>
    <brk id="52" max="17" man="1"/>
    <brk id="75" max="17" man="1"/>
    <brk id="99" max="17" man="1"/>
    <brk id="124" max="17" man="1"/>
    <brk id="140" max="17" man="1"/>
    <brk id="155" max="17" man="1"/>
  </rowBreaks>
  <colBreaks count="1" manualBreakCount="1">
    <brk id="18" max="1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3264" t="s">
        <v>95</v>
      </c>
      <c r="C1" s="3264"/>
    </row>
    <row r="2" spans="2:3" ht="31.5" x14ac:dyDescent="0.2">
      <c r="B2" s="141" t="s">
        <v>16</v>
      </c>
      <c r="C2" s="142" t="s">
        <v>96</v>
      </c>
    </row>
    <row r="3" spans="2:3" ht="15.75" x14ac:dyDescent="0.2">
      <c r="B3" s="141">
        <v>1</v>
      </c>
      <c r="C3" s="143" t="s">
        <v>94</v>
      </c>
    </row>
    <row r="4" spans="2:3" ht="15.75" x14ac:dyDescent="0.2">
      <c r="B4" s="141">
        <v>2</v>
      </c>
      <c r="C4" s="144" t="s">
        <v>97</v>
      </c>
    </row>
    <row r="5" spans="2:3" ht="15.75" x14ac:dyDescent="0.2">
      <c r="B5" s="141">
        <v>3</v>
      </c>
      <c r="C5" s="143" t="s">
        <v>98</v>
      </c>
    </row>
    <row r="6" spans="2:3" ht="15.75" x14ac:dyDescent="0.2">
      <c r="B6" s="141">
        <v>4</v>
      </c>
      <c r="C6" s="143" t="s">
        <v>99</v>
      </c>
    </row>
    <row r="7" spans="2:3" ht="15.75" x14ac:dyDescent="0.2">
      <c r="B7" s="141">
        <v>5</v>
      </c>
      <c r="C7" s="143" t="s">
        <v>100</v>
      </c>
    </row>
    <row r="8" spans="2:3" ht="15.75" x14ac:dyDescent="0.2">
      <c r="B8" s="141">
        <v>6</v>
      </c>
      <c r="C8" s="143" t="s">
        <v>101</v>
      </c>
    </row>
    <row r="10" spans="2:3" ht="12.75" customHeight="1" x14ac:dyDescent="0.2">
      <c r="B10" s="3265" t="s">
        <v>102</v>
      </c>
      <c r="C10" s="3265"/>
    </row>
    <row r="11" spans="2:3" x14ac:dyDescent="0.2">
      <c r="B11" s="3265"/>
      <c r="C11" s="3265"/>
    </row>
  </sheetData>
  <mergeCells count="2">
    <mergeCell ref="B1:C1"/>
    <mergeCell ref="B10:C11"/>
  </mergeCells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zoomScaleNormal="100" zoomScaleSheetLayoutView="80" workbookViewId="0">
      <selection activeCell="P22" sqref="P22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3" customWidth="1"/>
    <col min="6" max="6" width="3" style="60" customWidth="1"/>
    <col min="7" max="7" width="8.140625" style="1112" customWidth="1"/>
    <col min="8" max="8" width="9.85546875" style="1494" customWidth="1"/>
    <col min="9" max="9" width="9.7109375" style="1495" hidden="1" customWidth="1"/>
    <col min="10" max="10" width="8.42578125" style="1495" hidden="1" customWidth="1"/>
    <col min="11" max="11" width="8.5703125" style="1495" hidden="1" customWidth="1"/>
    <col min="12" max="12" width="7.42578125" style="1495" hidden="1" customWidth="1"/>
    <col min="13" max="14" width="9.5703125" style="1495" customWidth="1"/>
    <col min="15" max="15" width="26.42578125" style="6" customWidth="1"/>
    <col min="16" max="16" width="5.7109375" style="18" customWidth="1"/>
    <col min="17" max="17" width="6.42578125" style="60" customWidth="1"/>
    <col min="18" max="18" width="5.85546875" style="1090" customWidth="1"/>
    <col min="19" max="19" width="9.140625" style="2" customWidth="1"/>
    <col min="20" max="16384" width="9.140625" style="2"/>
  </cols>
  <sheetData>
    <row r="1" spans="1:22" x14ac:dyDescent="0.2">
      <c r="A1" s="3029" t="s">
        <v>228</v>
      </c>
      <c r="B1" s="3029"/>
      <c r="C1" s="3029"/>
      <c r="D1" s="3029"/>
      <c r="E1" s="3029"/>
      <c r="F1" s="3029"/>
      <c r="G1" s="3029"/>
      <c r="H1" s="3029"/>
      <c r="I1" s="3029"/>
      <c r="J1" s="3029"/>
      <c r="K1" s="3029"/>
      <c r="L1" s="3029"/>
      <c r="M1" s="3029"/>
      <c r="N1" s="3029"/>
      <c r="O1" s="3029"/>
      <c r="P1" s="3029"/>
      <c r="Q1" s="3029"/>
      <c r="R1" s="3029"/>
    </row>
    <row r="2" spans="1:22" x14ac:dyDescent="0.2">
      <c r="A2" s="3036" t="s">
        <v>39</v>
      </c>
      <c r="B2" s="3036"/>
      <c r="C2" s="3036"/>
      <c r="D2" s="3036"/>
      <c r="E2" s="3036"/>
      <c r="F2" s="3036"/>
      <c r="G2" s="3036"/>
      <c r="H2" s="3036"/>
      <c r="I2" s="3036"/>
      <c r="J2" s="3036"/>
      <c r="K2" s="3036"/>
      <c r="L2" s="3036"/>
      <c r="M2" s="3036"/>
      <c r="N2" s="3036"/>
      <c r="O2" s="3036"/>
      <c r="P2" s="3036"/>
      <c r="Q2" s="3036"/>
      <c r="R2" s="3036"/>
    </row>
    <row r="3" spans="1:22" x14ac:dyDescent="0.2">
      <c r="A3" s="3037" t="s">
        <v>223</v>
      </c>
      <c r="B3" s="3037"/>
      <c r="C3" s="3037"/>
      <c r="D3" s="3037"/>
      <c r="E3" s="3037"/>
      <c r="F3" s="3037"/>
      <c r="G3" s="3037"/>
      <c r="H3" s="3037"/>
      <c r="I3" s="3037"/>
      <c r="J3" s="3037"/>
      <c r="K3" s="3037"/>
      <c r="L3" s="3037"/>
      <c r="M3" s="3037"/>
      <c r="N3" s="3037"/>
      <c r="O3" s="3037"/>
      <c r="P3" s="3037"/>
      <c r="Q3" s="3037"/>
      <c r="R3" s="3037"/>
    </row>
    <row r="4" spans="1:22" ht="13.5" thickBot="1" x14ac:dyDescent="0.25">
      <c r="A4" s="1113"/>
      <c r="B4" s="1113"/>
      <c r="C4" s="3050" t="s">
        <v>292</v>
      </c>
      <c r="D4" s="3050"/>
      <c r="E4" s="3050"/>
      <c r="F4" s="3050"/>
      <c r="G4" s="3050"/>
      <c r="H4" s="3050"/>
      <c r="I4" s="3050"/>
      <c r="J4" s="3050"/>
      <c r="K4" s="3050"/>
      <c r="L4" s="3050"/>
      <c r="M4" s="3050"/>
      <c r="N4" s="3050"/>
      <c r="O4" s="3050"/>
      <c r="P4" s="3050"/>
      <c r="Q4" s="3050"/>
      <c r="R4" s="3050"/>
    </row>
    <row r="5" spans="1:22" ht="12.75" customHeight="1" x14ac:dyDescent="0.2">
      <c r="A5" s="3051" t="s">
        <v>12</v>
      </c>
      <c r="B5" s="3070" t="s">
        <v>13</v>
      </c>
      <c r="C5" s="3070" t="s">
        <v>14</v>
      </c>
      <c r="D5" s="3057" t="s">
        <v>31</v>
      </c>
      <c r="E5" s="3030" t="s">
        <v>15</v>
      </c>
      <c r="F5" s="3038" t="s">
        <v>16</v>
      </c>
      <c r="G5" s="3060" t="s">
        <v>17</v>
      </c>
      <c r="H5" s="3404" t="s">
        <v>288</v>
      </c>
      <c r="I5" s="3395" t="s">
        <v>288</v>
      </c>
      <c r="J5" s="3396"/>
      <c r="K5" s="3396"/>
      <c r="L5" s="3397"/>
      <c r="M5" s="3404" t="s">
        <v>324</v>
      </c>
      <c r="N5" s="3404" t="s">
        <v>325</v>
      </c>
      <c r="O5" s="3041" t="s">
        <v>72</v>
      </c>
      <c r="P5" s="3042"/>
      <c r="Q5" s="3042"/>
      <c r="R5" s="3043"/>
    </row>
    <row r="6" spans="1:22" ht="12.75" customHeight="1" x14ac:dyDescent="0.2">
      <c r="A6" s="3052"/>
      <c r="B6" s="3071"/>
      <c r="C6" s="3071"/>
      <c r="D6" s="3058"/>
      <c r="E6" s="3031"/>
      <c r="F6" s="3039"/>
      <c r="G6" s="3061"/>
      <c r="H6" s="3405"/>
      <c r="I6" s="3398"/>
      <c r="J6" s="3399"/>
      <c r="K6" s="3399"/>
      <c r="L6" s="3400"/>
      <c r="M6" s="3405"/>
      <c r="N6" s="3405"/>
      <c r="O6" s="3063" t="s">
        <v>31</v>
      </c>
      <c r="P6" s="3044" t="s">
        <v>293</v>
      </c>
      <c r="Q6" s="3045"/>
      <c r="R6" s="3046"/>
    </row>
    <row r="7" spans="1:22" ht="102.75" customHeight="1" thickBot="1" x14ac:dyDescent="0.25">
      <c r="A7" s="3053"/>
      <c r="B7" s="3072"/>
      <c r="C7" s="3072"/>
      <c r="D7" s="3059"/>
      <c r="E7" s="3032"/>
      <c r="F7" s="3040"/>
      <c r="G7" s="3062"/>
      <c r="H7" s="3406"/>
      <c r="I7" s="3401"/>
      <c r="J7" s="3402"/>
      <c r="K7" s="3402"/>
      <c r="L7" s="3403"/>
      <c r="M7" s="3406"/>
      <c r="N7" s="3406"/>
      <c r="O7" s="3064"/>
      <c r="P7" s="245" t="s">
        <v>75</v>
      </c>
      <c r="Q7" s="245" t="s">
        <v>107</v>
      </c>
      <c r="R7" s="246" t="s">
        <v>230</v>
      </c>
    </row>
    <row r="8" spans="1:22" ht="13.5" thickBot="1" x14ac:dyDescent="0.25">
      <c r="A8" s="2994" t="s">
        <v>41</v>
      </c>
      <c r="B8" s="2995"/>
      <c r="C8" s="2995"/>
      <c r="D8" s="2995"/>
      <c r="E8" s="2995"/>
      <c r="F8" s="2995"/>
      <c r="G8" s="2995"/>
      <c r="H8" s="2995"/>
      <c r="I8" s="2995"/>
      <c r="J8" s="2995"/>
      <c r="K8" s="2995"/>
      <c r="L8" s="2995"/>
      <c r="M8" s="2995"/>
      <c r="N8" s="2995"/>
      <c r="O8" s="2995"/>
      <c r="P8" s="2995"/>
      <c r="Q8" s="2995"/>
      <c r="R8" s="2996"/>
    </row>
    <row r="9" spans="1:22" ht="13.5" thickBot="1" x14ac:dyDescent="0.25">
      <c r="A9" s="2997" t="s">
        <v>40</v>
      </c>
      <c r="B9" s="2998"/>
      <c r="C9" s="2998"/>
      <c r="D9" s="2998"/>
      <c r="E9" s="2998"/>
      <c r="F9" s="2998"/>
      <c r="G9" s="2998"/>
      <c r="H9" s="2998"/>
      <c r="I9" s="2998"/>
      <c r="J9" s="2998"/>
      <c r="K9" s="2998"/>
      <c r="L9" s="2998"/>
      <c r="M9" s="2998"/>
      <c r="N9" s="2998"/>
      <c r="O9" s="2998"/>
      <c r="P9" s="2998"/>
      <c r="Q9" s="2998"/>
      <c r="R9" s="2999"/>
    </row>
    <row r="10" spans="1:22" ht="13.5" thickBot="1" x14ac:dyDescent="0.25">
      <c r="A10" s="122" t="s">
        <v>20</v>
      </c>
      <c r="B10" s="3006" t="s">
        <v>51</v>
      </c>
      <c r="C10" s="3007"/>
      <c r="D10" s="3007"/>
      <c r="E10" s="3007"/>
      <c r="F10" s="3007"/>
      <c r="G10" s="3007"/>
      <c r="H10" s="3007"/>
      <c r="I10" s="3007"/>
      <c r="J10" s="3007"/>
      <c r="K10" s="3007"/>
      <c r="L10" s="3007"/>
      <c r="M10" s="3007"/>
      <c r="N10" s="3007"/>
      <c r="O10" s="3007"/>
      <c r="P10" s="3007"/>
      <c r="Q10" s="3007"/>
      <c r="R10" s="3008"/>
    </row>
    <row r="11" spans="1:22" ht="13.5" thickBot="1" x14ac:dyDescent="0.25">
      <c r="A11" s="218" t="s">
        <v>20</v>
      </c>
      <c r="B11" s="97" t="s">
        <v>20</v>
      </c>
      <c r="C11" s="3359" t="s">
        <v>190</v>
      </c>
      <c r="D11" s="3012"/>
      <c r="E11" s="3012"/>
      <c r="F11" s="3012"/>
      <c r="G11" s="3012"/>
      <c r="H11" s="3012"/>
      <c r="I11" s="3012"/>
      <c r="J11" s="3012"/>
      <c r="K11" s="3012"/>
      <c r="L11" s="3012"/>
      <c r="M11" s="3012"/>
      <c r="N11" s="3012"/>
      <c r="O11" s="3012"/>
      <c r="P11" s="3012"/>
      <c r="Q11" s="3012"/>
      <c r="R11" s="3013"/>
    </row>
    <row r="12" spans="1:22" x14ac:dyDescent="0.2">
      <c r="A12" s="25" t="s">
        <v>20</v>
      </c>
      <c r="B12" s="16" t="s">
        <v>20</v>
      </c>
      <c r="C12" s="2953" t="s">
        <v>20</v>
      </c>
      <c r="D12" s="3418" t="s">
        <v>104</v>
      </c>
      <c r="E12" s="2954"/>
      <c r="F12" s="884" t="s">
        <v>43</v>
      </c>
      <c r="G12" s="116" t="s">
        <v>22</v>
      </c>
      <c r="H12" s="1224">
        <f>69824.9/3.4528*1000</f>
        <v>20222688.832252081</v>
      </c>
      <c r="I12" s="1329">
        <f t="shared" ref="I12" si="0">+J12+L12</f>
        <v>69824.899999999994</v>
      </c>
      <c r="J12" s="1509">
        <v>69824.899999999994</v>
      </c>
      <c r="K12" s="1509">
        <v>48274.400000000001</v>
      </c>
      <c r="L12" s="1510"/>
      <c r="M12" s="1224">
        <f>69824.9/3.4528*1000</f>
        <v>20222688.832252081</v>
      </c>
      <c r="N12" s="1224">
        <f>69824.9/3.4528*1000</f>
        <v>20222688.832252081</v>
      </c>
      <c r="O12" s="1511"/>
      <c r="P12" s="376"/>
      <c r="Q12" s="1504"/>
      <c r="R12" s="621"/>
    </row>
    <row r="13" spans="1:22" x14ac:dyDescent="0.2">
      <c r="A13" s="26"/>
      <c r="B13" s="27"/>
      <c r="C13" s="2953"/>
      <c r="D13" s="3419"/>
      <c r="E13" s="3005"/>
      <c r="F13" s="884"/>
      <c r="G13" s="116" t="s">
        <v>25</v>
      </c>
      <c r="H13" s="1224">
        <f>102252.1/3.4528*1000</f>
        <v>29614255.097312327</v>
      </c>
      <c r="I13" s="1223">
        <f>J13+L13</f>
        <v>102252.09999999999</v>
      </c>
      <c r="J13" s="1225">
        <v>102107.9</v>
      </c>
      <c r="K13" s="1225">
        <v>75676.800000000003</v>
      </c>
      <c r="L13" s="1226">
        <v>144.19999999999999</v>
      </c>
      <c r="M13" s="1224">
        <f>102252.1/3.4528*1000</f>
        <v>29614255.097312327</v>
      </c>
      <c r="N13" s="1224">
        <f>102252.1/3.4528*1000</f>
        <v>29614255.097312327</v>
      </c>
      <c r="O13" s="1096"/>
      <c r="P13" s="376"/>
      <c r="Q13" s="1090"/>
      <c r="R13" s="621"/>
    </row>
    <row r="14" spans="1:22" x14ac:dyDescent="0.2">
      <c r="A14" s="26"/>
      <c r="B14" s="27"/>
      <c r="C14" s="1101"/>
      <c r="D14" s="888"/>
      <c r="E14" s="1157"/>
      <c r="F14" s="884"/>
      <c r="G14" s="378" t="s">
        <v>93</v>
      </c>
      <c r="H14" s="1230">
        <f>17292.6/3.4528*1000</f>
        <v>5008283.1325301202</v>
      </c>
      <c r="I14" s="1227">
        <f>J14+L14</f>
        <v>17292.599999999999</v>
      </c>
      <c r="J14" s="1228">
        <v>17167.599999999999</v>
      </c>
      <c r="K14" s="1228">
        <v>3110.6</v>
      </c>
      <c r="L14" s="1229">
        <v>125</v>
      </c>
      <c r="M14" s="1230">
        <f>17292.6/3.4528*1000</f>
        <v>5008283.1325301202</v>
      </c>
      <c r="N14" s="1231">
        <f>17292.6/3.4528*1000</f>
        <v>5008283.1325301202</v>
      </c>
      <c r="O14" s="858"/>
      <c r="P14" s="376"/>
      <c r="Q14" s="1090"/>
      <c r="R14" s="621"/>
    </row>
    <row r="15" spans="1:22" ht="25.5" x14ac:dyDescent="0.2">
      <c r="A15" s="26"/>
      <c r="B15" s="1110"/>
      <c r="C15" s="154"/>
      <c r="D15" s="3415" t="s">
        <v>199</v>
      </c>
      <c r="E15" s="862"/>
      <c r="F15" s="884"/>
      <c r="G15" s="651"/>
      <c r="H15" s="1232"/>
      <c r="I15" s="1251"/>
      <c r="J15" s="1237"/>
      <c r="K15" s="1237"/>
      <c r="L15" s="1233"/>
      <c r="M15" s="1234"/>
      <c r="N15" s="1234"/>
      <c r="O15" s="1151" t="s">
        <v>294</v>
      </c>
      <c r="P15" s="712" t="s">
        <v>238</v>
      </c>
      <c r="Q15" s="712" t="s">
        <v>239</v>
      </c>
      <c r="R15" s="713" t="s">
        <v>240</v>
      </c>
      <c r="T15" s="156"/>
      <c r="U15" s="156"/>
      <c r="V15" s="156"/>
    </row>
    <row r="16" spans="1:22" x14ac:dyDescent="0.2">
      <c r="A16" s="26"/>
      <c r="B16" s="27"/>
      <c r="C16" s="154"/>
      <c r="D16" s="3142"/>
      <c r="E16" s="862"/>
      <c r="F16" s="884"/>
      <c r="G16" s="651"/>
      <c r="H16" s="1232"/>
      <c r="I16" s="1235"/>
      <c r="J16" s="1236"/>
      <c r="K16" s="1237"/>
      <c r="L16" s="1233"/>
      <c r="M16" s="1234"/>
      <c r="N16" s="1238"/>
      <c r="O16" s="230" t="s">
        <v>247</v>
      </c>
      <c r="P16" s="871" t="s">
        <v>241</v>
      </c>
      <c r="Q16" s="872" t="s">
        <v>242</v>
      </c>
      <c r="R16" s="873" t="s">
        <v>243</v>
      </c>
    </row>
    <row r="17" spans="1:23" x14ac:dyDescent="0.2">
      <c r="A17" s="26"/>
      <c r="B17" s="27"/>
      <c r="C17" s="154"/>
      <c r="D17" s="869"/>
      <c r="E17" s="862"/>
      <c r="F17" s="884"/>
      <c r="G17" s="651"/>
      <c r="H17" s="1232"/>
      <c r="I17" s="1251"/>
      <c r="J17" s="1263"/>
      <c r="K17" s="1263"/>
      <c r="L17" s="1264"/>
      <c r="M17" s="1239"/>
      <c r="N17" s="1239"/>
      <c r="O17" s="3416" t="s">
        <v>295</v>
      </c>
      <c r="P17" s="712" t="s">
        <v>244</v>
      </c>
      <c r="Q17" s="712" t="s">
        <v>245</v>
      </c>
      <c r="R17" s="713" t="s">
        <v>246</v>
      </c>
      <c r="T17" s="156"/>
      <c r="U17" s="156"/>
      <c r="V17" s="156"/>
      <c r="W17" s="156"/>
    </row>
    <row r="18" spans="1:23" x14ac:dyDescent="0.2">
      <c r="A18" s="26"/>
      <c r="B18" s="27"/>
      <c r="C18" s="154"/>
      <c r="D18" s="869"/>
      <c r="E18" s="862"/>
      <c r="F18" s="884"/>
      <c r="G18" s="375"/>
      <c r="H18" s="1240"/>
      <c r="I18" s="1235"/>
      <c r="J18" s="1236"/>
      <c r="K18" s="1236"/>
      <c r="L18" s="1266"/>
      <c r="M18" s="1241"/>
      <c r="N18" s="1241"/>
      <c r="O18" s="3417"/>
      <c r="P18" s="875"/>
      <c r="Q18" s="875"/>
      <c r="R18" s="876"/>
      <c r="T18" s="156"/>
      <c r="U18" s="156"/>
      <c r="V18" s="156"/>
      <c r="W18" s="156"/>
    </row>
    <row r="19" spans="1:23" x14ac:dyDescent="0.2">
      <c r="A19" s="26"/>
      <c r="B19" s="27"/>
      <c r="C19" s="1100"/>
      <c r="D19" s="870"/>
      <c r="E19" s="1157"/>
      <c r="F19" s="884"/>
      <c r="G19" s="899"/>
      <c r="H19" s="1242"/>
      <c r="I19" s="1243"/>
      <c r="J19" s="1244"/>
      <c r="K19" s="1244"/>
      <c r="L19" s="1245"/>
      <c r="M19" s="1246"/>
      <c r="N19" s="1245"/>
      <c r="O19" s="890" t="s">
        <v>248</v>
      </c>
      <c r="P19" s="1095">
        <v>244</v>
      </c>
      <c r="Q19" s="1168">
        <v>300</v>
      </c>
      <c r="R19" s="1169">
        <v>340</v>
      </c>
      <c r="U19" s="887"/>
      <c r="V19" s="887"/>
    </row>
    <row r="20" spans="1:23" x14ac:dyDescent="0.2">
      <c r="A20" s="3073"/>
      <c r="B20" s="27"/>
      <c r="C20" s="2952"/>
      <c r="D20" s="2970" t="s">
        <v>279</v>
      </c>
      <c r="E20" s="2954"/>
      <c r="F20" s="3411"/>
      <c r="G20" s="651"/>
      <c r="H20" s="1232"/>
      <c r="I20" s="1247"/>
      <c r="J20" s="1248"/>
      <c r="K20" s="1248"/>
      <c r="L20" s="1238"/>
      <c r="M20" s="1249"/>
      <c r="N20" s="1234"/>
      <c r="O20" s="3413" t="s">
        <v>296</v>
      </c>
      <c r="P20" s="3407">
        <v>8</v>
      </c>
      <c r="Q20" s="3407">
        <v>7</v>
      </c>
      <c r="R20" s="3409">
        <v>6</v>
      </c>
    </row>
    <row r="21" spans="1:23" x14ac:dyDescent="0.2">
      <c r="A21" s="3073"/>
      <c r="B21" s="27"/>
      <c r="C21" s="2952"/>
      <c r="D21" s="2970"/>
      <c r="E21" s="2955"/>
      <c r="F21" s="3412"/>
      <c r="G21" s="889"/>
      <c r="H21" s="1250"/>
      <c r="I21" s="1251"/>
      <c r="J21" s="1252"/>
      <c r="K21" s="1253"/>
      <c r="L21" s="1233"/>
      <c r="M21" s="1254"/>
      <c r="N21" s="1255"/>
      <c r="O21" s="3414"/>
      <c r="P21" s="3408"/>
      <c r="Q21" s="3408"/>
      <c r="R21" s="3410"/>
    </row>
    <row r="22" spans="1:23" x14ac:dyDescent="0.2">
      <c r="A22" s="3073"/>
      <c r="B22" s="27"/>
      <c r="C22" s="2953"/>
      <c r="D22" s="3415"/>
      <c r="E22" s="3005"/>
      <c r="F22" s="3016"/>
      <c r="G22" s="375"/>
      <c r="H22" s="1240"/>
      <c r="I22" s="1235"/>
      <c r="J22" s="1236"/>
      <c r="K22" s="1236"/>
      <c r="L22" s="1256"/>
      <c r="M22" s="1234"/>
      <c r="N22" s="1234"/>
      <c r="O22" s="1175" t="s">
        <v>297</v>
      </c>
      <c r="P22" s="716">
        <v>2119</v>
      </c>
      <c r="Q22" s="716">
        <v>2200</v>
      </c>
      <c r="R22" s="717">
        <v>2200</v>
      </c>
    </row>
    <row r="23" spans="1:23" x14ac:dyDescent="0.2">
      <c r="A23" s="1108"/>
      <c r="B23" s="27"/>
      <c r="C23" s="1109"/>
      <c r="D23" s="1123"/>
      <c r="E23" s="1157"/>
      <c r="F23" s="884"/>
      <c r="G23" s="899"/>
      <c r="H23" s="1242"/>
      <c r="I23" s="1243"/>
      <c r="J23" s="1257"/>
      <c r="K23" s="1258"/>
      <c r="L23" s="1245"/>
      <c r="M23" s="1246"/>
      <c r="N23" s="1245"/>
      <c r="O23" s="891" t="s">
        <v>249</v>
      </c>
      <c r="P23" s="892">
        <v>1060</v>
      </c>
      <c r="Q23" s="893">
        <v>1040</v>
      </c>
      <c r="R23" s="894">
        <v>1020</v>
      </c>
    </row>
    <row r="24" spans="1:23" x14ac:dyDescent="0.2">
      <c r="A24" s="3017"/>
      <c r="B24" s="1110"/>
      <c r="C24" s="3018"/>
      <c r="D24" s="2970" t="s">
        <v>280</v>
      </c>
      <c r="E24" s="2954"/>
      <c r="F24" s="3388"/>
      <c r="G24" s="651"/>
      <c r="H24" s="1232"/>
      <c r="I24" s="1251"/>
      <c r="J24" s="1253"/>
      <c r="K24" s="1253"/>
      <c r="L24" s="1259"/>
      <c r="M24" s="1241"/>
      <c r="N24" s="1241"/>
      <c r="O24" s="754" t="s">
        <v>250</v>
      </c>
      <c r="P24" s="755">
        <v>36</v>
      </c>
      <c r="Q24" s="755">
        <v>35</v>
      </c>
      <c r="R24" s="756">
        <v>35</v>
      </c>
    </row>
    <row r="25" spans="1:23" x14ac:dyDescent="0.2">
      <c r="A25" s="3017"/>
      <c r="B25" s="1110"/>
      <c r="C25" s="3018"/>
      <c r="D25" s="2970"/>
      <c r="E25" s="2955"/>
      <c r="F25" s="3393"/>
      <c r="G25" s="651"/>
      <c r="H25" s="1232"/>
      <c r="I25" s="1251"/>
      <c r="J25" s="1253"/>
      <c r="K25" s="1253"/>
      <c r="L25" s="1256"/>
      <c r="M25" s="1260"/>
      <c r="N25" s="1261"/>
      <c r="O25" s="721" t="s">
        <v>251</v>
      </c>
      <c r="P25" s="1170">
        <v>16960</v>
      </c>
      <c r="Q25" s="1170">
        <v>17000</v>
      </c>
      <c r="R25" s="1147">
        <v>17000</v>
      </c>
    </row>
    <row r="26" spans="1:23" x14ac:dyDescent="0.2">
      <c r="A26" s="3017"/>
      <c r="B26" s="1110"/>
      <c r="C26" s="3018"/>
      <c r="D26" s="2970"/>
      <c r="E26" s="3005"/>
      <c r="F26" s="3394"/>
      <c r="G26" s="651"/>
      <c r="H26" s="1232"/>
      <c r="I26" s="1251"/>
      <c r="J26" s="1253"/>
      <c r="K26" s="1253"/>
      <c r="L26" s="1259"/>
      <c r="M26" s="1241"/>
      <c r="N26" s="1259"/>
      <c r="O26" s="718"/>
      <c r="P26" s="719"/>
      <c r="Q26" s="719"/>
      <c r="R26" s="720"/>
    </row>
    <row r="27" spans="1:23" x14ac:dyDescent="0.2">
      <c r="A27" s="3019"/>
      <c r="B27" s="3020"/>
      <c r="C27" s="2953"/>
      <c r="D27" s="2970" t="s">
        <v>252</v>
      </c>
      <c r="E27" s="2969"/>
      <c r="F27" s="3391"/>
      <c r="G27" s="651"/>
      <c r="H27" s="1232"/>
      <c r="I27" s="1262"/>
      <c r="J27" s="1248"/>
      <c r="K27" s="1248"/>
      <c r="L27" s="1238"/>
      <c r="M27" s="1234"/>
      <c r="N27" s="1238"/>
      <c r="O27" s="721" t="s">
        <v>66</v>
      </c>
      <c r="P27" s="1170">
        <v>6</v>
      </c>
      <c r="Q27" s="1170">
        <v>6</v>
      </c>
      <c r="R27" s="1147">
        <v>6</v>
      </c>
    </row>
    <row r="28" spans="1:23" x14ac:dyDescent="0.2">
      <c r="A28" s="3017"/>
      <c r="B28" s="3021"/>
      <c r="C28" s="2953"/>
      <c r="D28" s="2956"/>
      <c r="E28" s="3392"/>
      <c r="F28" s="3199"/>
      <c r="G28" s="375"/>
      <c r="H28" s="1240"/>
      <c r="I28" s="1251"/>
      <c r="J28" s="1263"/>
      <c r="K28" s="1263"/>
      <c r="L28" s="1264"/>
      <c r="M28" s="1239"/>
      <c r="N28" s="1265"/>
      <c r="O28" s="1145" t="s">
        <v>253</v>
      </c>
      <c r="P28" s="1170">
        <v>5049</v>
      </c>
      <c r="Q28" s="1170">
        <v>5050</v>
      </c>
      <c r="R28" s="1147">
        <v>5100</v>
      </c>
      <c r="S28" s="108"/>
    </row>
    <row r="29" spans="1:23" x14ac:dyDescent="0.2">
      <c r="A29" s="3017"/>
      <c r="B29" s="3021"/>
      <c r="C29" s="2953"/>
      <c r="D29" s="3022" t="s">
        <v>143</v>
      </c>
      <c r="E29" s="3390"/>
      <c r="F29" s="3391"/>
      <c r="G29" s="651"/>
      <c r="H29" s="1232"/>
      <c r="I29" s="1251"/>
      <c r="J29" s="1253"/>
      <c r="K29" s="1253"/>
      <c r="L29" s="1256"/>
      <c r="M29" s="1241"/>
      <c r="N29" s="1259"/>
      <c r="O29" s="2988" t="s">
        <v>81</v>
      </c>
      <c r="P29" s="2986">
        <v>4</v>
      </c>
      <c r="Q29" s="2986">
        <v>4.5</v>
      </c>
      <c r="R29" s="2976">
        <v>5</v>
      </c>
    </row>
    <row r="30" spans="1:23" x14ac:dyDescent="0.2">
      <c r="A30" s="3017"/>
      <c r="B30" s="3021"/>
      <c r="C30" s="2953"/>
      <c r="D30" s="3022"/>
      <c r="E30" s="3253"/>
      <c r="F30" s="3245"/>
      <c r="G30" s="375"/>
      <c r="H30" s="1240"/>
      <c r="I30" s="1251"/>
      <c r="J30" s="1253"/>
      <c r="K30" s="1253"/>
      <c r="L30" s="1266"/>
      <c r="M30" s="1241"/>
      <c r="N30" s="1259"/>
      <c r="O30" s="2989"/>
      <c r="P30" s="2987"/>
      <c r="Q30" s="2987"/>
      <c r="R30" s="2977"/>
    </row>
    <row r="31" spans="1:23" x14ac:dyDescent="0.2">
      <c r="A31" s="184"/>
      <c r="B31" s="27"/>
      <c r="C31" s="185"/>
      <c r="D31" s="3022" t="s">
        <v>144</v>
      </c>
      <c r="E31" s="2961"/>
      <c r="F31" s="3388"/>
      <c r="G31" s="651"/>
      <c r="H31" s="1232"/>
      <c r="I31" s="1235"/>
      <c r="J31" s="1236"/>
      <c r="K31" s="1236"/>
      <c r="L31" s="1261"/>
      <c r="M31" s="1260"/>
      <c r="N31" s="1260"/>
      <c r="O31" s="186" t="s">
        <v>116</v>
      </c>
      <c r="P31" s="1170">
        <v>92</v>
      </c>
      <c r="Q31" s="1170">
        <v>130</v>
      </c>
      <c r="R31" s="1147">
        <v>145</v>
      </c>
    </row>
    <row r="32" spans="1:23" x14ac:dyDescent="0.2">
      <c r="A32" s="184"/>
      <c r="B32" s="27"/>
      <c r="C32" s="185"/>
      <c r="D32" s="2965"/>
      <c r="E32" s="3276"/>
      <c r="F32" s="3389"/>
      <c r="G32" s="889"/>
      <c r="H32" s="1250"/>
      <c r="I32" s="1235"/>
      <c r="J32" s="1236"/>
      <c r="K32" s="1236"/>
      <c r="L32" s="1261"/>
      <c r="M32" s="1260"/>
      <c r="N32" s="1260"/>
      <c r="O32" s="895"/>
      <c r="P32" s="896"/>
      <c r="Q32" s="897"/>
      <c r="R32" s="898"/>
    </row>
    <row r="33" spans="1:20" x14ac:dyDescent="0.2">
      <c r="A33" s="184"/>
      <c r="B33" s="27"/>
      <c r="C33" s="154"/>
      <c r="D33" s="3003" t="s">
        <v>191</v>
      </c>
      <c r="E33" s="3390"/>
      <c r="F33" s="3391"/>
      <c r="G33" s="651"/>
      <c r="H33" s="1232"/>
      <c r="I33" s="1251"/>
      <c r="J33" s="1253"/>
      <c r="K33" s="1253"/>
      <c r="L33" s="1266"/>
      <c r="M33" s="1241"/>
      <c r="N33" s="1241"/>
      <c r="O33" s="3387" t="s">
        <v>117</v>
      </c>
      <c r="P33" s="726">
        <v>250</v>
      </c>
      <c r="Q33" s="726">
        <v>255</v>
      </c>
      <c r="R33" s="714">
        <v>260</v>
      </c>
      <c r="T33" s="156"/>
    </row>
    <row r="34" spans="1:20" x14ac:dyDescent="0.2">
      <c r="A34" s="184"/>
      <c r="B34" s="27"/>
      <c r="C34" s="154"/>
      <c r="D34" s="2982"/>
      <c r="E34" s="3253"/>
      <c r="F34" s="3245"/>
      <c r="G34" s="651"/>
      <c r="H34" s="1232"/>
      <c r="I34" s="1251"/>
      <c r="J34" s="1253"/>
      <c r="K34" s="1253"/>
      <c r="L34" s="1266"/>
      <c r="M34" s="1241"/>
      <c r="N34" s="1259"/>
      <c r="O34" s="3387"/>
      <c r="P34" s="726"/>
      <c r="Q34" s="726"/>
      <c r="R34" s="714"/>
      <c r="T34" s="156"/>
    </row>
    <row r="35" spans="1:20" x14ac:dyDescent="0.2">
      <c r="A35" s="184"/>
      <c r="B35" s="27"/>
      <c r="C35" s="154"/>
      <c r="D35" s="3232" t="s">
        <v>255</v>
      </c>
      <c r="E35" s="1130"/>
      <c r="F35" s="1140"/>
      <c r="G35" s="651"/>
      <c r="H35" s="1232"/>
      <c r="I35" s="1235"/>
      <c r="J35" s="1267"/>
      <c r="K35" s="1268"/>
      <c r="L35" s="1266"/>
      <c r="M35" s="1234"/>
      <c r="N35" s="1238"/>
      <c r="O35" s="784" t="s">
        <v>254</v>
      </c>
      <c r="P35" s="1168">
        <v>9</v>
      </c>
      <c r="Q35" s="726"/>
      <c r="R35" s="714"/>
      <c r="T35" s="156"/>
    </row>
    <row r="36" spans="1:20" x14ac:dyDescent="0.2">
      <c r="A36" s="184"/>
      <c r="B36" s="27"/>
      <c r="C36" s="154"/>
      <c r="D36" s="3232"/>
      <c r="E36" s="1130"/>
      <c r="F36" s="1140"/>
      <c r="G36" s="899"/>
      <c r="H36" s="1242"/>
      <c r="I36" s="1243"/>
      <c r="J36" s="1257"/>
      <c r="K36" s="1258"/>
      <c r="L36" s="1245"/>
      <c r="M36" s="1246"/>
      <c r="N36" s="1245"/>
      <c r="O36" s="761"/>
      <c r="P36" s="759"/>
      <c r="Q36" s="759"/>
      <c r="R36" s="760"/>
    </row>
    <row r="37" spans="1:20" ht="14.25" customHeight="1" x14ac:dyDescent="0.2">
      <c r="A37" s="1128"/>
      <c r="B37" s="1132"/>
      <c r="C37" s="1141"/>
      <c r="D37" s="3266" t="s">
        <v>275</v>
      </c>
      <c r="E37" s="3262"/>
      <c r="F37" s="3239"/>
      <c r="G37" s="1176"/>
      <c r="H37" s="1269"/>
      <c r="I37" s="1251"/>
      <c r="J37" s="1253"/>
      <c r="K37" s="1270"/>
      <c r="L37" s="1271"/>
      <c r="M37" s="1241"/>
      <c r="N37" s="1259"/>
      <c r="O37" s="880" t="s">
        <v>66</v>
      </c>
      <c r="P37" s="1098">
        <v>92</v>
      </c>
      <c r="Q37" s="114">
        <v>92</v>
      </c>
      <c r="R37" s="98">
        <v>92</v>
      </c>
    </row>
    <row r="38" spans="1:20" ht="13.5" thickBot="1" x14ac:dyDescent="0.25">
      <c r="A38" s="535"/>
      <c r="B38" s="28"/>
      <c r="C38" s="782"/>
      <c r="D38" s="3267"/>
      <c r="E38" s="3268"/>
      <c r="F38" s="3269"/>
      <c r="G38" s="298" t="s">
        <v>23</v>
      </c>
      <c r="H38" s="1272">
        <f t="shared" ref="H38:N38" si="1">SUM(H12:H37)</f>
        <v>54845227.062094532</v>
      </c>
      <c r="I38" s="1273">
        <f t="shared" si="1"/>
        <v>189369.60000000001</v>
      </c>
      <c r="J38" s="1273">
        <f t="shared" si="1"/>
        <v>189100.4</v>
      </c>
      <c r="K38" s="1273">
        <f t="shared" si="1"/>
        <v>127061.80000000002</v>
      </c>
      <c r="L38" s="1273">
        <f t="shared" si="1"/>
        <v>269.2</v>
      </c>
      <c r="M38" s="1273">
        <f t="shared" si="1"/>
        <v>54845227.062094532</v>
      </c>
      <c r="N38" s="1273">
        <f t="shared" si="1"/>
        <v>54845227.062094532</v>
      </c>
      <c r="O38" s="879"/>
      <c r="P38" s="618"/>
      <c r="Q38" s="618"/>
      <c r="R38" s="188"/>
      <c r="T38" s="210"/>
    </row>
    <row r="39" spans="1:20" ht="28.5" customHeight="1" x14ac:dyDescent="0.2">
      <c r="A39" s="1136" t="s">
        <v>20</v>
      </c>
      <c r="B39" s="219" t="s">
        <v>20</v>
      </c>
      <c r="C39" s="1087" t="s">
        <v>24</v>
      </c>
      <c r="D39" s="2957" t="s">
        <v>205</v>
      </c>
      <c r="E39" s="3385" t="s">
        <v>129</v>
      </c>
      <c r="F39" s="3244">
        <v>2</v>
      </c>
      <c r="G39" s="116" t="s">
        <v>25</v>
      </c>
      <c r="H39" s="1224">
        <f>50.9/3.4528*1000</f>
        <v>14741.658943466173</v>
      </c>
      <c r="I39" s="1274">
        <f>J39+L39</f>
        <v>50.9</v>
      </c>
      <c r="J39" s="1275">
        <v>50.9</v>
      </c>
      <c r="K39" s="1275">
        <v>38.799999999999997</v>
      </c>
      <c r="L39" s="1276"/>
      <c r="M39" s="1277">
        <f>50.9/3.4528*1000</f>
        <v>14741.658943466173</v>
      </c>
      <c r="N39" s="1278">
        <f>50.9/3.4528*1000</f>
        <v>14741.658943466173</v>
      </c>
      <c r="O39" s="3381" t="s">
        <v>256</v>
      </c>
      <c r="P39" s="2944">
        <v>1</v>
      </c>
      <c r="Q39" s="2944">
        <v>1</v>
      </c>
      <c r="R39" s="2939">
        <v>1</v>
      </c>
      <c r="T39" s="209"/>
    </row>
    <row r="40" spans="1:20" ht="13.5" thickBot="1" x14ac:dyDescent="0.25">
      <c r="A40" s="1111"/>
      <c r="B40" s="28"/>
      <c r="C40" s="1088"/>
      <c r="D40" s="2958"/>
      <c r="E40" s="3386"/>
      <c r="F40" s="3378"/>
      <c r="G40" s="298" t="s">
        <v>23</v>
      </c>
      <c r="H40" s="1272">
        <f>H39</f>
        <v>14741.658943466173</v>
      </c>
      <c r="I40" s="1273">
        <f t="shared" ref="I40:K40" si="2">SUM(I39:I39)</f>
        <v>50.9</v>
      </c>
      <c r="J40" s="1279">
        <f t="shared" si="2"/>
        <v>50.9</v>
      </c>
      <c r="K40" s="1280">
        <f t="shared" si="2"/>
        <v>38.799999999999997</v>
      </c>
      <c r="L40" s="1281"/>
      <c r="M40" s="1282">
        <f>SUM(M39:M39)</f>
        <v>14741.658943466173</v>
      </c>
      <c r="N40" s="1281">
        <f>SUM(N39:N39)</f>
        <v>14741.658943466173</v>
      </c>
      <c r="O40" s="3382"/>
      <c r="P40" s="3383"/>
      <c r="Q40" s="3383"/>
      <c r="R40" s="3384"/>
    </row>
    <row r="41" spans="1:20" ht="20.25" customHeight="1" x14ac:dyDescent="0.2">
      <c r="A41" s="1127" t="s">
        <v>20</v>
      </c>
      <c r="B41" s="1131" t="s">
        <v>20</v>
      </c>
      <c r="C41" s="1142" t="s">
        <v>26</v>
      </c>
      <c r="D41" s="2957" t="s">
        <v>151</v>
      </c>
      <c r="E41" s="2980"/>
      <c r="F41" s="3244">
        <v>2</v>
      </c>
      <c r="G41" s="115" t="s">
        <v>25</v>
      </c>
      <c r="H41" s="1232">
        <f>141.1/3.4528*1000</f>
        <v>40865.38461538461</v>
      </c>
      <c r="I41" s="1251">
        <f>J41+L41</f>
        <v>141.1</v>
      </c>
      <c r="J41" s="1283">
        <v>141.1</v>
      </c>
      <c r="K41" s="1225">
        <v>107.8</v>
      </c>
      <c r="L41" s="1276"/>
      <c r="M41" s="1284">
        <f>141.1/3.4528*1000</f>
        <v>40865.38461538461</v>
      </c>
      <c r="N41" s="1285">
        <f>141.1/3.4528*1000</f>
        <v>40865.38461538461</v>
      </c>
      <c r="O41" s="2946" t="s">
        <v>298</v>
      </c>
      <c r="P41" s="2943">
        <v>5</v>
      </c>
      <c r="Q41" s="2943">
        <v>5</v>
      </c>
      <c r="R41" s="2938">
        <v>5</v>
      </c>
    </row>
    <row r="42" spans="1:20" ht="13.5" thickBot="1" x14ac:dyDescent="0.25">
      <c r="A42" s="1129"/>
      <c r="B42" s="28"/>
      <c r="C42" s="1143"/>
      <c r="D42" s="2958"/>
      <c r="E42" s="2981"/>
      <c r="F42" s="3378"/>
      <c r="G42" s="298" t="s">
        <v>23</v>
      </c>
      <c r="H42" s="1272">
        <f>H41</f>
        <v>40865.38461538461</v>
      </c>
      <c r="I42" s="1273">
        <f t="shared" ref="I42:K42" si="3">SUM(I41:I41)</f>
        <v>141.1</v>
      </c>
      <c r="J42" s="1279">
        <f t="shared" si="3"/>
        <v>141.1</v>
      </c>
      <c r="K42" s="1280">
        <f t="shared" si="3"/>
        <v>107.8</v>
      </c>
      <c r="L42" s="1281"/>
      <c r="M42" s="1286">
        <f>SUM(M41:M41)</f>
        <v>40865.38461538461</v>
      </c>
      <c r="N42" s="1287">
        <f>SUM(N41:N41)</f>
        <v>40865.38461538461</v>
      </c>
      <c r="O42" s="2948"/>
      <c r="P42" s="2945"/>
      <c r="Q42" s="2945"/>
      <c r="R42" s="2940"/>
    </row>
    <row r="43" spans="1:20" ht="18" customHeight="1" x14ac:dyDescent="0.2">
      <c r="A43" s="1124" t="s">
        <v>20</v>
      </c>
      <c r="B43" s="1131" t="s">
        <v>20</v>
      </c>
      <c r="C43" s="751" t="s">
        <v>28</v>
      </c>
      <c r="D43" s="3002" t="s">
        <v>266</v>
      </c>
      <c r="E43" s="2980"/>
      <c r="F43" s="3244">
        <v>2</v>
      </c>
      <c r="G43" s="115" t="s">
        <v>25</v>
      </c>
      <c r="H43" s="1288">
        <f>282.4/3.4528*1000</f>
        <v>81788.693234476363</v>
      </c>
      <c r="I43" s="1289">
        <f>J43+L43</f>
        <v>282.39999999999998</v>
      </c>
      <c r="J43" s="1275">
        <v>282.39999999999998</v>
      </c>
      <c r="K43" s="1290">
        <v>150</v>
      </c>
      <c r="L43" s="1276"/>
      <c r="M43" s="1291">
        <f>300/3.4528*1000</f>
        <v>86886.005560704361</v>
      </c>
      <c r="N43" s="1292">
        <f>300/3.4528*1000</f>
        <v>86886.005560704361</v>
      </c>
      <c r="O43" s="3379" t="s">
        <v>267</v>
      </c>
      <c r="P43" s="1094">
        <v>25</v>
      </c>
      <c r="Q43" s="1094">
        <v>30</v>
      </c>
      <c r="R43" s="1093">
        <v>30</v>
      </c>
    </row>
    <row r="44" spans="1:20" ht="13.5" thickBot="1" x14ac:dyDescent="0.25">
      <c r="A44" s="1129"/>
      <c r="B44" s="28"/>
      <c r="C44" s="1143"/>
      <c r="D44" s="2958"/>
      <c r="E44" s="2981"/>
      <c r="F44" s="3378"/>
      <c r="G44" s="298" t="s">
        <v>23</v>
      </c>
      <c r="H44" s="1272">
        <f>H43</f>
        <v>81788.693234476363</v>
      </c>
      <c r="I44" s="1273">
        <f t="shared" ref="I44:K44" si="4">SUM(I43:I43)</f>
        <v>282.39999999999998</v>
      </c>
      <c r="J44" s="1279">
        <f t="shared" si="4"/>
        <v>282.39999999999998</v>
      </c>
      <c r="K44" s="1280">
        <f t="shared" si="4"/>
        <v>150</v>
      </c>
      <c r="L44" s="1281"/>
      <c r="M44" s="1282">
        <f>SUM(M43:M43)</f>
        <v>86886.005560704361</v>
      </c>
      <c r="N44" s="1281">
        <f>SUM(N43:N43)</f>
        <v>86886.005560704361</v>
      </c>
      <c r="O44" s="3380"/>
      <c r="P44" s="750"/>
      <c r="Q44" s="128"/>
      <c r="R44" s="202"/>
    </row>
    <row r="45" spans="1:20" ht="12.75" customHeight="1" x14ac:dyDescent="0.2">
      <c r="A45" s="1127" t="s">
        <v>20</v>
      </c>
      <c r="B45" s="1131" t="s">
        <v>20</v>
      </c>
      <c r="C45" s="1142" t="s">
        <v>29</v>
      </c>
      <c r="D45" s="3376" t="s">
        <v>257</v>
      </c>
      <c r="E45" s="2980"/>
      <c r="F45" s="3244">
        <v>2</v>
      </c>
      <c r="G45" s="115" t="s">
        <v>22</v>
      </c>
      <c r="H45" s="1288">
        <f>10/3.4528*1000</f>
        <v>2896.2001853568122</v>
      </c>
      <c r="I45" s="1289">
        <f>J45+L45</f>
        <v>10</v>
      </c>
      <c r="J45" s="1275">
        <v>10</v>
      </c>
      <c r="K45" s="1290"/>
      <c r="L45" s="1276"/>
      <c r="M45" s="1291">
        <f>10/3.4528*1000</f>
        <v>2896.2001853568122</v>
      </c>
      <c r="N45" s="1292">
        <f>10/3.4528*1000</f>
        <v>2896.2001853568122</v>
      </c>
      <c r="O45" s="1114" t="s">
        <v>258</v>
      </c>
      <c r="P45" s="724">
        <v>30</v>
      </c>
      <c r="Q45" s="724">
        <v>35</v>
      </c>
      <c r="R45" s="735">
        <v>35</v>
      </c>
    </row>
    <row r="46" spans="1:20" ht="13.5" thickBot="1" x14ac:dyDescent="0.25">
      <c r="A46" s="1129"/>
      <c r="B46" s="28"/>
      <c r="C46" s="1143"/>
      <c r="D46" s="3377"/>
      <c r="E46" s="2981"/>
      <c r="F46" s="3378"/>
      <c r="G46" s="298" t="s">
        <v>23</v>
      </c>
      <c r="H46" s="1272">
        <f>H45</f>
        <v>2896.2001853568122</v>
      </c>
      <c r="I46" s="1273">
        <f>SUM(I45:I45)</f>
        <v>10</v>
      </c>
      <c r="J46" s="1279">
        <f>SUM(J45:J45)</f>
        <v>10</v>
      </c>
      <c r="K46" s="1280"/>
      <c r="L46" s="1281"/>
      <c r="M46" s="1282">
        <f>SUM(M45:M45)</f>
        <v>2896.2001853568122</v>
      </c>
      <c r="N46" s="1281">
        <f>SUM(N45:N45)</f>
        <v>2896.2001853568122</v>
      </c>
      <c r="O46" s="1115"/>
      <c r="P46" s="733"/>
      <c r="Q46" s="733"/>
      <c r="R46" s="734"/>
    </row>
    <row r="47" spans="1:20" ht="12.75" customHeight="1" x14ac:dyDescent="0.2">
      <c r="A47" s="1127" t="s">
        <v>20</v>
      </c>
      <c r="B47" s="1131" t="s">
        <v>20</v>
      </c>
      <c r="C47" s="1142" t="s">
        <v>30</v>
      </c>
      <c r="D47" s="3376" t="s">
        <v>259</v>
      </c>
      <c r="E47" s="2980"/>
      <c r="F47" s="3244">
        <v>2</v>
      </c>
      <c r="G47" s="115" t="s">
        <v>22</v>
      </c>
      <c r="H47" s="1288">
        <f>50/3.4528*1000</f>
        <v>14481.00092678406</v>
      </c>
      <c r="I47" s="1289">
        <f>J47+L47</f>
        <v>50</v>
      </c>
      <c r="J47" s="1275">
        <v>50</v>
      </c>
      <c r="K47" s="1290"/>
      <c r="L47" s="1276"/>
      <c r="M47" s="1291">
        <f>50/3.4528*1000</f>
        <v>14481.00092678406</v>
      </c>
      <c r="N47" s="1292">
        <f>50/3.4528*1000</f>
        <v>14481.00092678406</v>
      </c>
      <c r="O47" s="3076" t="s">
        <v>260</v>
      </c>
      <c r="P47" s="3372">
        <v>1.5</v>
      </c>
      <c r="Q47" s="3372">
        <v>1.5</v>
      </c>
      <c r="R47" s="3374">
        <v>1.5</v>
      </c>
    </row>
    <row r="48" spans="1:20" ht="13.5" thickBot="1" x14ac:dyDescent="0.25">
      <c r="A48" s="1129"/>
      <c r="B48" s="28"/>
      <c r="C48" s="1143"/>
      <c r="D48" s="3377"/>
      <c r="E48" s="2981"/>
      <c r="F48" s="3378"/>
      <c r="G48" s="298" t="s">
        <v>23</v>
      </c>
      <c r="H48" s="1272">
        <f>H47</f>
        <v>14481.00092678406</v>
      </c>
      <c r="I48" s="1273">
        <f>SUM(I47:I47)</f>
        <v>50</v>
      </c>
      <c r="J48" s="1279">
        <f>SUM(J47:J47)</f>
        <v>50</v>
      </c>
      <c r="K48" s="1280"/>
      <c r="L48" s="1281"/>
      <c r="M48" s="1282">
        <f>SUM(M47:M47)</f>
        <v>14481.00092678406</v>
      </c>
      <c r="N48" s="1281">
        <f>SUM(N47:N47)</f>
        <v>14481.00092678406</v>
      </c>
      <c r="O48" s="3077"/>
      <c r="P48" s="3373"/>
      <c r="Q48" s="3373"/>
      <c r="R48" s="3375"/>
    </row>
    <row r="49" spans="1:18" ht="13.5" thickBot="1" x14ac:dyDescent="0.25">
      <c r="A49" s="1129" t="s">
        <v>20</v>
      </c>
      <c r="B49" s="1133" t="s">
        <v>20</v>
      </c>
      <c r="C49" s="3088" t="s">
        <v>27</v>
      </c>
      <c r="D49" s="3088"/>
      <c r="E49" s="3088"/>
      <c r="F49" s="3088"/>
      <c r="G49" s="3089"/>
      <c r="H49" s="1293">
        <f>H48+H46+H44+H42+H40+H38</f>
        <v>55000000</v>
      </c>
      <c r="I49" s="1294">
        <f t="shared" ref="I49:N49" si="5">I44+I42+I40+I38+I46+I48</f>
        <v>189904</v>
      </c>
      <c r="J49" s="1294">
        <f t="shared" si="5"/>
        <v>189634.8</v>
      </c>
      <c r="K49" s="1294">
        <f t="shared" si="5"/>
        <v>127358.40000000002</v>
      </c>
      <c r="L49" s="1294">
        <f t="shared" si="5"/>
        <v>269.2</v>
      </c>
      <c r="M49" s="1294">
        <f t="shared" si="5"/>
        <v>55005097.31232623</v>
      </c>
      <c r="N49" s="1294">
        <f t="shared" si="5"/>
        <v>55005097.31232623</v>
      </c>
      <c r="O49" s="3189"/>
      <c r="P49" s="3190"/>
      <c r="Q49" s="3190"/>
      <c r="R49" s="3191"/>
    </row>
    <row r="50" spans="1:18" ht="13.5" thickBot="1" x14ac:dyDescent="0.25">
      <c r="A50" s="15" t="s">
        <v>20</v>
      </c>
      <c r="B50" s="17" t="s">
        <v>24</v>
      </c>
      <c r="C50" s="3250" t="s">
        <v>115</v>
      </c>
      <c r="D50" s="3187"/>
      <c r="E50" s="3187"/>
      <c r="F50" s="3187"/>
      <c r="G50" s="3187"/>
      <c r="H50" s="3187"/>
      <c r="I50" s="3187"/>
      <c r="J50" s="3187"/>
      <c r="K50" s="3187"/>
      <c r="L50" s="3187"/>
      <c r="M50" s="3187"/>
      <c r="N50" s="3187"/>
      <c r="O50" s="3187"/>
      <c r="P50" s="3187"/>
      <c r="Q50" s="3187"/>
      <c r="R50" s="3188"/>
    </row>
    <row r="51" spans="1:18" ht="27" customHeight="1" x14ac:dyDescent="0.2">
      <c r="A51" s="218" t="s">
        <v>20</v>
      </c>
      <c r="B51" s="3117" t="s">
        <v>24</v>
      </c>
      <c r="C51" s="2912" t="s">
        <v>20</v>
      </c>
      <c r="D51" s="3242" t="s">
        <v>118</v>
      </c>
      <c r="E51" s="3252"/>
      <c r="F51" s="3247">
        <v>2</v>
      </c>
      <c r="G51" s="1166" t="s">
        <v>22</v>
      </c>
      <c r="H51" s="1295">
        <f>65.4/3.4528*1000</f>
        <v>18941.149212233551</v>
      </c>
      <c r="I51" s="1296">
        <f>J51+L51</f>
        <v>65.400000000000006</v>
      </c>
      <c r="J51" s="1297">
        <v>65.400000000000006</v>
      </c>
      <c r="K51" s="1297"/>
      <c r="L51" s="1298"/>
      <c r="M51" s="1299">
        <f>65.4/3.4528*1000</f>
        <v>18941.149212233551</v>
      </c>
      <c r="N51" s="1299">
        <f>65.4/3.4528*1000</f>
        <v>18941.149212233551</v>
      </c>
      <c r="O51" s="190" t="s">
        <v>261</v>
      </c>
      <c r="P51" s="191">
        <v>20</v>
      </c>
      <c r="Q51" s="191">
        <v>20</v>
      </c>
      <c r="R51" s="192">
        <v>20</v>
      </c>
    </row>
    <row r="52" spans="1:18" ht="15.75" customHeight="1" thickBot="1" x14ac:dyDescent="0.25">
      <c r="A52" s="1111"/>
      <c r="B52" s="3118"/>
      <c r="C52" s="2913"/>
      <c r="D52" s="3271"/>
      <c r="E52" s="3370"/>
      <c r="F52" s="3371"/>
      <c r="G52" s="805" t="s">
        <v>23</v>
      </c>
      <c r="H52" s="1300">
        <f>H51</f>
        <v>18941.149212233551</v>
      </c>
      <c r="I52" s="1301">
        <f>SUM(I51)</f>
        <v>65.400000000000006</v>
      </c>
      <c r="J52" s="1302">
        <f>SUM(J51)</f>
        <v>65.400000000000006</v>
      </c>
      <c r="K52" s="1303"/>
      <c r="L52" s="1304"/>
      <c r="M52" s="1305">
        <f>SUM(M51)</f>
        <v>18941.149212233551</v>
      </c>
      <c r="N52" s="1305">
        <f>SUM(N51)</f>
        <v>18941.149212233551</v>
      </c>
      <c r="O52" s="193" t="s">
        <v>119</v>
      </c>
      <c r="P52" s="194">
        <v>36</v>
      </c>
      <c r="Q52" s="194">
        <v>36</v>
      </c>
      <c r="R52" s="195">
        <v>36</v>
      </c>
    </row>
    <row r="53" spans="1:18" ht="12.75" customHeight="1" x14ac:dyDescent="0.2">
      <c r="A53" s="3221" t="s">
        <v>20</v>
      </c>
      <c r="B53" s="3117" t="s">
        <v>24</v>
      </c>
      <c r="C53" s="3227" t="s">
        <v>24</v>
      </c>
      <c r="D53" s="3095" t="s">
        <v>263</v>
      </c>
      <c r="E53" s="3252"/>
      <c r="F53" s="3244">
        <v>2</v>
      </c>
      <c r="G53" s="651" t="s">
        <v>25</v>
      </c>
      <c r="H53" s="1232">
        <f>104.8/3.4528*1000</f>
        <v>30352.177942539387</v>
      </c>
      <c r="I53" s="1296">
        <f>J53+L53</f>
        <v>104.8</v>
      </c>
      <c r="J53" s="1306">
        <v>104.8</v>
      </c>
      <c r="K53" s="1307">
        <v>80</v>
      </c>
      <c r="L53" s="1266"/>
      <c r="M53" s="1260">
        <f>105/3.4528*1000</f>
        <v>30410.101946246526</v>
      </c>
      <c r="N53" s="1308">
        <f>105/3.4528*1000</f>
        <v>30410.101946246526</v>
      </c>
      <c r="O53" s="3076" t="s">
        <v>299</v>
      </c>
      <c r="P53" s="138">
        <v>17</v>
      </c>
      <c r="Q53" s="138">
        <v>17</v>
      </c>
      <c r="R53" s="137">
        <v>17</v>
      </c>
    </row>
    <row r="54" spans="1:18" ht="13.5" thickBot="1" x14ac:dyDescent="0.25">
      <c r="A54" s="3241"/>
      <c r="B54" s="3251"/>
      <c r="C54" s="3240"/>
      <c r="D54" s="3096"/>
      <c r="E54" s="3253"/>
      <c r="F54" s="3245"/>
      <c r="G54" s="298" t="s">
        <v>23</v>
      </c>
      <c r="H54" s="1309">
        <f>H53</f>
        <v>30352.177942539387</v>
      </c>
      <c r="I54" s="1310">
        <f>SUM(I53)</f>
        <v>104.8</v>
      </c>
      <c r="J54" s="1279">
        <f>SUM(J53)</f>
        <v>104.8</v>
      </c>
      <c r="K54" s="1311">
        <f>SUM(K53)</f>
        <v>80</v>
      </c>
      <c r="L54" s="1312"/>
      <c r="M54" s="1282">
        <f>SUM(M53)</f>
        <v>30410.101946246526</v>
      </c>
      <c r="N54" s="1311">
        <f>SUM(N53)</f>
        <v>30410.101946246526</v>
      </c>
      <c r="O54" s="3077"/>
      <c r="P54" s="762"/>
      <c r="Q54" s="762"/>
      <c r="R54" s="763"/>
    </row>
    <row r="55" spans="1:18" ht="30" customHeight="1" x14ac:dyDescent="0.2">
      <c r="A55" s="3154" t="s">
        <v>20</v>
      </c>
      <c r="B55" s="1131" t="s">
        <v>24</v>
      </c>
      <c r="C55" s="3230" t="s">
        <v>26</v>
      </c>
      <c r="D55" s="3208" t="s">
        <v>45</v>
      </c>
      <c r="E55" s="3210"/>
      <c r="F55" s="3092">
        <v>2</v>
      </c>
      <c r="G55" s="748" t="s">
        <v>22</v>
      </c>
      <c r="H55" s="1313">
        <f>136.7/3.4528*1000</f>
        <v>39591.056533827621</v>
      </c>
      <c r="I55" s="1314">
        <f>J55+L55</f>
        <v>136.69999999999999</v>
      </c>
      <c r="J55" s="1315">
        <v>136.69999999999999</v>
      </c>
      <c r="K55" s="1315"/>
      <c r="L55" s="1316"/>
      <c r="M55" s="1299">
        <f>140/3.4528*1000</f>
        <v>40546.802594995374</v>
      </c>
      <c r="N55" s="1307">
        <f>140/3.4528*1000</f>
        <v>40546.802594995374</v>
      </c>
      <c r="O55" s="764" t="s">
        <v>300</v>
      </c>
      <c r="P55" s="759">
        <v>180</v>
      </c>
      <c r="Q55" s="1121">
        <v>180</v>
      </c>
      <c r="R55" s="671">
        <v>180</v>
      </c>
    </row>
    <row r="56" spans="1:18" ht="13.5" thickBot="1" x14ac:dyDescent="0.25">
      <c r="A56" s="3156"/>
      <c r="B56" s="1133"/>
      <c r="C56" s="3231"/>
      <c r="D56" s="3209"/>
      <c r="E56" s="3211"/>
      <c r="F56" s="3093"/>
      <c r="G56" s="1089" t="s">
        <v>23</v>
      </c>
      <c r="H56" s="1309">
        <f>H55</f>
        <v>39591.056533827621</v>
      </c>
      <c r="I56" s="1317">
        <f>SUM(I55)</f>
        <v>136.69999999999999</v>
      </c>
      <c r="J56" s="1318">
        <f>SUM(J55)</f>
        <v>136.69999999999999</v>
      </c>
      <c r="K56" s="1319"/>
      <c r="L56" s="1320"/>
      <c r="M56" s="1282">
        <f>SUM(M55)</f>
        <v>40546.802594995374</v>
      </c>
      <c r="N56" s="1281">
        <f>SUM(N55)</f>
        <v>40546.802594995374</v>
      </c>
      <c r="O56" s="765"/>
      <c r="P56" s="766"/>
      <c r="Q56" s="746"/>
      <c r="R56" s="1105"/>
    </row>
    <row r="57" spans="1:18" ht="20.25" customHeight="1" x14ac:dyDescent="0.2">
      <c r="A57" s="3221" t="s">
        <v>20</v>
      </c>
      <c r="B57" s="3117" t="s">
        <v>24</v>
      </c>
      <c r="C57" s="3227" t="s">
        <v>28</v>
      </c>
      <c r="D57" s="3208" t="s">
        <v>310</v>
      </c>
      <c r="E57" s="3366" t="s">
        <v>123</v>
      </c>
      <c r="F57" s="3090">
        <v>2</v>
      </c>
      <c r="G57" s="646" t="s">
        <v>25</v>
      </c>
      <c r="H57" s="1288">
        <f>133.5/3.4528*1000</f>
        <v>38664.27247451344</v>
      </c>
      <c r="I57" s="1296">
        <f>J57+L57</f>
        <v>133.5</v>
      </c>
      <c r="J57" s="1321">
        <v>102.5</v>
      </c>
      <c r="K57" s="1321">
        <v>78.3</v>
      </c>
      <c r="L57" s="1322">
        <v>31</v>
      </c>
      <c r="M57" s="1323">
        <f>102.5/3.4528*1000</f>
        <v>29686.051899907321</v>
      </c>
      <c r="N57" s="1322"/>
      <c r="O57" s="196" t="s">
        <v>66</v>
      </c>
      <c r="P57" s="138">
        <v>2</v>
      </c>
      <c r="Q57" s="138">
        <v>1</v>
      </c>
      <c r="R57" s="745"/>
    </row>
    <row r="58" spans="1:18" ht="20.25" customHeight="1" x14ac:dyDescent="0.2">
      <c r="A58" s="3155"/>
      <c r="B58" s="3159"/>
      <c r="C58" s="3228"/>
      <c r="D58" s="3263"/>
      <c r="E58" s="3308"/>
      <c r="F58" s="3239"/>
      <c r="G58" s="116"/>
      <c r="H58" s="1224"/>
      <c r="I58" s="1324"/>
      <c r="J58" s="1325"/>
      <c r="K58" s="1325"/>
      <c r="L58" s="1255"/>
      <c r="M58" s="1326"/>
      <c r="N58" s="1327"/>
      <c r="O58" s="767"/>
      <c r="P58" s="175"/>
      <c r="Q58" s="175"/>
      <c r="R58" s="671"/>
    </row>
    <row r="59" spans="1:18" ht="13.5" thickBot="1" x14ac:dyDescent="0.25">
      <c r="A59" s="3241"/>
      <c r="B59" s="3251"/>
      <c r="C59" s="3240"/>
      <c r="D59" s="3368"/>
      <c r="E59" s="3351"/>
      <c r="F59" s="3369"/>
      <c r="G59" s="298" t="s">
        <v>23</v>
      </c>
      <c r="H59" s="1272">
        <f>H57</f>
        <v>38664.27247451344</v>
      </c>
      <c r="I59" s="1317">
        <f t="shared" ref="I59:N59" si="6">I57</f>
        <v>133.5</v>
      </c>
      <c r="J59" s="1328">
        <f t="shared" si="6"/>
        <v>102.5</v>
      </c>
      <c r="K59" s="1328">
        <f t="shared" si="6"/>
        <v>78.3</v>
      </c>
      <c r="L59" s="1320">
        <f t="shared" si="6"/>
        <v>31</v>
      </c>
      <c r="M59" s="1286">
        <f t="shared" si="6"/>
        <v>29686.051899907321</v>
      </c>
      <c r="N59" s="1319">
        <f t="shared" si="6"/>
        <v>0</v>
      </c>
      <c r="O59" s="1103"/>
      <c r="P59" s="762"/>
      <c r="Q59" s="762"/>
      <c r="R59" s="763"/>
    </row>
    <row r="60" spans="1:18" ht="16.5" customHeight="1" x14ac:dyDescent="0.2">
      <c r="A60" s="3221" t="s">
        <v>20</v>
      </c>
      <c r="B60" s="3117" t="s">
        <v>24</v>
      </c>
      <c r="C60" s="3227" t="s">
        <v>29</v>
      </c>
      <c r="D60" s="3208" t="s">
        <v>124</v>
      </c>
      <c r="E60" s="3366"/>
      <c r="F60" s="3090">
        <v>2</v>
      </c>
      <c r="G60" s="651" t="s">
        <v>25</v>
      </c>
      <c r="H60" s="1232">
        <f>1279.8/3.4528*1000</f>
        <v>370655.69972196477</v>
      </c>
      <c r="I60" s="1329">
        <f>J60+L60</f>
        <v>1279.8</v>
      </c>
      <c r="J60" s="1252">
        <v>1279.8</v>
      </c>
      <c r="K60" s="1253">
        <v>977.1</v>
      </c>
      <c r="L60" s="1259"/>
      <c r="M60" s="1330">
        <f>1313.3/3.4528*1000</f>
        <v>380357.97034291009</v>
      </c>
      <c r="N60" s="1331">
        <f>1313.3/3.4528*1000</f>
        <v>380357.97034291009</v>
      </c>
      <c r="O60" s="743" t="s">
        <v>66</v>
      </c>
      <c r="P60" s="744">
        <v>34</v>
      </c>
      <c r="Q60" s="744">
        <v>34</v>
      </c>
      <c r="R60" s="745">
        <v>34</v>
      </c>
    </row>
    <row r="61" spans="1:18" ht="35.25" customHeight="1" thickBot="1" x14ac:dyDescent="0.25">
      <c r="A61" s="3241"/>
      <c r="B61" s="3251"/>
      <c r="C61" s="3240"/>
      <c r="D61" s="3368"/>
      <c r="E61" s="3351"/>
      <c r="F61" s="3369"/>
      <c r="G61" s="298" t="s">
        <v>23</v>
      </c>
      <c r="H61" s="1309">
        <f>H60</f>
        <v>370655.69972196477</v>
      </c>
      <c r="I61" s="1328">
        <f>SUM(I60)</f>
        <v>1279.8</v>
      </c>
      <c r="J61" s="1318">
        <f>SUM(J60)</f>
        <v>1279.8</v>
      </c>
      <c r="K61" s="1319">
        <f>K60</f>
        <v>977.1</v>
      </c>
      <c r="L61" s="1320"/>
      <c r="M61" s="1282">
        <f>SUM(M60)</f>
        <v>380357.97034291009</v>
      </c>
      <c r="N61" s="1311">
        <f>SUM(N60)</f>
        <v>380357.97034291009</v>
      </c>
      <c r="O61" s="1103"/>
      <c r="P61" s="762"/>
      <c r="Q61" s="762"/>
      <c r="R61" s="763"/>
    </row>
    <row r="62" spans="1:18" ht="16.5" customHeight="1" x14ac:dyDescent="0.2">
      <c r="A62" s="3154" t="s">
        <v>20</v>
      </c>
      <c r="B62" s="1131" t="s">
        <v>24</v>
      </c>
      <c r="C62" s="3230" t="s">
        <v>30</v>
      </c>
      <c r="D62" s="3208" t="s">
        <v>262</v>
      </c>
      <c r="E62" s="3366"/>
      <c r="F62" s="3092">
        <v>2</v>
      </c>
      <c r="G62" s="748" t="s">
        <v>22</v>
      </c>
      <c r="H62" s="1313">
        <f>30/3.4528*1000</f>
        <v>8688.6005560704343</v>
      </c>
      <c r="I62" s="1314">
        <f>J62+L62</f>
        <v>30</v>
      </c>
      <c r="J62" s="1315">
        <v>30</v>
      </c>
      <c r="K62" s="1315"/>
      <c r="L62" s="1316"/>
      <c r="M62" s="1299">
        <f>30/3.4528*1000</f>
        <v>8688.6005560704343</v>
      </c>
      <c r="N62" s="1307">
        <f>30/3.4528*1000</f>
        <v>8688.6005560704343</v>
      </c>
      <c r="O62" s="764" t="s">
        <v>140</v>
      </c>
      <c r="P62" s="677">
        <v>5000</v>
      </c>
      <c r="Q62" s="768">
        <v>5000</v>
      </c>
      <c r="R62" s="804">
        <v>5000</v>
      </c>
    </row>
    <row r="63" spans="1:18" ht="13.5" thickBot="1" x14ac:dyDescent="0.25">
      <c r="A63" s="3156"/>
      <c r="B63" s="1133"/>
      <c r="C63" s="3231"/>
      <c r="D63" s="3209"/>
      <c r="E63" s="3367"/>
      <c r="F63" s="3093"/>
      <c r="G63" s="1089" t="s">
        <v>23</v>
      </c>
      <c r="H63" s="1309">
        <f>H62</f>
        <v>8688.6005560704343</v>
      </c>
      <c r="I63" s="1317">
        <f>SUM(I62)</f>
        <v>30</v>
      </c>
      <c r="J63" s="1318">
        <f>SUM(J62)</f>
        <v>30</v>
      </c>
      <c r="K63" s="1319"/>
      <c r="L63" s="1320"/>
      <c r="M63" s="1282">
        <f>SUM(M62)</f>
        <v>8688.6005560704343</v>
      </c>
      <c r="N63" s="1281">
        <f>SUM(N62)</f>
        <v>8688.6005560704343</v>
      </c>
      <c r="O63" s="765"/>
      <c r="P63" s="766"/>
      <c r="Q63" s="746"/>
      <c r="R63" s="1105"/>
    </row>
    <row r="64" spans="1:18" ht="29.25" customHeight="1" x14ac:dyDescent="0.2">
      <c r="A64" s="3154" t="s">
        <v>20</v>
      </c>
      <c r="B64" s="1131" t="s">
        <v>24</v>
      </c>
      <c r="C64" s="3230" t="s">
        <v>55</v>
      </c>
      <c r="D64" s="3208" t="s">
        <v>272</v>
      </c>
      <c r="E64" s="3366" t="s">
        <v>133</v>
      </c>
      <c r="F64" s="3092">
        <v>2</v>
      </c>
      <c r="G64" s="748" t="s">
        <v>22</v>
      </c>
      <c r="H64" s="1499">
        <f>438.6/3.4528*1000</f>
        <v>127027.34012974978</v>
      </c>
      <c r="I64" s="1314">
        <f>J64+L64</f>
        <v>438.6</v>
      </c>
      <c r="J64" s="1315">
        <v>438.6</v>
      </c>
      <c r="K64" s="1315"/>
      <c r="L64" s="1316"/>
      <c r="M64" s="1299">
        <f>295.5/3.4528*1000</f>
        <v>85582.715477293794</v>
      </c>
      <c r="N64" s="1307"/>
      <c r="O64" s="2984" t="s">
        <v>214</v>
      </c>
      <c r="P64" s="759">
        <f>24+29</f>
        <v>53</v>
      </c>
      <c r="Q64" s="1121">
        <v>25</v>
      </c>
      <c r="R64" s="671"/>
    </row>
    <row r="65" spans="1:18" ht="23.25" customHeight="1" thickBot="1" x14ac:dyDescent="0.25">
      <c r="A65" s="3156"/>
      <c r="B65" s="1133"/>
      <c r="C65" s="3231"/>
      <c r="D65" s="3209"/>
      <c r="E65" s="3367"/>
      <c r="F65" s="3093"/>
      <c r="G65" s="1089" t="s">
        <v>23</v>
      </c>
      <c r="H65" s="1309">
        <f>H64</f>
        <v>127027.34012974978</v>
      </c>
      <c r="I65" s="1317">
        <f>SUM(I64)</f>
        <v>438.6</v>
      </c>
      <c r="J65" s="1318">
        <f>SUM(J64)</f>
        <v>438.6</v>
      </c>
      <c r="K65" s="1319"/>
      <c r="L65" s="1320"/>
      <c r="M65" s="1282">
        <f>SUM(M64)</f>
        <v>85582.715477293794</v>
      </c>
      <c r="N65" s="1281"/>
      <c r="O65" s="2985"/>
      <c r="P65" s="766"/>
      <c r="Q65" s="746"/>
      <c r="R65" s="1105"/>
    </row>
    <row r="66" spans="1:18" ht="13.5" thickBot="1" x14ac:dyDescent="0.25">
      <c r="A66" s="15" t="s">
        <v>20</v>
      </c>
      <c r="B66" s="14" t="s">
        <v>24</v>
      </c>
      <c r="C66" s="3104" t="s">
        <v>27</v>
      </c>
      <c r="D66" s="3104"/>
      <c r="E66" s="3104"/>
      <c r="F66" s="3104"/>
      <c r="G66" s="3104"/>
      <c r="H66" s="1293">
        <f>H65+H63+H61+H59+H56+H54+H52</f>
        <v>633920.29657089885</v>
      </c>
      <c r="I66" s="1294">
        <f>J66+L66</f>
        <v>2188.8000000000002</v>
      </c>
      <c r="J66" s="1294">
        <f t="shared" ref="J66:N66" si="7">J56+J61+J59+J54+J52+J63+J65</f>
        <v>2157.8000000000002</v>
      </c>
      <c r="K66" s="1294">
        <f t="shared" si="7"/>
        <v>1135.4000000000001</v>
      </c>
      <c r="L66" s="1294">
        <f t="shared" si="7"/>
        <v>31</v>
      </c>
      <c r="M66" s="1332">
        <f>M56+M61+M59+M54+M52+M63+M65</f>
        <v>594213.39202965703</v>
      </c>
      <c r="N66" s="1333">
        <f t="shared" si="7"/>
        <v>478944.62465245597</v>
      </c>
      <c r="O66" s="1137"/>
      <c r="P66" s="3360"/>
      <c r="Q66" s="3360"/>
      <c r="R66" s="3361"/>
    </row>
    <row r="67" spans="1:18" ht="13.5" thickBot="1" x14ac:dyDescent="0.25">
      <c r="A67" s="15" t="s">
        <v>20</v>
      </c>
      <c r="B67" s="3362" t="s">
        <v>10</v>
      </c>
      <c r="C67" s="3149"/>
      <c r="D67" s="3149"/>
      <c r="E67" s="3149"/>
      <c r="F67" s="3149"/>
      <c r="G67" s="3149"/>
      <c r="H67" s="1334">
        <f>H66+H49</f>
        <v>55633920.296570897</v>
      </c>
      <c r="I67" s="1335">
        <f>J67+L67</f>
        <v>192092.79999999999</v>
      </c>
      <c r="J67" s="1335">
        <f t="shared" ref="J67:N67" si="8">J66+J49</f>
        <v>191792.59999999998</v>
      </c>
      <c r="K67" s="1335">
        <f t="shared" si="8"/>
        <v>128493.80000000002</v>
      </c>
      <c r="L67" s="1335">
        <f t="shared" si="8"/>
        <v>300.2</v>
      </c>
      <c r="M67" s="1336">
        <f t="shared" si="8"/>
        <v>55599310.704355888</v>
      </c>
      <c r="N67" s="1337">
        <f t="shared" si="8"/>
        <v>55484041.936978683</v>
      </c>
      <c r="O67" s="3363"/>
      <c r="P67" s="3364"/>
      <c r="Q67" s="3364"/>
      <c r="R67" s="3365"/>
    </row>
    <row r="68" spans="1:18" ht="13.5" thickBot="1" x14ac:dyDescent="0.25">
      <c r="A68" s="1127" t="s">
        <v>24</v>
      </c>
      <c r="B68" s="3258" t="s">
        <v>56</v>
      </c>
      <c r="C68" s="3259"/>
      <c r="D68" s="3259"/>
      <c r="E68" s="3259"/>
      <c r="F68" s="3259"/>
      <c r="G68" s="3259"/>
      <c r="H68" s="3259"/>
      <c r="I68" s="3259"/>
      <c r="J68" s="3259"/>
      <c r="K68" s="3259"/>
      <c r="L68" s="3259"/>
      <c r="M68" s="3259"/>
      <c r="N68" s="3259"/>
      <c r="O68" s="3259"/>
      <c r="P68" s="3259"/>
      <c r="Q68" s="3259"/>
      <c r="R68" s="3260"/>
    </row>
    <row r="69" spans="1:18" ht="13.5" thickBot="1" x14ac:dyDescent="0.25">
      <c r="A69" s="23" t="s">
        <v>24</v>
      </c>
      <c r="B69" s="17" t="s">
        <v>20</v>
      </c>
      <c r="C69" s="3359" t="s">
        <v>47</v>
      </c>
      <c r="D69" s="3012"/>
      <c r="E69" s="3012"/>
      <c r="F69" s="3012"/>
      <c r="G69" s="3012"/>
      <c r="H69" s="3012"/>
      <c r="I69" s="3012"/>
      <c r="J69" s="3012"/>
      <c r="K69" s="3012"/>
      <c r="L69" s="3012"/>
      <c r="M69" s="3012"/>
      <c r="N69" s="3012"/>
      <c r="O69" s="3012"/>
      <c r="P69" s="3012"/>
      <c r="Q69" s="3012"/>
      <c r="R69" s="3013"/>
    </row>
    <row r="70" spans="1:18" ht="25.5" x14ac:dyDescent="0.2">
      <c r="A70" s="1124" t="s">
        <v>24</v>
      </c>
      <c r="B70" s="1131" t="s">
        <v>20</v>
      </c>
      <c r="C70" s="1107" t="s">
        <v>20</v>
      </c>
      <c r="D70" s="126" t="s">
        <v>57</v>
      </c>
      <c r="E70" s="248"/>
      <c r="F70" s="124"/>
      <c r="G70" s="1166"/>
      <c r="H70" s="1295"/>
      <c r="I70" s="1296"/>
      <c r="J70" s="1297"/>
      <c r="K70" s="1297"/>
      <c r="L70" s="1298"/>
      <c r="M70" s="1299"/>
      <c r="N70" s="1338"/>
      <c r="O70" s="66"/>
      <c r="P70" s="673"/>
      <c r="Q70" s="86"/>
      <c r="R70" s="674"/>
    </row>
    <row r="71" spans="1:18" s="4" customFormat="1" ht="12.75" customHeight="1" x14ac:dyDescent="0.2">
      <c r="A71" s="1125"/>
      <c r="B71" s="1132"/>
      <c r="C71" s="1141"/>
      <c r="D71" s="3195" t="s">
        <v>233</v>
      </c>
      <c r="E71" s="1106" t="s">
        <v>4</v>
      </c>
      <c r="F71" s="221">
        <v>5</v>
      </c>
      <c r="G71" s="24" t="s">
        <v>22</v>
      </c>
      <c r="H71" s="1339">
        <f>921.4/3.4528*1000</f>
        <v>266855.88507877663</v>
      </c>
      <c r="I71" s="1340">
        <f>J71+L71</f>
        <v>921.4</v>
      </c>
      <c r="J71" s="1341"/>
      <c r="K71" s="1341"/>
      <c r="L71" s="1342">
        <f>108.4+813</f>
        <v>921.4</v>
      </c>
      <c r="M71" s="1343"/>
      <c r="N71" s="1344"/>
      <c r="O71" s="3217" t="s">
        <v>103</v>
      </c>
      <c r="P71" s="148"/>
      <c r="Q71" s="87"/>
      <c r="R71" s="100"/>
    </row>
    <row r="72" spans="1:18" s="4" customFormat="1" x14ac:dyDescent="0.2">
      <c r="A72" s="1125"/>
      <c r="B72" s="1132"/>
      <c r="C72" s="1141"/>
      <c r="D72" s="3196"/>
      <c r="E72" s="1157"/>
      <c r="F72" s="222"/>
      <c r="G72" s="378" t="s">
        <v>6</v>
      </c>
      <c r="H72" s="1230">
        <f>1102.9/3.4528*1000</f>
        <v>319421.9184430028</v>
      </c>
      <c r="I72" s="1345">
        <f>J72+L72</f>
        <v>1102.9000000000001</v>
      </c>
      <c r="J72" s="1346">
        <v>17.399999999999999</v>
      </c>
      <c r="K72" s="1346">
        <v>13.3</v>
      </c>
      <c r="L72" s="1347">
        <v>1085.5</v>
      </c>
      <c r="M72" s="1343"/>
      <c r="N72" s="1344"/>
      <c r="O72" s="3218"/>
      <c r="P72" s="675"/>
      <c r="Q72" s="88"/>
      <c r="R72" s="101"/>
    </row>
    <row r="73" spans="1:18" s="4" customFormat="1" x14ac:dyDescent="0.2">
      <c r="A73" s="1125"/>
      <c r="B73" s="1132"/>
      <c r="C73" s="1141"/>
      <c r="D73" s="3196"/>
      <c r="E73" s="1157"/>
      <c r="F73" s="222"/>
      <c r="G73" s="379"/>
      <c r="H73" s="1348"/>
      <c r="I73" s="1324"/>
      <c r="J73" s="1349"/>
      <c r="K73" s="1349"/>
      <c r="L73" s="1350"/>
      <c r="M73" s="1351"/>
      <c r="N73" s="1331"/>
      <c r="O73" s="3218"/>
      <c r="P73" s="770">
        <v>100</v>
      </c>
      <c r="Q73" s="771"/>
      <c r="R73" s="101"/>
    </row>
    <row r="74" spans="1:18" s="4" customFormat="1" ht="13.5" thickBot="1" x14ac:dyDescent="0.25">
      <c r="A74" s="1125"/>
      <c r="B74" s="1132"/>
      <c r="C74" s="1141"/>
      <c r="D74" s="3197"/>
      <c r="E74" s="1102"/>
      <c r="F74" s="155"/>
      <c r="G74" s="362" t="s">
        <v>23</v>
      </c>
      <c r="H74" s="1352">
        <f>SUM(H71:H73)</f>
        <v>586277.80352177937</v>
      </c>
      <c r="I74" s="1352">
        <f>J74+L74</f>
        <v>2024.3000000000002</v>
      </c>
      <c r="J74" s="1353">
        <f t="shared" ref="J74:L74" si="9">SUM(J71:J73)</f>
        <v>17.399999999999999</v>
      </c>
      <c r="K74" s="1353">
        <f t="shared" si="9"/>
        <v>13.3</v>
      </c>
      <c r="L74" s="1354">
        <f t="shared" si="9"/>
        <v>2006.9</v>
      </c>
      <c r="M74" s="1355"/>
      <c r="N74" s="1354"/>
      <c r="O74" s="67"/>
      <c r="P74" s="89"/>
      <c r="Q74" s="90"/>
      <c r="R74" s="102"/>
    </row>
    <row r="75" spans="1:18" ht="25.5" x14ac:dyDescent="0.2">
      <c r="A75" s="1124" t="s">
        <v>24</v>
      </c>
      <c r="B75" s="1131" t="s">
        <v>20</v>
      </c>
      <c r="C75" s="1107" t="s">
        <v>24</v>
      </c>
      <c r="D75" s="868" t="s">
        <v>235</v>
      </c>
      <c r="E75" s="861" t="s">
        <v>58</v>
      </c>
      <c r="F75" s="124">
        <v>5</v>
      </c>
      <c r="G75" s="1166"/>
      <c r="H75" s="1295"/>
      <c r="I75" s="1296"/>
      <c r="J75" s="1297"/>
      <c r="K75" s="1297"/>
      <c r="L75" s="1298"/>
      <c r="M75" s="1299"/>
      <c r="N75" s="1338"/>
      <c r="O75" s="66"/>
      <c r="P75" s="673"/>
      <c r="Q75" s="86"/>
      <c r="R75" s="674"/>
    </row>
    <row r="76" spans="1:18" ht="18" customHeight="1" x14ac:dyDescent="0.2">
      <c r="A76" s="1125"/>
      <c r="B76" s="1132"/>
      <c r="C76" s="1109"/>
      <c r="D76" s="3350" t="s">
        <v>315</v>
      </c>
      <c r="E76" s="467"/>
      <c r="F76" s="621"/>
      <c r="G76" s="169" t="s">
        <v>22</v>
      </c>
      <c r="H76" s="1356">
        <f>6/3.4528*1000</f>
        <v>1737.7201112140872</v>
      </c>
      <c r="I76" s="1345">
        <f>J76+L76</f>
        <v>6</v>
      </c>
      <c r="J76" s="1357"/>
      <c r="K76" s="1357"/>
      <c r="L76" s="1342">
        <v>6</v>
      </c>
      <c r="M76" s="1358">
        <f>145.9/3.4528*1000</f>
        <v>42255.560704355885</v>
      </c>
      <c r="N76" s="1359"/>
      <c r="O76" s="704" t="s">
        <v>281</v>
      </c>
      <c r="P76" s="1116">
        <v>1</v>
      </c>
      <c r="Q76" s="1116"/>
      <c r="R76" s="705"/>
    </row>
    <row r="77" spans="1:18" x14ac:dyDescent="0.2">
      <c r="A77" s="1125"/>
      <c r="B77" s="1132"/>
      <c r="C77" s="1109"/>
      <c r="D77" s="3232"/>
      <c r="E77" s="1095"/>
      <c r="F77" s="222"/>
      <c r="G77" s="901" t="s">
        <v>6</v>
      </c>
      <c r="H77" s="1356"/>
      <c r="I77" s="1345"/>
      <c r="J77" s="1357"/>
      <c r="K77" s="1357"/>
      <c r="L77" s="1347"/>
      <c r="M77" s="1231"/>
      <c r="N77" s="1344">
        <f>2061.1/3.4528*1000</f>
        <v>596935.82020389254</v>
      </c>
      <c r="O77" s="860" t="s">
        <v>286</v>
      </c>
      <c r="P77" s="1117"/>
      <c r="Q77" s="1117">
        <v>1</v>
      </c>
      <c r="R77" s="706"/>
    </row>
    <row r="78" spans="1:18" ht="17.25" customHeight="1" x14ac:dyDescent="0.2">
      <c r="A78" s="1125"/>
      <c r="B78" s="1132"/>
      <c r="C78" s="1109"/>
      <c r="D78" s="3232"/>
      <c r="E78" s="1095"/>
      <c r="F78" s="222"/>
      <c r="G78" s="903"/>
      <c r="H78" s="1360"/>
      <c r="I78" s="1247"/>
      <c r="J78" s="1361"/>
      <c r="K78" s="1361"/>
      <c r="L78" s="1362"/>
      <c r="M78" s="1330"/>
      <c r="N78" s="1331"/>
      <c r="O78" s="860" t="s">
        <v>285</v>
      </c>
      <c r="P78" s="1117"/>
      <c r="Q78" s="1117"/>
      <c r="R78" s="706">
        <v>75</v>
      </c>
    </row>
    <row r="79" spans="1:18" ht="16.5" customHeight="1" x14ac:dyDescent="0.2">
      <c r="A79" s="1125"/>
      <c r="B79" s="1132"/>
      <c r="C79" s="1109"/>
      <c r="D79" s="3350" t="s">
        <v>314</v>
      </c>
      <c r="E79" s="466"/>
      <c r="F79" s="221"/>
      <c r="G79" s="169" t="s">
        <v>22</v>
      </c>
      <c r="H79" s="1356">
        <f>6/3.4528*1000</f>
        <v>1737.7201112140872</v>
      </c>
      <c r="I79" s="1345">
        <f>J79+L79</f>
        <v>6</v>
      </c>
      <c r="J79" s="1357"/>
      <c r="K79" s="1357"/>
      <c r="L79" s="1342">
        <v>6</v>
      </c>
      <c r="M79" s="1358">
        <f>145.9/3.4528*1000</f>
        <v>42255.560704355885</v>
      </c>
      <c r="N79" s="1359"/>
      <c r="O79" s="704" t="s">
        <v>281</v>
      </c>
      <c r="P79" s="1116">
        <v>1</v>
      </c>
      <c r="Q79" s="1116"/>
      <c r="R79" s="705"/>
    </row>
    <row r="80" spans="1:18" ht="17.25" customHeight="1" x14ac:dyDescent="0.2">
      <c r="A80" s="1125"/>
      <c r="B80" s="1132"/>
      <c r="C80" s="1109"/>
      <c r="D80" s="3232"/>
      <c r="E80" s="1157"/>
      <c r="F80" s="222"/>
      <c r="G80" s="901" t="s">
        <v>6</v>
      </c>
      <c r="H80" s="1356"/>
      <c r="I80" s="1345"/>
      <c r="J80" s="1357"/>
      <c r="K80" s="1357"/>
      <c r="L80" s="1347"/>
      <c r="M80" s="1231"/>
      <c r="N80" s="1344">
        <f>2061.1/3.4528*1000</f>
        <v>596935.82020389254</v>
      </c>
      <c r="O80" s="860" t="s">
        <v>237</v>
      </c>
      <c r="P80" s="1117"/>
      <c r="Q80" s="1117">
        <v>1</v>
      </c>
      <c r="R80" s="706"/>
    </row>
    <row r="81" spans="1:18" ht="16.5" customHeight="1" x14ac:dyDescent="0.2">
      <c r="A81" s="1125"/>
      <c r="B81" s="1132"/>
      <c r="C81" s="1109"/>
      <c r="D81" s="3232"/>
      <c r="E81" s="1157"/>
      <c r="F81" s="222"/>
      <c r="G81" s="703"/>
      <c r="H81" s="1363"/>
      <c r="I81" s="1364"/>
      <c r="J81" s="1365"/>
      <c r="K81" s="1365"/>
      <c r="L81" s="1366"/>
      <c r="M81" s="1367"/>
      <c r="N81" s="1368"/>
      <c r="O81" s="905" t="s">
        <v>285</v>
      </c>
      <c r="P81" s="785"/>
      <c r="Q81" s="785"/>
      <c r="R81" s="904">
        <v>75</v>
      </c>
    </row>
    <row r="82" spans="1:18" ht="15" customHeight="1" x14ac:dyDescent="0.2">
      <c r="A82" s="1125"/>
      <c r="B82" s="1132"/>
      <c r="C82" s="1109"/>
      <c r="D82" s="3350" t="s">
        <v>313</v>
      </c>
      <c r="E82" s="466"/>
      <c r="F82" s="221"/>
      <c r="G82" s="169" t="s">
        <v>22</v>
      </c>
      <c r="H82" s="1356">
        <f>6/3.4528*1000</f>
        <v>1737.7201112140872</v>
      </c>
      <c r="I82" s="1345">
        <f>J82+L82</f>
        <v>6</v>
      </c>
      <c r="J82" s="1357"/>
      <c r="K82" s="1357"/>
      <c r="L82" s="1342">
        <v>6</v>
      </c>
      <c r="M82" s="1358">
        <f>145.9/3.4528*1000</f>
        <v>42255.560704355885</v>
      </c>
      <c r="N82" s="1359"/>
      <c r="O82" s="704" t="s">
        <v>281</v>
      </c>
      <c r="P82" s="1116">
        <v>1</v>
      </c>
      <c r="Q82" s="1116"/>
      <c r="R82" s="705"/>
    </row>
    <row r="83" spans="1:18" ht="15" customHeight="1" x14ac:dyDescent="0.2">
      <c r="A83" s="1125"/>
      <c r="B83" s="1132"/>
      <c r="C83" s="1109"/>
      <c r="D83" s="3232"/>
      <c r="E83" s="862"/>
      <c r="F83" s="222"/>
      <c r="G83" s="901" t="s">
        <v>6</v>
      </c>
      <c r="H83" s="1356"/>
      <c r="I83" s="1345"/>
      <c r="J83" s="1357"/>
      <c r="K83" s="1357"/>
      <c r="L83" s="1347"/>
      <c r="M83" s="1231"/>
      <c r="N83" s="1344">
        <f>2061.1/3.4528*1000</f>
        <v>596935.82020389254</v>
      </c>
      <c r="O83" s="860" t="s">
        <v>237</v>
      </c>
      <c r="P83" s="1117"/>
      <c r="Q83" s="1117">
        <v>1</v>
      </c>
      <c r="R83" s="706"/>
    </row>
    <row r="84" spans="1:18" ht="17.25" customHeight="1" x14ac:dyDescent="0.2">
      <c r="A84" s="1125"/>
      <c r="B84" s="1132"/>
      <c r="C84" s="1109"/>
      <c r="D84" s="3358"/>
      <c r="E84" s="902"/>
      <c r="F84" s="155"/>
      <c r="G84" s="703"/>
      <c r="H84" s="1363"/>
      <c r="I84" s="1364"/>
      <c r="J84" s="1365"/>
      <c r="K84" s="1365"/>
      <c r="L84" s="1366"/>
      <c r="M84" s="1367"/>
      <c r="N84" s="1368"/>
      <c r="O84" s="905" t="s">
        <v>285</v>
      </c>
      <c r="P84" s="785"/>
      <c r="Q84" s="785"/>
      <c r="R84" s="904">
        <v>75</v>
      </c>
    </row>
    <row r="85" spans="1:18" ht="15.75" customHeight="1" x14ac:dyDescent="0.2">
      <c r="A85" s="1125"/>
      <c r="B85" s="1132"/>
      <c r="C85" s="1109"/>
      <c r="D85" s="3232" t="s">
        <v>312</v>
      </c>
      <c r="E85" s="467"/>
      <c r="F85" s="222"/>
      <c r="G85" s="703" t="s">
        <v>22</v>
      </c>
      <c r="H85" s="1356">
        <f>6/3.4528*1000</f>
        <v>1737.7201112140872</v>
      </c>
      <c r="I85" s="1345">
        <f>J85+L85</f>
        <v>6</v>
      </c>
      <c r="J85" s="1357"/>
      <c r="K85" s="1357"/>
      <c r="L85" s="1342">
        <v>6</v>
      </c>
      <c r="M85" s="1358">
        <f>145.9/3.4528*1000</f>
        <v>42255.560704355885</v>
      </c>
      <c r="N85" s="1368"/>
      <c r="O85" s="704" t="s">
        <v>281</v>
      </c>
      <c r="P85" s="1116">
        <v>1</v>
      </c>
      <c r="Q85" s="1116"/>
      <c r="R85" s="705"/>
    </row>
    <row r="86" spans="1:18" ht="25.5" x14ac:dyDescent="0.2">
      <c r="A86" s="1125"/>
      <c r="B86" s="1132"/>
      <c r="C86" s="1109"/>
      <c r="D86" s="3232"/>
      <c r="E86" s="3354"/>
      <c r="F86" s="222"/>
      <c r="G86" s="901" t="s">
        <v>6</v>
      </c>
      <c r="H86" s="1356"/>
      <c r="I86" s="1345"/>
      <c r="J86" s="1357"/>
      <c r="K86" s="1357"/>
      <c r="L86" s="1347"/>
      <c r="M86" s="1231"/>
      <c r="N86" s="1344">
        <f>2061.1/3.4528*1000</f>
        <v>596935.82020389254</v>
      </c>
      <c r="O86" s="860" t="s">
        <v>237</v>
      </c>
      <c r="P86" s="1117"/>
      <c r="Q86" s="1117">
        <v>1</v>
      </c>
      <c r="R86" s="706"/>
    </row>
    <row r="87" spans="1:18" ht="12.75" customHeight="1" x14ac:dyDescent="0.2">
      <c r="A87" s="1125"/>
      <c r="B87" s="1132"/>
      <c r="C87" s="1109"/>
      <c r="D87" s="3232"/>
      <c r="E87" s="3354"/>
      <c r="F87" s="222"/>
      <c r="G87" s="903"/>
      <c r="H87" s="1360"/>
      <c r="I87" s="1235"/>
      <c r="J87" s="1361"/>
      <c r="K87" s="1361"/>
      <c r="L87" s="1369"/>
      <c r="M87" s="1330"/>
      <c r="N87" s="1331"/>
      <c r="O87" s="860" t="s">
        <v>285</v>
      </c>
      <c r="P87" s="1117"/>
      <c r="Q87" s="1117"/>
      <c r="R87" s="706">
        <v>75</v>
      </c>
    </row>
    <row r="88" spans="1:18" ht="15" customHeight="1" x14ac:dyDescent="0.2">
      <c r="A88" s="1125"/>
      <c r="B88" s="1132"/>
      <c r="C88" s="1109"/>
      <c r="D88" s="3350" t="s">
        <v>311</v>
      </c>
      <c r="E88" s="466"/>
      <c r="F88" s="221"/>
      <c r="G88" s="169" t="s">
        <v>22</v>
      </c>
      <c r="H88" s="1356">
        <f>6/3.4528*1000</f>
        <v>1737.7201112140872</v>
      </c>
      <c r="I88" s="1345">
        <f>J88+L88</f>
        <v>6</v>
      </c>
      <c r="J88" s="1357"/>
      <c r="K88" s="1357"/>
      <c r="L88" s="1342">
        <v>6</v>
      </c>
      <c r="M88" s="1358"/>
      <c r="N88" s="1359"/>
      <c r="O88" s="704" t="s">
        <v>281</v>
      </c>
      <c r="P88" s="1116">
        <v>1</v>
      </c>
      <c r="Q88" s="1116"/>
      <c r="R88" s="705"/>
    </row>
    <row r="89" spans="1:18" ht="25.5" x14ac:dyDescent="0.2">
      <c r="A89" s="1125"/>
      <c r="B89" s="1132"/>
      <c r="C89" s="1109"/>
      <c r="D89" s="3232"/>
      <c r="E89" s="3354"/>
      <c r="F89" s="222"/>
      <c r="G89" s="169" t="s">
        <v>53</v>
      </c>
      <c r="H89" s="1356"/>
      <c r="I89" s="1345"/>
      <c r="J89" s="1357"/>
      <c r="K89" s="1357"/>
      <c r="L89" s="1342"/>
      <c r="M89" s="1330">
        <f>150/3.4528*1000</f>
        <v>43443.002780352181</v>
      </c>
      <c r="N89" s="1331"/>
      <c r="O89" s="860" t="s">
        <v>237</v>
      </c>
      <c r="P89" s="1117"/>
      <c r="Q89" s="1117">
        <v>1</v>
      </c>
      <c r="R89" s="706"/>
    </row>
    <row r="90" spans="1:18" ht="12.75" customHeight="1" x14ac:dyDescent="0.2">
      <c r="A90" s="1125"/>
      <c r="B90" s="1132"/>
      <c r="C90" s="1109"/>
      <c r="D90" s="3232"/>
      <c r="E90" s="3354"/>
      <c r="F90" s="222"/>
      <c r="G90" s="901" t="s">
        <v>6</v>
      </c>
      <c r="H90" s="1356"/>
      <c r="I90" s="1345"/>
      <c r="J90" s="1357"/>
      <c r="K90" s="1357"/>
      <c r="L90" s="1347"/>
      <c r="M90" s="1231"/>
      <c r="N90" s="1344">
        <f>2133/3.4528*1000</f>
        <v>617759.499536608</v>
      </c>
      <c r="O90" s="860" t="s">
        <v>285</v>
      </c>
      <c r="P90" s="1117"/>
      <c r="Q90" s="1117"/>
      <c r="R90" s="706">
        <v>75</v>
      </c>
    </row>
    <row r="91" spans="1:18" ht="12.75" customHeight="1" x14ac:dyDescent="0.2">
      <c r="A91" s="1128"/>
      <c r="B91" s="1132"/>
      <c r="C91" s="3018"/>
      <c r="D91" s="3355" t="s">
        <v>162</v>
      </c>
      <c r="E91" s="702"/>
      <c r="F91" s="3357"/>
      <c r="G91" s="906" t="s">
        <v>22</v>
      </c>
      <c r="H91" s="1370"/>
      <c r="I91" s="1345"/>
      <c r="J91" s="1371"/>
      <c r="K91" s="1357"/>
      <c r="L91" s="1372"/>
      <c r="M91" s="1231">
        <f>62.3/3.4528*1000</f>
        <v>18043.327154772938</v>
      </c>
      <c r="N91" s="1344"/>
      <c r="O91" s="908" t="s">
        <v>165</v>
      </c>
      <c r="P91" s="1167"/>
      <c r="Q91" s="907">
        <v>1</v>
      </c>
      <c r="R91" s="98"/>
    </row>
    <row r="92" spans="1:18" x14ac:dyDescent="0.2">
      <c r="A92" s="1128"/>
      <c r="B92" s="1132"/>
      <c r="C92" s="3018"/>
      <c r="D92" s="3356"/>
      <c r="E92" s="863"/>
      <c r="F92" s="3098"/>
      <c r="G92" s="172" t="s">
        <v>6</v>
      </c>
      <c r="H92" s="1373"/>
      <c r="I92" s="1340"/>
      <c r="J92" s="1374"/>
      <c r="K92" s="1375"/>
      <c r="L92" s="1376"/>
      <c r="M92" s="1358">
        <f>388.9/3.4528*1000</f>
        <v>112633.2252085264</v>
      </c>
      <c r="N92" s="1359">
        <f>388.9/3.4528*1000</f>
        <v>112633.2252085264</v>
      </c>
      <c r="O92" s="910" t="s">
        <v>285</v>
      </c>
      <c r="P92" s="675"/>
      <c r="Q92" s="88">
        <v>50</v>
      </c>
      <c r="R92" s="621">
        <v>50</v>
      </c>
    </row>
    <row r="93" spans="1:18" ht="13.5" customHeight="1" thickBot="1" x14ac:dyDescent="0.25">
      <c r="A93" s="1128"/>
      <c r="B93" s="1132"/>
      <c r="C93" s="3018"/>
      <c r="D93" s="3356"/>
      <c r="E93" s="911"/>
      <c r="F93" s="3098"/>
      <c r="G93" s="685" t="s">
        <v>23</v>
      </c>
      <c r="H93" s="1377">
        <f>SUM(H76:H92)</f>
        <v>8688.6005560704361</v>
      </c>
      <c r="I93" s="1378">
        <f>SUM(I76:I92)</f>
        <v>30</v>
      </c>
      <c r="J93" s="1379"/>
      <c r="K93" s="1380"/>
      <c r="L93" s="1381">
        <f>SUM(L76:L92)</f>
        <v>30</v>
      </c>
      <c r="M93" s="1286">
        <f>SUM(M76:M92)</f>
        <v>343141.79796107509</v>
      </c>
      <c r="N93" s="1381">
        <f>SUM(N76:N92)</f>
        <v>3118136.0055607045</v>
      </c>
      <c r="O93" s="909"/>
      <c r="P93" s="675"/>
      <c r="Q93" s="88"/>
      <c r="R93" s="621"/>
    </row>
    <row r="94" spans="1:18" ht="25.5" x14ac:dyDescent="0.2">
      <c r="A94" s="1124" t="s">
        <v>24</v>
      </c>
      <c r="B94" s="1131" t="s">
        <v>20</v>
      </c>
      <c r="C94" s="1087" t="s">
        <v>26</v>
      </c>
      <c r="D94" s="126" t="s">
        <v>46</v>
      </c>
      <c r="E94" s="525"/>
      <c r="F94" s="1139"/>
      <c r="G94" s="1166"/>
      <c r="H94" s="1295"/>
      <c r="I94" s="1296"/>
      <c r="J94" s="1382"/>
      <c r="K94" s="1297"/>
      <c r="L94" s="1298"/>
      <c r="M94" s="1299"/>
      <c r="N94" s="1338"/>
      <c r="O94" s="772"/>
      <c r="P94" s="673"/>
      <c r="Q94" s="773"/>
      <c r="R94" s="674"/>
    </row>
    <row r="95" spans="1:18" ht="12.75" customHeight="1" x14ac:dyDescent="0.2">
      <c r="A95" s="1125"/>
      <c r="B95" s="1132"/>
      <c r="C95" s="1109"/>
      <c r="D95" s="3196" t="s">
        <v>70</v>
      </c>
      <c r="E95" s="250" t="s">
        <v>4</v>
      </c>
      <c r="F95" s="151">
        <v>5</v>
      </c>
      <c r="G95" s="12" t="s">
        <v>22</v>
      </c>
      <c r="H95" s="1373">
        <f>567.9/3.4528*1000</f>
        <v>164475.20852641336</v>
      </c>
      <c r="I95" s="1340">
        <f>J95+L95</f>
        <v>567.9</v>
      </c>
      <c r="J95" s="1383"/>
      <c r="K95" s="1384"/>
      <c r="L95" s="1385">
        <v>567.9</v>
      </c>
      <c r="M95" s="1358"/>
      <c r="N95" s="1359"/>
      <c r="O95" s="3343" t="s">
        <v>155</v>
      </c>
      <c r="P95" s="1098"/>
      <c r="Q95" s="114"/>
      <c r="R95" s="98"/>
    </row>
    <row r="96" spans="1:18" s="4" customFormat="1" x14ac:dyDescent="0.2">
      <c r="A96" s="1125"/>
      <c r="B96" s="1132"/>
      <c r="C96" s="1141"/>
      <c r="D96" s="3196"/>
      <c r="E96" s="1157"/>
      <c r="F96" s="222"/>
      <c r="G96" s="170" t="s">
        <v>53</v>
      </c>
      <c r="H96" s="1386"/>
      <c r="I96" s="1340"/>
      <c r="J96" s="1387"/>
      <c r="K96" s="1375"/>
      <c r="L96" s="1342"/>
      <c r="M96" s="1343"/>
      <c r="N96" s="1344"/>
      <c r="O96" s="3344"/>
      <c r="P96" s="1099"/>
      <c r="Q96" s="81"/>
      <c r="R96" s="621"/>
    </row>
    <row r="97" spans="1:18" s="4" customFormat="1" x14ac:dyDescent="0.2">
      <c r="A97" s="1125"/>
      <c r="B97" s="1132"/>
      <c r="C97" s="1141"/>
      <c r="D97" s="3196"/>
      <c r="E97" s="1157"/>
      <c r="F97" s="222"/>
      <c r="G97" s="1148" t="s">
        <v>5</v>
      </c>
      <c r="H97" s="1388"/>
      <c r="I97" s="1345"/>
      <c r="J97" s="1389"/>
      <c r="K97" s="1357"/>
      <c r="L97" s="1347"/>
      <c r="M97" s="1231"/>
      <c r="N97" s="1344"/>
      <c r="O97" s="3344"/>
      <c r="P97" s="1099"/>
      <c r="Q97" s="81"/>
      <c r="R97" s="621"/>
    </row>
    <row r="98" spans="1:18" s="4" customFormat="1" x14ac:dyDescent="0.2">
      <c r="A98" s="1125"/>
      <c r="B98" s="1132"/>
      <c r="C98" s="1141"/>
      <c r="D98" s="3196"/>
      <c r="E98" s="1157"/>
      <c r="F98" s="222"/>
      <c r="G98" s="1148" t="s">
        <v>6</v>
      </c>
      <c r="H98" s="1388"/>
      <c r="I98" s="1345"/>
      <c r="J98" s="1389"/>
      <c r="K98" s="1357"/>
      <c r="L98" s="1347"/>
      <c r="M98" s="1358"/>
      <c r="N98" s="1359"/>
      <c r="O98" s="3344"/>
      <c r="P98" s="1099"/>
      <c r="Q98" s="81"/>
      <c r="R98" s="621"/>
    </row>
    <row r="99" spans="1:18" s="4" customFormat="1" x14ac:dyDescent="0.2">
      <c r="A99" s="1125"/>
      <c r="B99" s="1132"/>
      <c r="C99" s="1141"/>
      <c r="D99" s="129"/>
      <c r="E99" s="1102"/>
      <c r="F99" s="155"/>
      <c r="G99" s="342" t="s">
        <v>23</v>
      </c>
      <c r="H99" s="1377">
        <f>SUM(H95:H98)</f>
        <v>164475.20852641336</v>
      </c>
      <c r="I99" s="1378">
        <f>SUM(I95:I98)</f>
        <v>567.9</v>
      </c>
      <c r="J99" s="1390"/>
      <c r="K99" s="1380"/>
      <c r="L99" s="1391">
        <f>SUM(L94:L98)</f>
        <v>567.9</v>
      </c>
      <c r="M99" s="1392"/>
      <c r="N99" s="1381"/>
      <c r="O99" s="3344"/>
      <c r="P99" s="1099">
        <v>100</v>
      </c>
      <c r="Q99" s="81"/>
      <c r="R99" s="621"/>
    </row>
    <row r="100" spans="1:18" ht="17.25" customHeight="1" x14ac:dyDescent="0.2">
      <c r="A100" s="1125"/>
      <c r="B100" s="1132"/>
      <c r="C100" s="1109"/>
      <c r="D100" s="3195" t="s">
        <v>316</v>
      </c>
      <c r="E100" s="466" t="s">
        <v>4</v>
      </c>
      <c r="F100" s="222">
        <v>5</v>
      </c>
      <c r="G100" s="1149" t="s">
        <v>22</v>
      </c>
      <c r="H100" s="1370">
        <f>861.9/3.4528*1000</f>
        <v>249623.49397590361</v>
      </c>
      <c r="I100" s="1345">
        <f>J100+L100</f>
        <v>861.9</v>
      </c>
      <c r="J100" s="1389"/>
      <c r="K100" s="1357"/>
      <c r="L100" s="1347">
        <v>861.9</v>
      </c>
      <c r="M100" s="1343"/>
      <c r="N100" s="1393"/>
      <c r="O100" s="912" t="s">
        <v>165</v>
      </c>
      <c r="P100" s="1167" t="s">
        <v>287</v>
      </c>
      <c r="Q100" s="913"/>
      <c r="R100" s="914"/>
    </row>
    <row r="101" spans="1:18" ht="25.5" x14ac:dyDescent="0.2">
      <c r="A101" s="1125"/>
      <c r="B101" s="1132"/>
      <c r="C101" s="1109"/>
      <c r="D101" s="3196"/>
      <c r="E101" s="467"/>
      <c r="F101" s="222"/>
      <c r="G101" s="381" t="s">
        <v>23</v>
      </c>
      <c r="H101" s="1394">
        <f>H100</f>
        <v>249623.49397590361</v>
      </c>
      <c r="I101" s="1352">
        <f>SUM(I100:I100)</f>
        <v>861.9</v>
      </c>
      <c r="J101" s="1353"/>
      <c r="K101" s="1395"/>
      <c r="L101" s="1353">
        <f>SUM(L100:L100)</f>
        <v>861.9</v>
      </c>
      <c r="M101" s="1355"/>
      <c r="N101" s="1396"/>
      <c r="O101" s="915" t="s">
        <v>236</v>
      </c>
      <c r="P101" s="916">
        <v>100</v>
      </c>
      <c r="Q101" s="917"/>
      <c r="R101" s="918"/>
    </row>
    <row r="102" spans="1:18" ht="12.75" customHeight="1" x14ac:dyDescent="0.2">
      <c r="A102" s="1125"/>
      <c r="B102" s="1132"/>
      <c r="C102" s="1109"/>
      <c r="D102" s="3270" t="s">
        <v>317</v>
      </c>
      <c r="E102" s="466" t="s">
        <v>4</v>
      </c>
      <c r="F102" s="221">
        <v>5</v>
      </c>
      <c r="G102" s="1149" t="s">
        <v>22</v>
      </c>
      <c r="H102" s="1370"/>
      <c r="I102" s="1345"/>
      <c r="J102" s="1389"/>
      <c r="K102" s="1357"/>
      <c r="L102" s="1347"/>
      <c r="M102" s="1343">
        <f>60/3.4528*1000</f>
        <v>17377.201112140869</v>
      </c>
      <c r="N102" s="1393">
        <f>150/3.4528*1000</f>
        <v>43443.002780352181</v>
      </c>
      <c r="O102" s="3272" t="s">
        <v>165</v>
      </c>
      <c r="P102" s="3275"/>
      <c r="Q102" s="3275"/>
      <c r="R102" s="3340">
        <v>1</v>
      </c>
    </row>
    <row r="103" spans="1:18" x14ac:dyDescent="0.2">
      <c r="A103" s="1128"/>
      <c r="B103" s="1132"/>
      <c r="C103" s="462"/>
      <c r="D103" s="3243"/>
      <c r="E103" s="467"/>
      <c r="F103" s="222"/>
      <c r="G103" s="342" t="s">
        <v>23</v>
      </c>
      <c r="H103" s="1377"/>
      <c r="I103" s="1378"/>
      <c r="J103" s="1390"/>
      <c r="K103" s="1380"/>
      <c r="L103" s="1391"/>
      <c r="M103" s="1397">
        <f>SUM(M102)</f>
        <v>17377.201112140869</v>
      </c>
      <c r="N103" s="1398">
        <f>SUM(N102)</f>
        <v>43443.002780352181</v>
      </c>
      <c r="O103" s="3273"/>
      <c r="P103" s="3276"/>
      <c r="Q103" s="3276"/>
      <c r="R103" s="3341"/>
    </row>
    <row r="104" spans="1:18" ht="13.5" thickBot="1" x14ac:dyDescent="0.25">
      <c r="A104" s="1129"/>
      <c r="B104" s="1133"/>
      <c r="C104" s="1088"/>
      <c r="D104" s="3271"/>
      <c r="E104" s="3277" t="s">
        <v>218</v>
      </c>
      <c r="F104" s="3278"/>
      <c r="G104" s="3279"/>
      <c r="H104" s="1309">
        <f>H103+H101+H99</f>
        <v>414098.70250231697</v>
      </c>
      <c r="I104" s="1399">
        <f>J104+L104</f>
        <v>1429.8</v>
      </c>
      <c r="J104" s="1400"/>
      <c r="K104" s="1318"/>
      <c r="L104" s="1320">
        <f>L103+L101+L99</f>
        <v>1429.8</v>
      </c>
      <c r="M104" s="1286">
        <f>M103+M101+M99</f>
        <v>17377.201112140869</v>
      </c>
      <c r="N104" s="1320">
        <f>N103+N101+N99</f>
        <v>43443.002780352181</v>
      </c>
      <c r="O104" s="3274"/>
      <c r="P104" s="2962"/>
      <c r="Q104" s="2962"/>
      <c r="R104" s="3342"/>
    </row>
    <row r="105" spans="1:18" ht="12.75" customHeight="1" x14ac:dyDescent="0.2">
      <c r="A105" s="1124" t="s">
        <v>24</v>
      </c>
      <c r="B105" s="1131" t="s">
        <v>20</v>
      </c>
      <c r="C105" s="886" t="s">
        <v>28</v>
      </c>
      <c r="D105" s="2914" t="s">
        <v>271</v>
      </c>
      <c r="E105" s="3332" t="s">
        <v>127</v>
      </c>
      <c r="F105" s="3334">
        <v>2</v>
      </c>
      <c r="G105" s="1166" t="s">
        <v>22</v>
      </c>
      <c r="H105" s="1295">
        <f>50/3.4528*1000</f>
        <v>14481.00092678406</v>
      </c>
      <c r="I105" s="1401">
        <f>J105+L105</f>
        <v>50</v>
      </c>
      <c r="J105" s="1402">
        <v>50</v>
      </c>
      <c r="K105" s="1403"/>
      <c r="L105" s="1404"/>
      <c r="M105" s="1405"/>
      <c r="N105" s="1405"/>
      <c r="O105" s="3337" t="s">
        <v>66</v>
      </c>
      <c r="P105" s="774">
        <v>3</v>
      </c>
      <c r="Q105" s="775"/>
      <c r="R105" s="674"/>
    </row>
    <row r="106" spans="1:18" ht="25.5" customHeight="1" x14ac:dyDescent="0.2">
      <c r="A106" s="1125"/>
      <c r="B106" s="1132"/>
      <c r="C106" s="185"/>
      <c r="D106" s="3232"/>
      <c r="E106" s="3333"/>
      <c r="F106" s="3335"/>
      <c r="G106" s="1150"/>
      <c r="H106" s="1406"/>
      <c r="I106" s="1251"/>
      <c r="J106" s="1407"/>
      <c r="K106" s="1408"/>
      <c r="L106" s="1409"/>
      <c r="M106" s="1239"/>
      <c r="N106" s="1239"/>
      <c r="O106" s="3338"/>
      <c r="P106" s="1099"/>
      <c r="Q106" s="81"/>
      <c r="R106" s="621"/>
    </row>
    <row r="107" spans="1:18" ht="13.5" thickBot="1" x14ac:dyDescent="0.25">
      <c r="A107" s="1125"/>
      <c r="B107" s="1132"/>
      <c r="C107" s="185"/>
      <c r="D107" s="2915"/>
      <c r="E107" s="779" t="s">
        <v>327</v>
      </c>
      <c r="F107" s="3336"/>
      <c r="G107" s="298" t="s">
        <v>23</v>
      </c>
      <c r="H107" s="1272">
        <f>H105</f>
        <v>14481.00092678406</v>
      </c>
      <c r="I107" s="1399">
        <f>I105</f>
        <v>50</v>
      </c>
      <c r="J107" s="1400">
        <f>J105</f>
        <v>50</v>
      </c>
      <c r="K107" s="1318"/>
      <c r="L107" s="1320"/>
      <c r="M107" s="1286"/>
      <c r="N107" s="1286"/>
      <c r="O107" s="3339"/>
      <c r="P107" s="78"/>
      <c r="Q107" s="1165"/>
      <c r="R107" s="645"/>
    </row>
    <row r="108" spans="1:18" ht="27" customHeight="1" x14ac:dyDescent="0.2">
      <c r="A108" s="1124" t="s">
        <v>24</v>
      </c>
      <c r="B108" s="1131" t="s">
        <v>20</v>
      </c>
      <c r="C108" s="886" t="s">
        <v>29</v>
      </c>
      <c r="D108" s="2914" t="s">
        <v>318</v>
      </c>
      <c r="E108" s="3078"/>
      <c r="F108" s="3334">
        <v>2</v>
      </c>
      <c r="G108" s="1166" t="s">
        <v>22</v>
      </c>
      <c r="H108" s="1295">
        <f>100/3.4528*1000</f>
        <v>28962.001853568119</v>
      </c>
      <c r="I108" s="1401">
        <f>J108+L108</f>
        <v>100</v>
      </c>
      <c r="J108" s="1402"/>
      <c r="K108" s="1403"/>
      <c r="L108" s="1404">
        <v>100</v>
      </c>
      <c r="M108" s="1410">
        <f>100/3.4528*1000</f>
        <v>28962.001853568119</v>
      </c>
      <c r="N108" s="1405"/>
      <c r="O108" s="3337" t="s">
        <v>270</v>
      </c>
      <c r="P108" s="774"/>
      <c r="Q108" s="775">
        <v>152</v>
      </c>
      <c r="R108" s="674"/>
    </row>
    <row r="109" spans="1:18" ht="27" customHeight="1" x14ac:dyDescent="0.2">
      <c r="A109" s="1125"/>
      <c r="B109" s="1132"/>
      <c r="C109" s="185"/>
      <c r="D109" s="3232"/>
      <c r="E109" s="3157"/>
      <c r="F109" s="3335"/>
      <c r="G109" s="1150"/>
      <c r="H109" s="1406"/>
      <c r="I109" s="1251"/>
      <c r="J109" s="1407"/>
      <c r="K109" s="1408"/>
      <c r="L109" s="1409"/>
      <c r="M109" s="1239"/>
      <c r="N109" s="1239"/>
      <c r="O109" s="3338"/>
      <c r="P109" s="1099"/>
      <c r="Q109" s="81"/>
      <c r="R109" s="621"/>
    </row>
    <row r="110" spans="1:18" ht="13.5" thickBot="1" x14ac:dyDescent="0.25">
      <c r="A110" s="1125"/>
      <c r="B110" s="1132"/>
      <c r="C110" s="185"/>
      <c r="D110" s="3232"/>
      <c r="E110" s="3157"/>
      <c r="F110" s="3335"/>
      <c r="G110" s="342" t="s">
        <v>23</v>
      </c>
      <c r="H110" s="1377">
        <f>SUM(H108:H109)</f>
        <v>28962.001853568119</v>
      </c>
      <c r="I110" s="1378">
        <f>I108</f>
        <v>100</v>
      </c>
      <c r="J110" s="1390"/>
      <c r="K110" s="1380"/>
      <c r="L110" s="1391">
        <f>SUM(L108:L109)</f>
        <v>100</v>
      </c>
      <c r="M110" s="1392">
        <f>SUM(M108:M109)</f>
        <v>28962.001853568119</v>
      </c>
      <c r="N110" s="1392"/>
      <c r="O110" s="3338"/>
      <c r="P110" s="777"/>
      <c r="Q110" s="778"/>
      <c r="R110" s="621"/>
    </row>
    <row r="111" spans="1:18" ht="29.25" customHeight="1" x14ac:dyDescent="0.2">
      <c r="A111" s="1124" t="s">
        <v>24</v>
      </c>
      <c r="B111" s="1131" t="s">
        <v>20</v>
      </c>
      <c r="C111" s="1087" t="s">
        <v>30</v>
      </c>
      <c r="D111" s="919" t="s">
        <v>195</v>
      </c>
      <c r="E111" s="920" t="s">
        <v>4</v>
      </c>
      <c r="F111" s="921"/>
      <c r="G111" s="13"/>
      <c r="H111" s="1411"/>
      <c r="I111" s="1314"/>
      <c r="J111" s="1412"/>
      <c r="K111" s="1315"/>
      <c r="L111" s="1413"/>
      <c r="M111" s="1277"/>
      <c r="N111" s="1277"/>
      <c r="O111" s="922"/>
      <c r="P111" s="923"/>
      <c r="Q111" s="924"/>
      <c r="R111" s="925"/>
    </row>
    <row r="112" spans="1:18" ht="18" customHeight="1" x14ac:dyDescent="0.2">
      <c r="A112" s="1125"/>
      <c r="B112" s="1132"/>
      <c r="C112" s="1109"/>
      <c r="D112" s="3350" t="s">
        <v>268</v>
      </c>
      <c r="E112" s="3351" t="s">
        <v>128</v>
      </c>
      <c r="F112" s="3349">
        <v>6</v>
      </c>
      <c r="G112" s="1149" t="s">
        <v>282</v>
      </c>
      <c r="H112" s="1370">
        <f>3515/3.4528*1000</f>
        <v>1018014.3651529193</v>
      </c>
      <c r="I112" s="1345">
        <f>+J112+L112</f>
        <v>3515</v>
      </c>
      <c r="J112" s="1414">
        <v>15</v>
      </c>
      <c r="K112" s="1414"/>
      <c r="L112" s="1415">
        <v>3500</v>
      </c>
      <c r="M112" s="1416">
        <f>3000/3.4528*1000</f>
        <v>868860.05560704356</v>
      </c>
      <c r="N112" s="1416"/>
      <c r="O112" s="519" t="s">
        <v>165</v>
      </c>
      <c r="P112" s="785">
        <v>100</v>
      </c>
      <c r="Q112" s="785"/>
      <c r="R112" s="520"/>
    </row>
    <row r="113" spans="1:18" ht="16.5" customHeight="1" x14ac:dyDescent="0.2">
      <c r="A113" s="1125"/>
      <c r="B113" s="1132"/>
      <c r="C113" s="1109"/>
      <c r="D113" s="3232"/>
      <c r="E113" s="3308"/>
      <c r="F113" s="3349"/>
      <c r="G113" s="1153"/>
      <c r="H113" s="1406"/>
      <c r="I113" s="1235"/>
      <c r="J113" s="1236"/>
      <c r="K113" s="1236"/>
      <c r="L113" s="1266"/>
      <c r="M113" s="1417"/>
      <c r="N113" s="1367"/>
      <c r="O113" s="3206" t="s">
        <v>173</v>
      </c>
      <c r="P113" s="1116">
        <v>50</v>
      </c>
      <c r="Q113" s="1116">
        <v>50</v>
      </c>
      <c r="R113" s="1104"/>
    </row>
    <row r="114" spans="1:18" ht="13.5" thickBot="1" x14ac:dyDescent="0.25">
      <c r="A114" s="1129"/>
      <c r="B114" s="1133"/>
      <c r="C114" s="1088"/>
      <c r="D114" s="2915"/>
      <c r="E114" s="3309"/>
      <c r="F114" s="926"/>
      <c r="G114" s="312" t="s">
        <v>23</v>
      </c>
      <c r="H114" s="1272">
        <f>SUM(H112:H113)</f>
        <v>1018014.3651529193</v>
      </c>
      <c r="I114" s="1418">
        <f t="shared" ref="I114:L114" si="10">SUM(I112:I113)</f>
        <v>3515</v>
      </c>
      <c r="J114" s="1311">
        <f t="shared" si="10"/>
        <v>15</v>
      </c>
      <c r="K114" s="1279">
        <f t="shared" si="10"/>
        <v>0</v>
      </c>
      <c r="L114" s="1281">
        <f t="shared" si="10"/>
        <v>3500</v>
      </c>
      <c r="M114" s="1282">
        <f>SUM(M112:M113)</f>
        <v>868860.05560704356</v>
      </c>
      <c r="N114" s="1282"/>
      <c r="O114" s="2923"/>
      <c r="P114" s="618"/>
      <c r="Q114" s="80"/>
      <c r="R114" s="1105"/>
    </row>
    <row r="115" spans="1:18" ht="16.5" customHeight="1" x14ac:dyDescent="0.2">
      <c r="A115" s="1125" t="s">
        <v>24</v>
      </c>
      <c r="B115" s="1132" t="s">
        <v>20</v>
      </c>
      <c r="C115" s="1109" t="s">
        <v>55</v>
      </c>
      <c r="D115" s="3232" t="s">
        <v>274</v>
      </c>
      <c r="E115" s="3157"/>
      <c r="F115" s="1118">
        <v>6</v>
      </c>
      <c r="G115" s="1153" t="s">
        <v>22</v>
      </c>
      <c r="H115" s="1419">
        <f>350/3.4528*1000</f>
        <v>101367.00648748843</v>
      </c>
      <c r="I115" s="1324">
        <f>J115+L115</f>
        <v>350</v>
      </c>
      <c r="J115" s="1420"/>
      <c r="K115" s="1365"/>
      <c r="L115" s="1421">
        <v>350</v>
      </c>
      <c r="M115" s="1284"/>
      <c r="N115" s="1284"/>
      <c r="O115" s="776" t="s">
        <v>273</v>
      </c>
      <c r="P115" s="675">
        <v>100</v>
      </c>
      <c r="Q115" s="88"/>
      <c r="R115" s="621"/>
    </row>
    <row r="116" spans="1:18" ht="13.5" thickBot="1" x14ac:dyDescent="0.25">
      <c r="A116" s="1126"/>
      <c r="B116" s="1133"/>
      <c r="C116" s="1143"/>
      <c r="D116" s="2915"/>
      <c r="E116" s="3079"/>
      <c r="F116" s="786"/>
      <c r="G116" s="631" t="s">
        <v>23</v>
      </c>
      <c r="H116" s="1422">
        <f>H115</f>
        <v>101367.00648748843</v>
      </c>
      <c r="I116" s="1423">
        <f>J116+L116</f>
        <v>350</v>
      </c>
      <c r="J116" s="1424"/>
      <c r="K116" s="1425"/>
      <c r="L116" s="1426">
        <f>L115</f>
        <v>350</v>
      </c>
      <c r="M116" s="1427"/>
      <c r="N116" s="1427"/>
      <c r="O116" s="69"/>
      <c r="P116" s="78"/>
      <c r="Q116" s="1165"/>
      <c r="R116" s="645"/>
    </row>
    <row r="117" spans="1:18" ht="13.5" thickBot="1" x14ac:dyDescent="0.25">
      <c r="A117" s="1129" t="s">
        <v>24</v>
      </c>
      <c r="B117" s="14" t="s">
        <v>20</v>
      </c>
      <c r="C117" s="3089" t="s">
        <v>27</v>
      </c>
      <c r="D117" s="3104"/>
      <c r="E117" s="3104"/>
      <c r="F117" s="3104"/>
      <c r="G117" s="3104"/>
      <c r="H117" s="1428">
        <f>H116+H114+H110+H107+H104+H93+H74</f>
        <v>2171889.4810009263</v>
      </c>
      <c r="I117" s="1429">
        <f>I116+I110+I104+I107+I114+I93+I74</f>
        <v>7499.1</v>
      </c>
      <c r="J117" s="1430">
        <f t="shared" ref="J117:N117" si="11">J116+J110+J104+J107+J114+J93+J74</f>
        <v>82.4</v>
      </c>
      <c r="K117" s="1431">
        <f t="shared" si="11"/>
        <v>13.3</v>
      </c>
      <c r="L117" s="1432">
        <f t="shared" si="11"/>
        <v>7416.7000000000007</v>
      </c>
      <c r="M117" s="1332">
        <f t="shared" si="11"/>
        <v>1258341.0565338277</v>
      </c>
      <c r="N117" s="1333">
        <f t="shared" si="11"/>
        <v>3161579.0083410568</v>
      </c>
      <c r="O117" s="3189"/>
      <c r="P117" s="3190"/>
      <c r="Q117" s="3190"/>
      <c r="R117" s="3191"/>
    </row>
    <row r="118" spans="1:18" ht="12.75" customHeight="1" thickBot="1" x14ac:dyDescent="0.25">
      <c r="A118" s="1128" t="s">
        <v>24</v>
      </c>
      <c r="B118" s="14" t="s">
        <v>24</v>
      </c>
      <c r="C118" s="1505" t="s">
        <v>49</v>
      </c>
      <c r="D118" s="61"/>
      <c r="E118" s="61"/>
      <c r="F118" s="1501"/>
      <c r="G118" s="112"/>
      <c r="H118" s="1431"/>
      <c r="I118" s="1433"/>
      <c r="J118" s="1433"/>
      <c r="K118" s="1433"/>
      <c r="L118" s="1433"/>
      <c r="M118" s="1433"/>
      <c r="N118" s="1433"/>
      <c r="O118" s="61"/>
      <c r="P118" s="61"/>
      <c r="Q118" s="61"/>
      <c r="R118" s="1506"/>
    </row>
    <row r="119" spans="1:18" ht="27" customHeight="1" x14ac:dyDescent="0.2">
      <c r="A119" s="3151" t="s">
        <v>24</v>
      </c>
      <c r="B119" s="3158" t="s">
        <v>24</v>
      </c>
      <c r="C119" s="1142" t="s">
        <v>20</v>
      </c>
      <c r="D119" s="3082" t="s">
        <v>284</v>
      </c>
      <c r="E119" s="3307" t="s">
        <v>132</v>
      </c>
      <c r="F119" s="3223">
        <v>2</v>
      </c>
      <c r="G119" s="111" t="s">
        <v>22</v>
      </c>
      <c r="H119" s="1323">
        <v>0</v>
      </c>
      <c r="I119" s="1296">
        <f>J119+L119</f>
        <v>0</v>
      </c>
      <c r="J119" s="1297">
        <f>100-100</f>
        <v>0</v>
      </c>
      <c r="K119" s="1297"/>
      <c r="L119" s="1298"/>
      <c r="M119" s="1338">
        <f>100/3.4528*1000</f>
        <v>28962.001853568119</v>
      </c>
      <c r="N119" s="1338">
        <f>100/3.4528*1000</f>
        <v>28962.001853568119</v>
      </c>
      <c r="O119" s="3076" t="s">
        <v>88</v>
      </c>
      <c r="P119" s="725"/>
      <c r="Q119" s="725">
        <v>320</v>
      </c>
      <c r="R119" s="732">
        <v>320</v>
      </c>
    </row>
    <row r="120" spans="1:18" ht="13.5" thickBot="1" x14ac:dyDescent="0.25">
      <c r="A120" s="3153"/>
      <c r="B120" s="3160"/>
      <c r="C120" s="1143"/>
      <c r="D120" s="3083"/>
      <c r="E120" s="3309"/>
      <c r="F120" s="3224"/>
      <c r="G120" s="312" t="s">
        <v>23</v>
      </c>
      <c r="H120" s="1434">
        <f>H119</f>
        <v>0</v>
      </c>
      <c r="I120" s="1273">
        <f>J120+L120</f>
        <v>0</v>
      </c>
      <c r="J120" s="1279">
        <f>SUM(J119)</f>
        <v>0</v>
      </c>
      <c r="K120" s="1279"/>
      <c r="L120" s="1312"/>
      <c r="M120" s="1282">
        <f>SUM(M119)</f>
        <v>28962.001853568119</v>
      </c>
      <c r="N120" s="1281">
        <f>SUM(N119)</f>
        <v>28962.001853568119</v>
      </c>
      <c r="O120" s="3077"/>
      <c r="P120" s="128"/>
      <c r="Q120" s="128"/>
      <c r="R120" s="202"/>
    </row>
    <row r="121" spans="1:18" ht="12.75" customHeight="1" x14ac:dyDescent="0.2">
      <c r="A121" s="1127" t="s">
        <v>24</v>
      </c>
      <c r="B121" s="1131" t="s">
        <v>24</v>
      </c>
      <c r="C121" s="1142" t="s">
        <v>24</v>
      </c>
      <c r="D121" s="3323" t="s">
        <v>276</v>
      </c>
      <c r="E121" s="3326"/>
      <c r="F121" s="3329">
        <v>2</v>
      </c>
      <c r="G121" s="927" t="s">
        <v>22</v>
      </c>
      <c r="H121" s="1435">
        <f>1060/3.4528*1000</f>
        <v>306997.21964782209</v>
      </c>
      <c r="I121" s="1289">
        <f>J121+L121</f>
        <v>1060</v>
      </c>
      <c r="J121" s="1436">
        <v>1060</v>
      </c>
      <c r="K121" s="1290"/>
      <c r="L121" s="1437"/>
      <c r="M121" s="1410">
        <f>900/3.4528*1000</f>
        <v>260658.01668211311</v>
      </c>
      <c r="N121" s="1438">
        <f>900/3.4528*1000</f>
        <v>260658.01668211311</v>
      </c>
      <c r="O121" s="812" t="s">
        <v>277</v>
      </c>
      <c r="P121" s="813">
        <v>315</v>
      </c>
      <c r="Q121" s="813">
        <v>250</v>
      </c>
      <c r="R121" s="814">
        <v>250</v>
      </c>
    </row>
    <row r="122" spans="1:18" ht="29.25" customHeight="1" x14ac:dyDescent="0.2">
      <c r="A122" s="1128"/>
      <c r="B122" s="1132"/>
      <c r="C122" s="1141"/>
      <c r="D122" s="3324"/>
      <c r="E122" s="3327"/>
      <c r="F122" s="3330"/>
      <c r="G122" s="986"/>
      <c r="H122" s="1234"/>
      <c r="I122" s="1262"/>
      <c r="J122" s="1439"/>
      <c r="K122" s="1285"/>
      <c r="L122" s="1259"/>
      <c r="M122" s="1241"/>
      <c r="N122" s="1259"/>
      <c r="O122" s="1152" t="s">
        <v>278</v>
      </c>
      <c r="P122" s="815">
        <v>15</v>
      </c>
      <c r="Q122" s="815">
        <v>3</v>
      </c>
      <c r="R122" s="816">
        <v>3</v>
      </c>
    </row>
    <row r="123" spans="1:18" ht="13.5" thickBot="1" x14ac:dyDescent="0.25">
      <c r="A123" s="1129"/>
      <c r="B123" s="817"/>
      <c r="C123" s="1143"/>
      <c r="D123" s="3325"/>
      <c r="E123" s="3328"/>
      <c r="F123" s="3331"/>
      <c r="G123" s="928" t="s">
        <v>23</v>
      </c>
      <c r="H123" s="1440">
        <f>SUM(H121:H122)</f>
        <v>306997.21964782209</v>
      </c>
      <c r="I123" s="1317">
        <f>SUM(I121:I121)</f>
        <v>1060</v>
      </c>
      <c r="J123" s="1318">
        <f>SUM(J121:J121)</f>
        <v>1060</v>
      </c>
      <c r="K123" s="1400"/>
      <c r="L123" s="1287"/>
      <c r="M123" s="1286">
        <f>SUM(M121:M121)</f>
        <v>260658.01668211311</v>
      </c>
      <c r="N123" s="1287">
        <f>SUM(N121:N121)</f>
        <v>260658.01668211311</v>
      </c>
      <c r="O123" s="818" t="s">
        <v>130</v>
      </c>
      <c r="P123" s="819">
        <v>285</v>
      </c>
      <c r="Q123" s="819">
        <v>60</v>
      </c>
      <c r="R123" s="820">
        <v>60</v>
      </c>
    </row>
    <row r="124" spans="1:18" ht="13.5" thickBot="1" x14ac:dyDescent="0.25">
      <c r="A124" s="15" t="s">
        <v>24</v>
      </c>
      <c r="B124" s="14" t="s">
        <v>24</v>
      </c>
      <c r="C124" s="3089" t="s">
        <v>27</v>
      </c>
      <c r="D124" s="3104"/>
      <c r="E124" s="3104"/>
      <c r="F124" s="3104"/>
      <c r="G124" s="3104"/>
      <c r="H124" s="1293">
        <f>H123+H120</f>
        <v>306997.21964782209</v>
      </c>
      <c r="I124" s="1294">
        <f t="shared" ref="I124:N124" si="12">I123+I120</f>
        <v>1060</v>
      </c>
      <c r="J124" s="1428">
        <f>J123+J120</f>
        <v>1060</v>
      </c>
      <c r="K124" s="1441">
        <f t="shared" si="12"/>
        <v>0</v>
      </c>
      <c r="L124" s="1442">
        <f t="shared" si="12"/>
        <v>0</v>
      </c>
      <c r="M124" s="1294">
        <f t="shared" si="12"/>
        <v>289620.01853568124</v>
      </c>
      <c r="N124" s="1294">
        <f t="shared" si="12"/>
        <v>289620.01853568124</v>
      </c>
      <c r="O124" s="2935"/>
      <c r="P124" s="2936"/>
      <c r="Q124" s="2936"/>
      <c r="R124" s="2937"/>
    </row>
    <row r="125" spans="1:18" ht="13.5" thickBot="1" x14ac:dyDescent="0.25">
      <c r="A125" s="1127" t="s">
        <v>24</v>
      </c>
      <c r="B125" s="133" t="s">
        <v>26</v>
      </c>
      <c r="C125" s="3322" t="s">
        <v>48</v>
      </c>
      <c r="D125" s="3187"/>
      <c r="E125" s="3187"/>
      <c r="F125" s="3187"/>
      <c r="G125" s="3187"/>
      <c r="H125" s="3187"/>
      <c r="I125" s="3187"/>
      <c r="J125" s="3187"/>
      <c r="K125" s="3187"/>
      <c r="L125" s="3187"/>
      <c r="M125" s="3187"/>
      <c r="N125" s="3187"/>
      <c r="O125" s="3187"/>
      <c r="P125" s="3187"/>
      <c r="Q125" s="3187"/>
      <c r="R125" s="3188"/>
    </row>
    <row r="126" spans="1:18" ht="25.5" customHeight="1" x14ac:dyDescent="0.2">
      <c r="A126" s="1124" t="s">
        <v>24</v>
      </c>
      <c r="B126" s="1131" t="s">
        <v>26</v>
      </c>
      <c r="C126" s="1142" t="s">
        <v>20</v>
      </c>
      <c r="D126" s="821" t="s">
        <v>50</v>
      </c>
      <c r="E126" s="1154"/>
      <c r="F126" s="822">
        <v>6</v>
      </c>
      <c r="G126" s="1502" t="s">
        <v>22</v>
      </c>
      <c r="H126" s="1443">
        <f>4348.2/3.4528*1000</f>
        <v>1259325.764596849</v>
      </c>
      <c r="I126" s="1289">
        <f>J126+L126</f>
        <v>4348</v>
      </c>
      <c r="J126" s="1444">
        <v>4268</v>
      </c>
      <c r="K126" s="1445"/>
      <c r="L126" s="1404">
        <v>80</v>
      </c>
      <c r="M126" s="1405">
        <f>4896/3.4528*1000</f>
        <v>1417979.6107506952</v>
      </c>
      <c r="N126" s="1446">
        <f>4863/3.4528*1000</f>
        <v>1408422.1501390177</v>
      </c>
      <c r="O126" s="825"/>
      <c r="P126" s="826"/>
      <c r="Q126" s="827"/>
      <c r="R126" s="674"/>
    </row>
    <row r="127" spans="1:18" ht="30" customHeight="1" x14ac:dyDescent="0.2">
      <c r="A127" s="1125"/>
      <c r="B127" s="1132"/>
      <c r="C127" s="1141"/>
      <c r="D127" s="828" t="s">
        <v>90</v>
      </c>
      <c r="E127" s="1500"/>
      <c r="F127" s="1156"/>
      <c r="G127" s="1503"/>
      <c r="H127" s="1447"/>
      <c r="I127" s="1251"/>
      <c r="J127" s="1253"/>
      <c r="K127" s="1407"/>
      <c r="L127" s="1449"/>
      <c r="M127" s="1241"/>
      <c r="N127" s="1241"/>
      <c r="O127" s="1135" t="s">
        <v>301</v>
      </c>
      <c r="P127" s="831">
        <v>13</v>
      </c>
      <c r="Q127" s="831">
        <v>14</v>
      </c>
      <c r="R127" s="832">
        <v>14</v>
      </c>
    </row>
    <row r="128" spans="1:18" ht="25.5" x14ac:dyDescent="0.2">
      <c r="A128" s="1125"/>
      <c r="B128" s="1132"/>
      <c r="C128" s="146"/>
      <c r="D128" s="828" t="s">
        <v>61</v>
      </c>
      <c r="E128" s="1146"/>
      <c r="F128" s="1156"/>
      <c r="G128" s="1503"/>
      <c r="H128" s="1447"/>
      <c r="I128" s="1251"/>
      <c r="J128" s="1448"/>
      <c r="K128" s="1407"/>
      <c r="L128" s="1449"/>
      <c r="M128" s="1241"/>
      <c r="N128" s="1241"/>
      <c r="O128" s="1135" t="s">
        <v>302</v>
      </c>
      <c r="P128" s="835">
        <v>95</v>
      </c>
      <c r="Q128" s="835">
        <v>95</v>
      </c>
      <c r="R128" s="836">
        <v>95</v>
      </c>
    </row>
    <row r="129" spans="1:21" s="4" customFormat="1" ht="25.5" x14ac:dyDescent="0.2">
      <c r="A129" s="1125"/>
      <c r="B129" s="1132"/>
      <c r="C129" s="1141"/>
      <c r="D129" s="837" t="s">
        <v>63</v>
      </c>
      <c r="E129" s="1146"/>
      <c r="F129" s="1144"/>
      <c r="G129" s="1503"/>
      <c r="H129" s="1447"/>
      <c r="I129" s="1251"/>
      <c r="J129" s="1448"/>
      <c r="K129" s="1407"/>
      <c r="L129" s="1449"/>
      <c r="M129" s="1241"/>
      <c r="N129" s="1241"/>
      <c r="O129" s="1134" t="s">
        <v>309</v>
      </c>
      <c r="P129" s="840">
        <v>30</v>
      </c>
      <c r="Q129" s="840">
        <v>30</v>
      </c>
      <c r="R129" s="841">
        <v>30</v>
      </c>
    </row>
    <row r="130" spans="1:21" ht="25.5" x14ac:dyDescent="0.2">
      <c r="A130" s="1125"/>
      <c r="B130" s="1132"/>
      <c r="C130" s="146"/>
      <c r="D130" s="828" t="s">
        <v>71</v>
      </c>
      <c r="E130" s="1146"/>
      <c r="F130" s="1156"/>
      <c r="G130" s="1503"/>
      <c r="H130" s="1447"/>
      <c r="I130" s="1251"/>
      <c r="J130" s="1448"/>
      <c r="K130" s="1407"/>
      <c r="L130" s="1449"/>
      <c r="M130" s="1241"/>
      <c r="N130" s="1241"/>
      <c r="O130" s="1135" t="s">
        <v>303</v>
      </c>
      <c r="P130" s="835">
        <v>6</v>
      </c>
      <c r="Q130" s="835">
        <v>5</v>
      </c>
      <c r="R130" s="836">
        <v>5</v>
      </c>
    </row>
    <row r="131" spans="1:21" s="4" customFormat="1" x14ac:dyDescent="0.2">
      <c r="A131" s="1125"/>
      <c r="B131" s="1132"/>
      <c r="C131" s="146"/>
      <c r="D131" s="828" t="s">
        <v>62</v>
      </c>
      <c r="E131" s="1155"/>
      <c r="F131" s="1156"/>
      <c r="G131" s="1503"/>
      <c r="H131" s="1447"/>
      <c r="I131" s="1251"/>
      <c r="J131" s="1448"/>
      <c r="K131" s="1407"/>
      <c r="L131" s="1449"/>
      <c r="M131" s="1241"/>
      <c r="N131" s="1241"/>
      <c r="O131" s="1135" t="s">
        <v>80</v>
      </c>
      <c r="P131" s="236">
        <v>40.1</v>
      </c>
      <c r="Q131" s="236">
        <v>40.1</v>
      </c>
      <c r="R131" s="693">
        <v>40.1</v>
      </c>
    </row>
    <row r="132" spans="1:21" x14ac:dyDescent="0.2">
      <c r="A132" s="1125"/>
      <c r="B132" s="1132"/>
      <c r="C132" s="1141"/>
      <c r="D132" s="837" t="s">
        <v>64</v>
      </c>
      <c r="E132" s="1155"/>
      <c r="F132" s="1156"/>
      <c r="G132" s="1503"/>
      <c r="H132" s="1447"/>
      <c r="I132" s="1251"/>
      <c r="J132" s="1253"/>
      <c r="K132" s="1507"/>
      <c r="L132" s="1508"/>
      <c r="M132" s="1241"/>
      <c r="N132" s="1241"/>
      <c r="O132" s="1162" t="s">
        <v>304</v>
      </c>
      <c r="P132" s="1163">
        <v>100</v>
      </c>
      <c r="Q132" s="1163">
        <v>100</v>
      </c>
      <c r="R132" s="1164">
        <v>100</v>
      </c>
    </row>
    <row r="133" spans="1:21" s="699" customFormat="1" ht="29.25" customHeight="1" x14ac:dyDescent="0.2">
      <c r="A133" s="1125"/>
      <c r="B133" s="1132"/>
      <c r="C133" s="1141"/>
      <c r="D133" s="867" t="s">
        <v>138</v>
      </c>
      <c r="E133" s="845"/>
      <c r="F133" s="1174"/>
      <c r="G133" s="1176"/>
      <c r="H133" s="1269"/>
      <c r="I133" s="1251"/>
      <c r="J133" s="1253"/>
      <c r="K133" s="1253"/>
      <c r="L133" s="1259"/>
      <c r="M133" s="1241"/>
      <c r="N133" s="1241"/>
      <c r="O133" s="864" t="s">
        <v>305</v>
      </c>
      <c r="P133" s="847">
        <v>11</v>
      </c>
      <c r="Q133" s="847">
        <v>13</v>
      </c>
      <c r="R133" s="848">
        <v>16</v>
      </c>
      <c r="S133" s="698"/>
      <c r="U133" s="700"/>
    </row>
    <row r="134" spans="1:21" s="699" customFormat="1" ht="30.75" customHeight="1" x14ac:dyDescent="0.2">
      <c r="A134" s="1125"/>
      <c r="B134" s="1132"/>
      <c r="C134" s="1141"/>
      <c r="D134" s="3352" t="s">
        <v>319</v>
      </c>
      <c r="E134" s="3345"/>
      <c r="F134" s="3347"/>
      <c r="G134" s="846"/>
      <c r="H134" s="1452"/>
      <c r="I134" s="1329"/>
      <c r="J134" s="1439"/>
      <c r="K134" s="1439"/>
      <c r="L134" s="1451"/>
      <c r="M134" s="1450"/>
      <c r="N134" s="1450"/>
      <c r="O134" s="1175" t="s">
        <v>306</v>
      </c>
      <c r="P134" s="847">
        <v>1</v>
      </c>
      <c r="Q134" s="847">
        <v>1</v>
      </c>
      <c r="R134" s="848">
        <v>1</v>
      </c>
      <c r="S134" s="698"/>
      <c r="U134" s="700"/>
    </row>
    <row r="135" spans="1:21" ht="13.5" thickBot="1" x14ac:dyDescent="0.25">
      <c r="A135" s="1125"/>
      <c r="B135" s="1132"/>
      <c r="C135" s="1141"/>
      <c r="D135" s="3353"/>
      <c r="E135" s="3346"/>
      <c r="F135" s="3348"/>
      <c r="G135" s="368" t="s">
        <v>23</v>
      </c>
      <c r="H135" s="1453">
        <f>SUM(H126:H134)</f>
        <v>1259325.764596849</v>
      </c>
      <c r="I135" s="1317">
        <f>SUM(I126:I134)</f>
        <v>4348</v>
      </c>
      <c r="J135" s="1317">
        <f t="shared" ref="J135:N135" si="13">SUM(J126:J134)</f>
        <v>4268</v>
      </c>
      <c r="K135" s="1317">
        <f t="shared" si="13"/>
        <v>0</v>
      </c>
      <c r="L135" s="1317">
        <f t="shared" si="13"/>
        <v>80</v>
      </c>
      <c r="M135" s="1317">
        <f t="shared" si="13"/>
        <v>1417979.6107506952</v>
      </c>
      <c r="N135" s="1317">
        <f t="shared" si="13"/>
        <v>1408422.1501390177</v>
      </c>
      <c r="O135" s="865"/>
      <c r="P135" s="78"/>
      <c r="Q135" s="1165"/>
      <c r="R135" s="645"/>
    </row>
    <row r="136" spans="1:21" ht="26.25" customHeight="1" x14ac:dyDescent="0.2">
      <c r="A136" s="1124" t="s">
        <v>24</v>
      </c>
      <c r="B136" s="1131" t="s">
        <v>26</v>
      </c>
      <c r="C136" s="1142" t="s">
        <v>24</v>
      </c>
      <c r="D136" s="3317" t="s">
        <v>264</v>
      </c>
      <c r="E136" s="3315" t="s">
        <v>136</v>
      </c>
      <c r="F136" s="3319">
        <v>6</v>
      </c>
      <c r="G136" s="849" t="s">
        <v>22</v>
      </c>
      <c r="H136" s="1443">
        <f>73/3.4528*1000</f>
        <v>21142.261353104728</v>
      </c>
      <c r="I136" s="1289">
        <f>J136+L136</f>
        <v>73</v>
      </c>
      <c r="J136" s="1444"/>
      <c r="K136" s="1402"/>
      <c r="L136" s="1404">
        <v>73</v>
      </c>
      <c r="M136" s="1405">
        <f>210/3.4528*1000</f>
        <v>60820.203892493053</v>
      </c>
      <c r="N136" s="1446">
        <f>320/3.4528*1000</f>
        <v>92678.40593141799</v>
      </c>
      <c r="O136" s="3320" t="s">
        <v>137</v>
      </c>
      <c r="P136" s="774">
        <v>1</v>
      </c>
      <c r="Q136" s="775">
        <v>4</v>
      </c>
      <c r="R136" s="674">
        <v>6</v>
      </c>
    </row>
    <row r="137" spans="1:21" ht="13.5" thickBot="1" x14ac:dyDescent="0.25">
      <c r="A137" s="1126"/>
      <c r="B137" s="1133"/>
      <c r="C137" s="1143"/>
      <c r="D137" s="3318"/>
      <c r="E137" s="3316"/>
      <c r="F137" s="3269"/>
      <c r="G137" s="368" t="s">
        <v>23</v>
      </c>
      <c r="H137" s="1453">
        <f>SUM(H136)</f>
        <v>21142.261353104728</v>
      </c>
      <c r="I137" s="1317">
        <f>J137+L137</f>
        <v>73</v>
      </c>
      <c r="J137" s="1318"/>
      <c r="K137" s="1318"/>
      <c r="L137" s="1320">
        <f>L136</f>
        <v>73</v>
      </c>
      <c r="M137" s="1286">
        <f>SUM(M136)</f>
        <v>60820.203892493053</v>
      </c>
      <c r="N137" s="1287">
        <f>SUM(N136)</f>
        <v>92678.40593141799</v>
      </c>
      <c r="O137" s="3321"/>
      <c r="P137" s="78"/>
      <c r="Q137" s="1165"/>
      <c r="R137" s="645"/>
    </row>
    <row r="138" spans="1:21" ht="30" customHeight="1" x14ac:dyDescent="0.2">
      <c r="A138" s="3154" t="s">
        <v>24</v>
      </c>
      <c r="B138" s="3117" t="s">
        <v>26</v>
      </c>
      <c r="C138" s="132" t="s">
        <v>26</v>
      </c>
      <c r="D138" s="3314" t="s">
        <v>59</v>
      </c>
      <c r="E138" s="3315"/>
      <c r="F138" s="3310">
        <v>2</v>
      </c>
      <c r="G138" s="850" t="s">
        <v>22</v>
      </c>
      <c r="H138" s="1454">
        <f>108/3.4528*1000</f>
        <v>31278.962001853568</v>
      </c>
      <c r="I138" s="1455">
        <f>J138+L138</f>
        <v>108</v>
      </c>
      <c r="J138" s="1456">
        <v>108</v>
      </c>
      <c r="K138" s="1315"/>
      <c r="L138" s="1316"/>
      <c r="M138" s="1405">
        <f>100/3.4528*1000</f>
        <v>28962.001853568119</v>
      </c>
      <c r="N138" s="1405">
        <f>100/3.4528*1000</f>
        <v>28962.001853568119</v>
      </c>
      <c r="O138" s="2946" t="s">
        <v>307</v>
      </c>
      <c r="P138" s="852">
        <v>320</v>
      </c>
      <c r="Q138" s="853">
        <v>300</v>
      </c>
      <c r="R138" s="674">
        <v>300</v>
      </c>
    </row>
    <row r="139" spans="1:21" ht="13.5" thickBot="1" x14ac:dyDescent="0.25">
      <c r="A139" s="3156"/>
      <c r="B139" s="3118"/>
      <c r="C139" s="130"/>
      <c r="D139" s="3306"/>
      <c r="E139" s="3316"/>
      <c r="F139" s="3312"/>
      <c r="G139" s="368" t="s">
        <v>23</v>
      </c>
      <c r="H139" s="1457">
        <f>H138</f>
        <v>31278.962001853568</v>
      </c>
      <c r="I139" s="1286">
        <f>J139+L139</f>
        <v>108</v>
      </c>
      <c r="J139" s="1390">
        <f>SUM(J138)</f>
        <v>108</v>
      </c>
      <c r="K139" s="1380"/>
      <c r="L139" s="1391"/>
      <c r="M139" s="1286">
        <f>SUM(M138)</f>
        <v>28962.001853568119</v>
      </c>
      <c r="N139" s="1381">
        <f>SUM(N138)</f>
        <v>28962.001853568119</v>
      </c>
      <c r="O139" s="2948"/>
      <c r="P139" s="78"/>
      <c r="Q139" s="1165"/>
      <c r="R139" s="645"/>
    </row>
    <row r="140" spans="1:21" x14ac:dyDescent="0.2">
      <c r="A140" s="1124" t="s">
        <v>24</v>
      </c>
      <c r="B140" s="1131" t="s">
        <v>26</v>
      </c>
      <c r="C140" s="132" t="s">
        <v>28</v>
      </c>
      <c r="D140" s="1158" t="s">
        <v>269</v>
      </c>
      <c r="E140" s="1173"/>
      <c r="F140" s="1159">
        <v>2</v>
      </c>
      <c r="G140" s="857" t="s">
        <v>22</v>
      </c>
      <c r="H140" s="1458"/>
      <c r="I140" s="1401"/>
      <c r="J140" s="1436"/>
      <c r="K140" s="1436"/>
      <c r="L140" s="1437"/>
      <c r="M140" s="1405">
        <f>250/3.4528*1000</f>
        <v>72405.004633920296</v>
      </c>
      <c r="N140" s="1446"/>
      <c r="O140" s="877" t="s">
        <v>308</v>
      </c>
      <c r="P140" s="878"/>
      <c r="Q140" s="854">
        <v>10</v>
      </c>
      <c r="R140" s="674"/>
    </row>
    <row r="141" spans="1:21" ht="16.5" customHeight="1" x14ac:dyDescent="0.2">
      <c r="A141" s="1125"/>
      <c r="B141" s="1132"/>
      <c r="C141" s="131"/>
      <c r="D141" s="3313" t="s">
        <v>320</v>
      </c>
      <c r="E141" s="1171"/>
      <c r="F141" s="1160"/>
      <c r="G141" s="857"/>
      <c r="H141" s="1249"/>
      <c r="I141" s="1251"/>
      <c r="J141" s="1253"/>
      <c r="K141" s="1253"/>
      <c r="L141" s="1256"/>
      <c r="M141" s="1239"/>
      <c r="N141" s="1265"/>
      <c r="O141" s="877"/>
      <c r="P141" s="878"/>
      <c r="Q141" s="854"/>
      <c r="R141" s="621"/>
    </row>
    <row r="142" spans="1:21" ht="13.5" thickBot="1" x14ac:dyDescent="0.25">
      <c r="A142" s="1126"/>
      <c r="B142" s="1133"/>
      <c r="C142" s="130"/>
      <c r="D142" s="3306"/>
      <c r="E142" s="1172"/>
      <c r="F142" s="1161"/>
      <c r="G142" s="368" t="s">
        <v>23</v>
      </c>
      <c r="H142" s="1453"/>
      <c r="I142" s="1399">
        <f t="shared" ref="I142:L142" si="14">SUM(I141:I141)</f>
        <v>0</v>
      </c>
      <c r="J142" s="1400">
        <f t="shared" si="14"/>
        <v>0</v>
      </c>
      <c r="K142" s="1400">
        <f t="shared" si="14"/>
        <v>0</v>
      </c>
      <c r="L142" s="1287">
        <f t="shared" si="14"/>
        <v>0</v>
      </c>
      <c r="M142" s="1286">
        <f>SUM(M140:M141)</f>
        <v>72405.004633920296</v>
      </c>
      <c r="N142" s="1287"/>
      <c r="O142" s="1097"/>
      <c r="P142" s="78"/>
      <c r="Q142" s="1165"/>
      <c r="R142" s="645"/>
    </row>
    <row r="143" spans="1:21" ht="63.75" customHeight="1" x14ac:dyDescent="0.2">
      <c r="A143" s="3151" t="s">
        <v>24</v>
      </c>
      <c r="B143" s="3158" t="s">
        <v>26</v>
      </c>
      <c r="C143" s="132" t="s">
        <v>29</v>
      </c>
      <c r="D143" s="3304" t="s">
        <v>291</v>
      </c>
      <c r="E143" s="3307" t="s">
        <v>132</v>
      </c>
      <c r="F143" s="3310">
        <v>2</v>
      </c>
      <c r="G143" s="542" t="s">
        <v>22</v>
      </c>
      <c r="H143" s="1458">
        <f>64/3.4528*1000</f>
        <v>18535.681186283597</v>
      </c>
      <c r="I143" s="1401">
        <f>J143+L143</f>
        <v>64</v>
      </c>
      <c r="J143" s="1436"/>
      <c r="K143" s="1436"/>
      <c r="L143" s="1437">
        <v>64</v>
      </c>
      <c r="M143" s="1405">
        <f>74/3.4528*1000</f>
        <v>21431.881371640407</v>
      </c>
      <c r="N143" s="1446">
        <f>67/3.4528*1000</f>
        <v>19404.541241890642</v>
      </c>
      <c r="O143" s="855" t="s">
        <v>87</v>
      </c>
      <c r="P143" s="856">
        <v>9</v>
      </c>
      <c r="Q143" s="853">
        <v>10</v>
      </c>
      <c r="R143" s="674">
        <v>10</v>
      </c>
    </row>
    <row r="144" spans="1:21" ht="31.5" customHeight="1" x14ac:dyDescent="0.2">
      <c r="A144" s="3152"/>
      <c r="B144" s="3159"/>
      <c r="C144" s="131"/>
      <c r="D144" s="3305"/>
      <c r="E144" s="3308"/>
      <c r="F144" s="3311"/>
      <c r="G144" s="857"/>
      <c r="H144" s="1249"/>
      <c r="I144" s="1251"/>
      <c r="J144" s="1253"/>
      <c r="K144" s="1253"/>
      <c r="L144" s="1256"/>
      <c r="M144" s="1284"/>
      <c r="N144" s="1459"/>
      <c r="O144" s="858"/>
      <c r="P144" s="475"/>
      <c r="Q144" s="854"/>
      <c r="R144" s="621"/>
    </row>
    <row r="145" spans="1:23" ht="13.5" thickBot="1" x14ac:dyDescent="0.25">
      <c r="A145" s="3153"/>
      <c r="B145" s="3160"/>
      <c r="C145" s="130"/>
      <c r="D145" s="3306"/>
      <c r="E145" s="3309"/>
      <c r="F145" s="3312"/>
      <c r="G145" s="368" t="s">
        <v>23</v>
      </c>
      <c r="H145" s="1453">
        <f>SUM(H143:H144)</f>
        <v>18535.681186283597</v>
      </c>
      <c r="I145" s="1399">
        <f>J145+L145</f>
        <v>64</v>
      </c>
      <c r="J145" s="1318"/>
      <c r="K145" s="1318"/>
      <c r="L145" s="1320">
        <f>SUM(L143)</f>
        <v>64</v>
      </c>
      <c r="M145" s="1286">
        <f>SUM(M143)</f>
        <v>21431.881371640407</v>
      </c>
      <c r="N145" s="1287">
        <f>SUM(N143)</f>
        <v>19404.541241890642</v>
      </c>
      <c r="O145" s="859"/>
      <c r="P145" s="78"/>
      <c r="Q145" s="1165"/>
      <c r="R145" s="645"/>
    </row>
    <row r="146" spans="1:23" ht="13.5" thickBot="1" x14ac:dyDescent="0.25">
      <c r="A146" s="30" t="s">
        <v>24</v>
      </c>
      <c r="B146" s="32" t="s">
        <v>26</v>
      </c>
      <c r="C146" s="3089" t="s">
        <v>27</v>
      </c>
      <c r="D146" s="3104"/>
      <c r="E146" s="3104"/>
      <c r="F146" s="3104"/>
      <c r="G146" s="3303"/>
      <c r="H146" s="1428">
        <f>H145+H142+H139+H137+H135</f>
        <v>1330282.6691380909</v>
      </c>
      <c r="I146" s="1460">
        <f t="shared" ref="I146:N146" si="15">I145+I139+I137+I135+I142</f>
        <v>4593</v>
      </c>
      <c r="J146" s="1441">
        <f t="shared" si="15"/>
        <v>4376</v>
      </c>
      <c r="K146" s="1428">
        <f t="shared" si="15"/>
        <v>0</v>
      </c>
      <c r="L146" s="1461">
        <f t="shared" si="15"/>
        <v>217</v>
      </c>
      <c r="M146" s="1294">
        <f t="shared" si="15"/>
        <v>1601598.702502317</v>
      </c>
      <c r="N146" s="1294">
        <f t="shared" si="15"/>
        <v>1549467.0991658946</v>
      </c>
      <c r="O146" s="2935"/>
      <c r="P146" s="2936"/>
      <c r="Q146" s="2936"/>
      <c r="R146" s="2937"/>
    </row>
    <row r="147" spans="1:23" ht="13.5" thickBot="1" x14ac:dyDescent="0.25">
      <c r="A147" s="30" t="s">
        <v>24</v>
      </c>
      <c r="B147" s="3149" t="s">
        <v>10</v>
      </c>
      <c r="C147" s="3149"/>
      <c r="D147" s="3149"/>
      <c r="E147" s="3149"/>
      <c r="F147" s="3149"/>
      <c r="G147" s="3149"/>
      <c r="H147" s="1334">
        <f>H146+H124+H117</f>
        <v>3809169.3697868395</v>
      </c>
      <c r="I147" s="1462">
        <f>J147+L147</f>
        <v>13152.1</v>
      </c>
      <c r="J147" s="1463">
        <f>J146+J124+J117</f>
        <v>5518.4</v>
      </c>
      <c r="K147" s="1463">
        <f>K146+K124+K117</f>
        <v>13.3</v>
      </c>
      <c r="L147" s="1464">
        <f>L146+L124+L117</f>
        <v>7633.7000000000007</v>
      </c>
      <c r="M147" s="1334">
        <f>M146+M124+M117</f>
        <v>3149559.7775718262</v>
      </c>
      <c r="N147" s="1465">
        <f>N146+N124+N117</f>
        <v>5000666.1260426324</v>
      </c>
      <c r="O147" s="3109"/>
      <c r="P147" s="3110"/>
      <c r="Q147" s="3110"/>
      <c r="R147" s="3111"/>
    </row>
    <row r="148" spans="1:23" ht="14.25" customHeight="1" thickBot="1" x14ac:dyDescent="0.25">
      <c r="A148" s="33" t="s">
        <v>9</v>
      </c>
      <c r="B148" s="3150" t="s">
        <v>11</v>
      </c>
      <c r="C148" s="3150"/>
      <c r="D148" s="3150"/>
      <c r="E148" s="3150"/>
      <c r="F148" s="3150"/>
      <c r="G148" s="3150"/>
      <c r="H148" s="1466">
        <f>H147+H67</f>
        <v>59443089.666357733</v>
      </c>
      <c r="I148" s="1467">
        <f>J148+L148</f>
        <v>205244.89999999997</v>
      </c>
      <c r="J148" s="1468">
        <f>J147+J67</f>
        <v>197310.99999999997</v>
      </c>
      <c r="K148" s="1468">
        <f>K147+K67</f>
        <v>128507.10000000002</v>
      </c>
      <c r="L148" s="1469">
        <f>L147+L67</f>
        <v>7933.9000000000005</v>
      </c>
      <c r="M148" s="1466">
        <f>M147+M67</f>
        <v>58748870.481927715</v>
      </c>
      <c r="N148" s="1470">
        <f>N147+N67</f>
        <v>60484708.063021317</v>
      </c>
      <c r="O148" s="3113"/>
      <c r="P148" s="3114"/>
      <c r="Q148" s="3114"/>
      <c r="R148" s="3115"/>
    </row>
    <row r="149" spans="1:23" s="209" customFormat="1" ht="14.25" customHeight="1" x14ac:dyDescent="0.2">
      <c r="A149" s="1085"/>
      <c r="B149" s="1086"/>
      <c r="C149" s="1086"/>
      <c r="D149" s="1086"/>
      <c r="E149" s="1086"/>
      <c r="F149" s="1086"/>
      <c r="G149" s="1086"/>
      <c r="H149" s="1471"/>
      <c r="I149" s="1471"/>
      <c r="J149" s="1471"/>
      <c r="K149" s="1471"/>
      <c r="L149" s="1471"/>
      <c r="M149" s="1471"/>
      <c r="N149" s="1471"/>
      <c r="O149" s="1084"/>
      <c r="P149" s="1084"/>
      <c r="Q149" s="1084"/>
      <c r="R149" s="1084"/>
    </row>
    <row r="150" spans="1:23" s="5" customFormat="1" ht="13.5" thickBot="1" x14ac:dyDescent="0.25">
      <c r="A150" s="3116" t="s">
        <v>2</v>
      </c>
      <c r="B150" s="3116"/>
      <c r="C150" s="3116"/>
      <c r="D150" s="3116"/>
      <c r="E150" s="3116"/>
      <c r="F150" s="3116"/>
      <c r="G150" s="3116"/>
      <c r="H150" s="3116"/>
      <c r="I150" s="3116"/>
      <c r="J150" s="3116"/>
      <c r="K150" s="3116"/>
      <c r="L150" s="3116"/>
      <c r="M150" s="3116"/>
      <c r="N150" s="3116"/>
      <c r="O150" s="259"/>
      <c r="P150" s="259"/>
      <c r="Q150" s="259"/>
      <c r="R150" s="95"/>
    </row>
    <row r="151" spans="1:23" s="6" customFormat="1" ht="39.75" customHeight="1" thickBot="1" x14ac:dyDescent="0.25">
      <c r="A151" s="3146" t="s">
        <v>3</v>
      </c>
      <c r="B151" s="3147"/>
      <c r="C151" s="3147"/>
      <c r="D151" s="3147"/>
      <c r="E151" s="3147"/>
      <c r="F151" s="3147"/>
      <c r="G151" s="3148"/>
      <c r="H151" s="1472" t="s">
        <v>289</v>
      </c>
      <c r="I151" s="3300" t="s">
        <v>289</v>
      </c>
      <c r="J151" s="3301"/>
      <c r="K151" s="3301"/>
      <c r="L151" s="3302"/>
      <c r="M151" s="1473" t="s">
        <v>290</v>
      </c>
      <c r="N151" s="1473" t="s">
        <v>290</v>
      </c>
      <c r="O151" s="71"/>
      <c r="P151" s="3112"/>
      <c r="Q151" s="3112"/>
      <c r="R151" s="60"/>
      <c r="U151" s="2"/>
      <c r="W151" s="2"/>
    </row>
    <row r="152" spans="1:23" s="6" customFormat="1" x14ac:dyDescent="0.2">
      <c r="A152" s="3136" t="s">
        <v>33</v>
      </c>
      <c r="B152" s="3137"/>
      <c r="C152" s="3137"/>
      <c r="D152" s="3137"/>
      <c r="E152" s="3137"/>
      <c r="F152" s="3137"/>
      <c r="G152" s="3138"/>
      <c r="H152" s="1474">
        <f>SUM(H153:H156)</f>
        <v>58105653.382761821</v>
      </c>
      <c r="I152" s="3297">
        <f>SUM(I153:L156)</f>
        <v>200626.99999999994</v>
      </c>
      <c r="J152" s="3298"/>
      <c r="K152" s="3298"/>
      <c r="L152" s="3299"/>
      <c r="M152" s="1475">
        <f>SUM(M153:M156)</f>
        <v>57767377.201112136</v>
      </c>
      <c r="N152" s="1475">
        <f>SUM(N153:N156)</f>
        <v>57366572.057460614</v>
      </c>
      <c r="O152" s="72"/>
      <c r="P152" s="3128"/>
      <c r="Q152" s="3128"/>
      <c r="R152" s="60"/>
    </row>
    <row r="153" spans="1:23" s="6" customFormat="1" x14ac:dyDescent="0.2">
      <c r="A153" s="3131" t="s">
        <v>36</v>
      </c>
      <c r="B153" s="3132"/>
      <c r="C153" s="3132"/>
      <c r="D153" s="3132"/>
      <c r="E153" s="3132"/>
      <c r="F153" s="3132"/>
      <c r="G153" s="3133"/>
      <c r="H153" s="1476">
        <f>SUMIF(G12:G143,"sb",H12:H143)</f>
        <v>22906047.265987024</v>
      </c>
      <c r="I153" s="3285">
        <f>SUMIF(G12:G144,"sb",I12:I144)</f>
        <v>79089.799999999974</v>
      </c>
      <c r="J153" s="3286"/>
      <c r="K153" s="3286"/>
      <c r="L153" s="3287"/>
      <c r="M153" s="1477">
        <f>SUMIF(G12:G145,"sb",M12:M145)</f>
        <v>22518448.795180716</v>
      </c>
      <c r="N153" s="1477">
        <f>SUMIF(G12:G145,"sb",N12:N145)</f>
        <v>22190772.706209455</v>
      </c>
      <c r="O153" s="70"/>
      <c r="P153" s="3119"/>
      <c r="Q153" s="3119"/>
      <c r="R153" s="60"/>
    </row>
    <row r="154" spans="1:23" s="6" customFormat="1" x14ac:dyDescent="0.2">
      <c r="A154" s="3131" t="s">
        <v>44</v>
      </c>
      <c r="B154" s="3132"/>
      <c r="C154" s="3132"/>
      <c r="D154" s="3132"/>
      <c r="E154" s="3132"/>
      <c r="F154" s="3132"/>
      <c r="G154" s="3133"/>
      <c r="H154" s="1476">
        <f>SUMIF(G12:G143,"sb(sp)",H12:H143)</f>
        <v>5008283.1325301202</v>
      </c>
      <c r="I154" s="3294">
        <f>SUMIF(G12:G145,"sb(sp)",I12:I145)</f>
        <v>17292.599999999999</v>
      </c>
      <c r="J154" s="3295"/>
      <c r="K154" s="3295"/>
      <c r="L154" s="3296"/>
      <c r="M154" s="1477">
        <f>SUMIF(G12:G145,"sb(sp)",M12:M145)</f>
        <v>5008283.1325301202</v>
      </c>
      <c r="N154" s="1477">
        <f>SUMIF(G12:G145,"sb(sp)",N12:N145)</f>
        <v>5008283.1325301202</v>
      </c>
      <c r="O154" s="70"/>
      <c r="P154" s="3119"/>
      <c r="Q154" s="3119"/>
      <c r="R154" s="60"/>
    </row>
    <row r="155" spans="1:23" s="6" customFormat="1" x14ac:dyDescent="0.2">
      <c r="A155" s="3131" t="s">
        <v>37</v>
      </c>
      <c r="B155" s="3132"/>
      <c r="C155" s="3132"/>
      <c r="D155" s="3132"/>
      <c r="E155" s="3132"/>
      <c r="F155" s="3132"/>
      <c r="G155" s="3133"/>
      <c r="H155" s="1476">
        <f>SUMIF(G12:G143,"sb(vb)",H12:H143)</f>
        <v>30191322.984244674</v>
      </c>
      <c r="I155" s="3285">
        <f>SUMIF(G12:G145,"sb(vb)",I12:I145)</f>
        <v>104244.59999999999</v>
      </c>
      <c r="J155" s="3286"/>
      <c r="K155" s="3286"/>
      <c r="L155" s="3287"/>
      <c r="M155" s="1478">
        <f>SUMIF(G12:G143,G13,M12:M143)</f>
        <v>30197202.270620946</v>
      </c>
      <c r="N155" s="1478">
        <f>SUMIF(G12:G143,G13,N12:N143)</f>
        <v>30167516.21872104</v>
      </c>
      <c r="O155" s="70"/>
      <c r="P155" s="3119"/>
      <c r="Q155" s="3119"/>
      <c r="R155" s="60"/>
    </row>
    <row r="156" spans="1:23" s="6" customFormat="1" ht="13.5" thickBot="1" x14ac:dyDescent="0.25">
      <c r="A156" s="3131" t="s">
        <v>54</v>
      </c>
      <c r="B156" s="3132"/>
      <c r="C156" s="3132"/>
      <c r="D156" s="3132"/>
      <c r="E156" s="3132"/>
      <c r="F156" s="3132"/>
      <c r="G156" s="3133"/>
      <c r="H156" s="1476">
        <f>SUMIF(G12:G143,"sb(p)",H12:H143)</f>
        <v>0</v>
      </c>
      <c r="I156" s="3291">
        <f>SUMIF(G15:G145,"sb(p)",I15:I145)</f>
        <v>0</v>
      </c>
      <c r="J156" s="3292"/>
      <c r="K156" s="3292"/>
      <c r="L156" s="3293"/>
      <c r="M156" s="1479">
        <f>SUMIF(G15:G145,"sb(p)",M15:M145)</f>
        <v>43443.002780352181</v>
      </c>
      <c r="N156" s="1479">
        <f>SUMIF(G15:G145,#REF!,N15:N145)</f>
        <v>0</v>
      </c>
      <c r="O156" s="70"/>
      <c r="P156" s="3119"/>
      <c r="Q156" s="3119"/>
      <c r="R156" s="60"/>
    </row>
    <row r="157" spans="1:23" s="6" customFormat="1" ht="13.5" thickBot="1" x14ac:dyDescent="0.25">
      <c r="A157" s="3167" t="s">
        <v>34</v>
      </c>
      <c r="B157" s="3168"/>
      <c r="C157" s="3168"/>
      <c r="D157" s="3168"/>
      <c r="E157" s="3168"/>
      <c r="F157" s="3168"/>
      <c r="G157" s="3169"/>
      <c r="H157" s="1480">
        <f>SUM(H158:H159)</f>
        <v>1337436.2835959222</v>
      </c>
      <c r="I157" s="3288">
        <f>SUM(I158:L159)</f>
        <v>4617.8999999999996</v>
      </c>
      <c r="J157" s="3289"/>
      <c r="K157" s="3289"/>
      <c r="L157" s="3290"/>
      <c r="M157" s="1481">
        <f>SUM(M158:M159)</f>
        <v>981493.28081556992</v>
      </c>
      <c r="N157" s="1481">
        <f>SUM(N158:N158)</f>
        <v>3118136.0055607045</v>
      </c>
      <c r="O157" s="54"/>
      <c r="P157" s="3129"/>
      <c r="Q157" s="3129"/>
      <c r="R157" s="60"/>
      <c r="T157" s="208"/>
    </row>
    <row r="158" spans="1:23" s="6" customFormat="1" x14ac:dyDescent="0.2">
      <c r="A158" s="3170" t="s">
        <v>38</v>
      </c>
      <c r="B158" s="3171"/>
      <c r="C158" s="3171"/>
      <c r="D158" s="3171"/>
      <c r="E158" s="3171"/>
      <c r="F158" s="3171"/>
      <c r="G158" s="3172"/>
      <c r="H158" s="1482">
        <f>SUMIF(G12:G143,"es",H12:H143)</f>
        <v>319421.9184430028</v>
      </c>
      <c r="I158" s="3291">
        <f>SUMIF(G15:G145,"es",I15:I145)</f>
        <v>1102.9000000000001</v>
      </c>
      <c r="J158" s="3292"/>
      <c r="K158" s="3292"/>
      <c r="L158" s="3292"/>
      <c r="M158" s="1483">
        <f>SUMIF(G15:G143,"es",M15:M143)</f>
        <v>112633.2252085264</v>
      </c>
      <c r="N158" s="1483">
        <f>SUMIF(G15:G145,"es",N15:N145)</f>
        <v>3118136.0055607045</v>
      </c>
      <c r="O158" s="44"/>
      <c r="P158" s="3123"/>
      <c r="Q158" s="3123"/>
      <c r="R158" s="60"/>
    </row>
    <row r="159" spans="1:23" s="6" customFormat="1" ht="13.5" thickBot="1" x14ac:dyDescent="0.25">
      <c r="A159" s="3282" t="s">
        <v>283</v>
      </c>
      <c r="B159" s="3283"/>
      <c r="C159" s="3283"/>
      <c r="D159" s="3283"/>
      <c r="E159" s="3283"/>
      <c r="F159" s="3283"/>
      <c r="G159" s="3284"/>
      <c r="H159" s="1484">
        <f>SUMIF(G12:G143,"KVJUD ",H12:H143)</f>
        <v>1018014.3651529193</v>
      </c>
      <c r="I159" s="3285">
        <f>SUMIF(G12:G143,G112,I12:I143)</f>
        <v>3515</v>
      </c>
      <c r="J159" s="3286"/>
      <c r="K159" s="3286"/>
      <c r="L159" s="3287"/>
      <c r="M159" s="1485">
        <f>SUMIF(G12:G143,"KVJUD ",M12:M143)</f>
        <v>868860.05560704356</v>
      </c>
      <c r="N159" s="1485"/>
      <c r="O159" s="44"/>
      <c r="P159" s="1122"/>
      <c r="Q159" s="1122"/>
      <c r="R159" s="60"/>
    </row>
    <row r="160" spans="1:23" ht="13.5" thickBot="1" x14ac:dyDescent="0.25">
      <c r="A160" s="3164" t="s">
        <v>35</v>
      </c>
      <c r="B160" s="3165"/>
      <c r="C160" s="3165"/>
      <c r="D160" s="3165"/>
      <c r="E160" s="3165"/>
      <c r="F160" s="3165"/>
      <c r="G160" s="3166"/>
      <c r="H160" s="1486">
        <f>H157+H152</f>
        <v>59443089.666357741</v>
      </c>
      <c r="I160" s="3280">
        <f>I157+I152</f>
        <v>205244.89999999994</v>
      </c>
      <c r="J160" s="3281"/>
      <c r="K160" s="3281"/>
      <c r="L160" s="3281"/>
      <c r="M160" s="1487">
        <f>M152+M157</f>
        <v>58748870.481927708</v>
      </c>
      <c r="N160" s="1487">
        <f>N157+N152</f>
        <v>60484708.063021317</v>
      </c>
      <c r="O160" s="72"/>
      <c r="P160" s="3128"/>
      <c r="Q160" s="3128"/>
    </row>
    <row r="162" spans="1:18" x14ac:dyDescent="0.2">
      <c r="D162" s="2"/>
      <c r="E162" s="214"/>
      <c r="F162" s="1090"/>
      <c r="G162" s="113"/>
      <c r="H162" s="1488"/>
      <c r="I162" s="1489"/>
      <c r="J162" s="1490"/>
      <c r="K162" s="1491"/>
      <c r="L162" s="1492"/>
      <c r="M162" s="1492"/>
      <c r="N162" s="1492"/>
    </row>
    <row r="163" spans="1:18" x14ac:dyDescent="0.2">
      <c r="D163" s="2"/>
      <c r="E163" s="214"/>
      <c r="F163" s="1090"/>
      <c r="G163" s="113"/>
      <c r="H163" s="1488"/>
      <c r="I163" s="1492"/>
      <c r="J163" s="1491"/>
      <c r="K163" s="1491"/>
      <c r="L163" s="1492"/>
      <c r="M163" s="1492"/>
      <c r="N163" s="1492"/>
      <c r="P163" s="707"/>
    </row>
    <row r="164" spans="1:18" x14ac:dyDescent="0.2">
      <c r="D164" s="2"/>
      <c r="E164" s="214"/>
      <c r="F164" s="1090"/>
      <c r="G164" s="113"/>
      <c r="H164" s="1488"/>
      <c r="I164" s="1492"/>
      <c r="J164" s="1493"/>
      <c r="K164" s="1491"/>
      <c r="L164" s="1492"/>
      <c r="M164" s="1492"/>
      <c r="N164" s="1492"/>
    </row>
    <row r="165" spans="1:18" x14ac:dyDescent="0.2">
      <c r="D165" s="2"/>
      <c r="E165" s="214"/>
      <c r="F165" s="1090"/>
      <c r="G165" s="113"/>
      <c r="H165" s="1488"/>
      <c r="I165" s="1492"/>
      <c r="J165" s="1492"/>
      <c r="K165" s="1492"/>
      <c r="L165" s="1492"/>
      <c r="M165" s="1492"/>
      <c r="N165" s="1492"/>
    </row>
    <row r="166" spans="1:18" x14ac:dyDescent="0.2">
      <c r="D166" s="2"/>
      <c r="E166" s="214"/>
      <c r="F166" s="1090"/>
      <c r="G166" s="113"/>
      <c r="H166" s="1488"/>
      <c r="I166" s="1492"/>
      <c r="J166" s="1492"/>
      <c r="K166" s="1492"/>
      <c r="L166" s="1492"/>
      <c r="M166" s="1492"/>
      <c r="N166" s="1492"/>
    </row>
    <row r="167" spans="1:18" x14ac:dyDescent="0.2">
      <c r="D167" s="2"/>
      <c r="E167" s="214"/>
      <c r="F167" s="1090"/>
      <c r="G167" s="113"/>
      <c r="H167" s="1488"/>
      <c r="I167" s="1492"/>
      <c r="J167" s="1492"/>
      <c r="K167" s="1492"/>
      <c r="L167" s="1492"/>
      <c r="M167" s="1492"/>
      <c r="N167" s="1492"/>
      <c r="O167" s="2"/>
    </row>
    <row r="168" spans="1:18" x14ac:dyDescent="0.2">
      <c r="D168" s="2"/>
      <c r="E168" s="214"/>
      <c r="F168" s="1090"/>
      <c r="G168" s="113"/>
      <c r="H168" s="1488"/>
      <c r="I168" s="1492"/>
      <c r="J168" s="1492"/>
      <c r="K168" s="1492"/>
      <c r="L168" s="1492"/>
      <c r="M168" s="1492"/>
      <c r="N168" s="1492"/>
    </row>
    <row r="169" spans="1:18" x14ac:dyDescent="0.2">
      <c r="D169" s="2"/>
      <c r="E169" s="214"/>
      <c r="F169" s="1090"/>
      <c r="G169" s="113"/>
      <c r="H169" s="1488"/>
      <c r="I169" s="1492"/>
      <c r="J169" s="1492"/>
      <c r="K169" s="1492"/>
      <c r="L169" s="1492"/>
      <c r="M169" s="1492"/>
      <c r="N169" s="1492"/>
    </row>
    <row r="170" spans="1:18" x14ac:dyDescent="0.2">
      <c r="D170" s="2"/>
      <c r="E170" s="214"/>
      <c r="F170" s="1090"/>
      <c r="G170" s="113"/>
      <c r="H170" s="1488"/>
      <c r="I170" s="1492"/>
      <c r="J170" s="1492"/>
      <c r="K170" s="1492"/>
      <c r="L170" s="1492"/>
      <c r="M170" s="1492"/>
      <c r="N170" s="1492"/>
    </row>
    <row r="171" spans="1:18" x14ac:dyDescent="0.2">
      <c r="D171" s="2"/>
      <c r="E171" s="214"/>
      <c r="F171" s="1090"/>
      <c r="G171" s="113"/>
      <c r="H171" s="1488"/>
      <c r="I171" s="1492"/>
      <c r="J171" s="1492"/>
      <c r="K171" s="1492"/>
      <c r="L171" s="1492"/>
      <c r="M171" s="1492"/>
      <c r="N171" s="1492"/>
    </row>
    <row r="172" spans="1:18" x14ac:dyDescent="0.2">
      <c r="D172" s="2"/>
      <c r="E172" s="214"/>
      <c r="F172" s="1090"/>
      <c r="G172" s="113"/>
      <c r="H172" s="1488"/>
      <c r="I172" s="1492"/>
      <c r="J172" s="1492"/>
      <c r="K172" s="1492"/>
      <c r="L172" s="1492"/>
      <c r="M172" s="1492"/>
      <c r="N172" s="1492"/>
    </row>
    <row r="173" spans="1:18" x14ac:dyDescent="0.2">
      <c r="A173" s="2"/>
      <c r="B173" s="2"/>
      <c r="C173" s="2"/>
      <c r="D173" s="2"/>
      <c r="E173" s="214"/>
      <c r="F173" s="1090"/>
      <c r="G173" s="113"/>
      <c r="H173" s="1488"/>
      <c r="I173" s="1492"/>
      <c r="J173" s="1492"/>
      <c r="K173" s="1492"/>
      <c r="L173" s="1492"/>
      <c r="M173" s="1492"/>
      <c r="N173" s="1492"/>
      <c r="O173" s="2"/>
      <c r="P173" s="2"/>
      <c r="Q173" s="2"/>
      <c r="R173" s="2"/>
    </row>
    <row r="174" spans="1:18" x14ac:dyDescent="0.2">
      <c r="A174" s="2"/>
      <c r="B174" s="2"/>
      <c r="C174" s="2"/>
      <c r="D174" s="2"/>
      <c r="E174" s="214"/>
      <c r="F174" s="1090"/>
      <c r="G174" s="113"/>
      <c r="H174" s="1488"/>
      <c r="I174" s="1492"/>
      <c r="J174" s="1492"/>
      <c r="K174" s="1492"/>
      <c r="L174" s="1492"/>
      <c r="M174" s="1492"/>
      <c r="N174" s="1492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14"/>
      <c r="F175" s="1090"/>
      <c r="G175" s="113"/>
      <c r="H175" s="1488"/>
      <c r="I175" s="1492"/>
      <c r="J175" s="1492"/>
      <c r="K175" s="1492"/>
      <c r="L175" s="1492"/>
      <c r="M175" s="1492"/>
      <c r="N175" s="1492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14"/>
      <c r="F176" s="1090"/>
      <c r="G176" s="113"/>
      <c r="H176" s="1488"/>
      <c r="I176" s="1492"/>
      <c r="J176" s="1492"/>
      <c r="K176" s="1492"/>
      <c r="L176" s="1492"/>
      <c r="M176" s="1492"/>
      <c r="N176" s="1492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14"/>
      <c r="F177" s="1090"/>
      <c r="G177" s="113"/>
      <c r="H177" s="1488"/>
      <c r="I177" s="1492"/>
      <c r="J177" s="1492"/>
      <c r="K177" s="1492"/>
      <c r="L177" s="1492"/>
      <c r="M177" s="1492"/>
      <c r="N177" s="1492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14"/>
      <c r="F178" s="1090"/>
      <c r="G178" s="113"/>
      <c r="H178" s="1488"/>
      <c r="I178" s="1492"/>
      <c r="J178" s="1492"/>
      <c r="K178" s="1492"/>
      <c r="L178" s="1492"/>
      <c r="M178" s="1492"/>
      <c r="N178" s="1492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14"/>
      <c r="F179" s="1090"/>
      <c r="G179" s="113"/>
      <c r="H179" s="1488"/>
      <c r="I179" s="1492"/>
      <c r="J179" s="1492"/>
      <c r="K179" s="1492"/>
      <c r="L179" s="1492"/>
      <c r="M179" s="1492"/>
      <c r="N179" s="1492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14"/>
      <c r="F180" s="1090"/>
      <c r="G180" s="113"/>
      <c r="H180" s="1488"/>
      <c r="I180" s="1492"/>
      <c r="J180" s="1492"/>
      <c r="K180" s="1492"/>
      <c r="L180" s="1492"/>
      <c r="M180" s="1492"/>
      <c r="N180" s="149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14"/>
      <c r="F181" s="1090"/>
      <c r="G181" s="113"/>
      <c r="H181" s="1488"/>
      <c r="I181" s="1492"/>
      <c r="J181" s="1492"/>
      <c r="K181" s="1492"/>
      <c r="L181" s="1492"/>
      <c r="M181" s="1492"/>
      <c r="N181" s="149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4"/>
      <c r="F182" s="1090"/>
      <c r="G182" s="113"/>
      <c r="H182" s="1488"/>
      <c r="I182" s="1492"/>
      <c r="J182" s="1492"/>
      <c r="K182" s="1492"/>
      <c r="L182" s="1492"/>
      <c r="M182" s="1492"/>
      <c r="N182" s="149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4"/>
      <c r="F183" s="1090"/>
      <c r="G183" s="113"/>
      <c r="H183" s="1488"/>
      <c r="I183" s="1492"/>
      <c r="J183" s="1492"/>
      <c r="K183" s="1492"/>
      <c r="L183" s="1492"/>
      <c r="M183" s="1492"/>
      <c r="N183" s="149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4"/>
      <c r="F184" s="1090"/>
      <c r="G184" s="113"/>
      <c r="H184" s="1488"/>
      <c r="I184" s="1492"/>
      <c r="J184" s="1492"/>
      <c r="K184" s="1492"/>
      <c r="L184" s="1492"/>
      <c r="M184" s="1492"/>
      <c r="N184" s="149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4"/>
      <c r="F185" s="1090"/>
      <c r="G185" s="113"/>
      <c r="H185" s="1488"/>
      <c r="I185" s="1492"/>
      <c r="J185" s="1492"/>
      <c r="K185" s="1492"/>
      <c r="L185" s="1492"/>
      <c r="M185" s="1492"/>
      <c r="N185" s="1492"/>
      <c r="O185" s="2"/>
      <c r="P185" s="2"/>
      <c r="Q185" s="2"/>
      <c r="R185" s="2"/>
    </row>
  </sheetData>
  <mergeCells count="249">
    <mergeCell ref="F5:F7"/>
    <mergeCell ref="G5:G7"/>
    <mergeCell ref="A8:R8"/>
    <mergeCell ref="Q20:Q21"/>
    <mergeCell ref="R20:R21"/>
    <mergeCell ref="A20:A22"/>
    <mergeCell ref="C20:C22"/>
    <mergeCell ref="F20:F22"/>
    <mergeCell ref="O20:O21"/>
    <mergeCell ref="P20:P21"/>
    <mergeCell ref="D15:D16"/>
    <mergeCell ref="O17:O18"/>
    <mergeCell ref="A9:R9"/>
    <mergeCell ref="B10:R10"/>
    <mergeCell ref="C11:R11"/>
    <mergeCell ref="C12:C13"/>
    <mergeCell ref="D12:D13"/>
    <mergeCell ref="E12:E13"/>
    <mergeCell ref="D20:D22"/>
    <mergeCell ref="E20:E22"/>
    <mergeCell ref="P29:P30"/>
    <mergeCell ref="Q29:Q30"/>
    <mergeCell ref="F24:F26"/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O6:O7"/>
    <mergeCell ref="P6:R6"/>
    <mergeCell ref="I5:L7"/>
    <mergeCell ref="M5:M7"/>
    <mergeCell ref="N5:N7"/>
    <mergeCell ref="O5:R5"/>
    <mergeCell ref="H5:H7"/>
    <mergeCell ref="R29:R30"/>
    <mergeCell ref="A29:A30"/>
    <mergeCell ref="B29:B30"/>
    <mergeCell ref="C29:C30"/>
    <mergeCell ref="D29:D30"/>
    <mergeCell ref="F27:F28"/>
    <mergeCell ref="A27:A28"/>
    <mergeCell ref="B27:B28"/>
    <mergeCell ref="C27:C28"/>
    <mergeCell ref="D27:D28"/>
    <mergeCell ref="E27:E28"/>
    <mergeCell ref="A24:A26"/>
    <mergeCell ref="C24:C26"/>
    <mergeCell ref="D24:D26"/>
    <mergeCell ref="E24:E26"/>
    <mergeCell ref="O33:O34"/>
    <mergeCell ref="D35:D36"/>
    <mergeCell ref="D31:D32"/>
    <mergeCell ref="E31:E32"/>
    <mergeCell ref="F31:F32"/>
    <mergeCell ref="D33:D34"/>
    <mergeCell ref="E33:E34"/>
    <mergeCell ref="F33:F34"/>
    <mergeCell ref="F29:F30"/>
    <mergeCell ref="O29:O30"/>
    <mergeCell ref="E29:E30"/>
    <mergeCell ref="O39:O40"/>
    <mergeCell ref="P39:P40"/>
    <mergeCell ref="Q39:Q40"/>
    <mergeCell ref="R39:R40"/>
    <mergeCell ref="D41:D42"/>
    <mergeCell ref="E41:E42"/>
    <mergeCell ref="F41:F42"/>
    <mergeCell ref="D39:D40"/>
    <mergeCell ref="E39:E40"/>
    <mergeCell ref="F39:F40"/>
    <mergeCell ref="O43:O44"/>
    <mergeCell ref="D45:D46"/>
    <mergeCell ref="E45:E46"/>
    <mergeCell ref="F45:F46"/>
    <mergeCell ref="O41:O42"/>
    <mergeCell ref="P41:P42"/>
    <mergeCell ref="Q41:Q42"/>
    <mergeCell ref="R41:R42"/>
    <mergeCell ref="D43:D44"/>
    <mergeCell ref="E43:E44"/>
    <mergeCell ref="F43:F44"/>
    <mergeCell ref="C50:R50"/>
    <mergeCell ref="B51:B52"/>
    <mergeCell ref="C51:C52"/>
    <mergeCell ref="D51:D52"/>
    <mergeCell ref="E51:E52"/>
    <mergeCell ref="F51:F52"/>
    <mergeCell ref="O47:O48"/>
    <mergeCell ref="P47:P48"/>
    <mergeCell ref="Q47:Q48"/>
    <mergeCell ref="R47:R48"/>
    <mergeCell ref="C49:G49"/>
    <mergeCell ref="O49:R49"/>
    <mergeCell ref="D47:D48"/>
    <mergeCell ref="E47:E48"/>
    <mergeCell ref="F47:F48"/>
    <mergeCell ref="F53:F54"/>
    <mergeCell ref="O53:O54"/>
    <mergeCell ref="A55:A56"/>
    <mergeCell ref="C55:C56"/>
    <mergeCell ref="D55:D56"/>
    <mergeCell ref="E55:E56"/>
    <mergeCell ref="A53:A54"/>
    <mergeCell ref="B53:B54"/>
    <mergeCell ref="C53:C54"/>
    <mergeCell ref="D53:D54"/>
    <mergeCell ref="E53:E54"/>
    <mergeCell ref="A60:A61"/>
    <mergeCell ref="B60:B61"/>
    <mergeCell ref="C60:C61"/>
    <mergeCell ref="D60:D61"/>
    <mergeCell ref="E60:E61"/>
    <mergeCell ref="F60:F61"/>
    <mergeCell ref="F55:F56"/>
    <mergeCell ref="A57:A59"/>
    <mergeCell ref="B57:B59"/>
    <mergeCell ref="C57:C59"/>
    <mergeCell ref="D57:D59"/>
    <mergeCell ref="E57:E59"/>
    <mergeCell ref="F57:F59"/>
    <mergeCell ref="F62:F63"/>
    <mergeCell ref="A64:A65"/>
    <mergeCell ref="C64:C65"/>
    <mergeCell ref="D64:D65"/>
    <mergeCell ref="E64:E65"/>
    <mergeCell ref="F64:F65"/>
    <mergeCell ref="A62:A63"/>
    <mergeCell ref="C62:C63"/>
    <mergeCell ref="D62:D63"/>
    <mergeCell ref="E62:E63"/>
    <mergeCell ref="D76:D78"/>
    <mergeCell ref="C69:R69"/>
    <mergeCell ref="D71:D74"/>
    <mergeCell ref="O71:O73"/>
    <mergeCell ref="O64:O65"/>
    <mergeCell ref="C66:G66"/>
    <mergeCell ref="P66:R66"/>
    <mergeCell ref="B67:G67"/>
    <mergeCell ref="O67:R67"/>
    <mergeCell ref="B68:R68"/>
    <mergeCell ref="D88:D90"/>
    <mergeCell ref="E89:E90"/>
    <mergeCell ref="C91:C93"/>
    <mergeCell ref="D91:D93"/>
    <mergeCell ref="F91:F93"/>
    <mergeCell ref="D79:D81"/>
    <mergeCell ref="D82:D84"/>
    <mergeCell ref="D85:D87"/>
    <mergeCell ref="E86:E87"/>
    <mergeCell ref="D105:D107"/>
    <mergeCell ref="E105:E106"/>
    <mergeCell ref="F105:F107"/>
    <mergeCell ref="O105:O107"/>
    <mergeCell ref="R102:R104"/>
    <mergeCell ref="D100:D101"/>
    <mergeCell ref="D95:D98"/>
    <mergeCell ref="O95:O99"/>
    <mergeCell ref="E134:E135"/>
    <mergeCell ref="F134:F135"/>
    <mergeCell ref="D115:D116"/>
    <mergeCell ref="E115:E116"/>
    <mergeCell ref="F112:F113"/>
    <mergeCell ref="O113:O114"/>
    <mergeCell ref="D112:D114"/>
    <mergeCell ref="E112:E114"/>
    <mergeCell ref="D134:D135"/>
    <mergeCell ref="D108:D110"/>
    <mergeCell ref="E108:E110"/>
    <mergeCell ref="F108:F110"/>
    <mergeCell ref="O108:O110"/>
    <mergeCell ref="A119:A120"/>
    <mergeCell ref="B119:B120"/>
    <mergeCell ref="D119:D120"/>
    <mergeCell ref="E119:E120"/>
    <mergeCell ref="F119:F120"/>
    <mergeCell ref="C117:G117"/>
    <mergeCell ref="O117:R117"/>
    <mergeCell ref="D136:D137"/>
    <mergeCell ref="E136:E137"/>
    <mergeCell ref="F136:F137"/>
    <mergeCell ref="O136:O137"/>
    <mergeCell ref="C124:G124"/>
    <mergeCell ref="O124:R124"/>
    <mergeCell ref="C125:R125"/>
    <mergeCell ref="O119:O120"/>
    <mergeCell ref="D121:D123"/>
    <mergeCell ref="E121:E123"/>
    <mergeCell ref="F121:F123"/>
    <mergeCell ref="O138:O139"/>
    <mergeCell ref="A143:A145"/>
    <mergeCell ref="B143:B145"/>
    <mergeCell ref="D143:D145"/>
    <mergeCell ref="E143:E145"/>
    <mergeCell ref="F143:F145"/>
    <mergeCell ref="D141:D142"/>
    <mergeCell ref="A138:A139"/>
    <mergeCell ref="B138:B139"/>
    <mergeCell ref="D138:D139"/>
    <mergeCell ref="E138:E139"/>
    <mergeCell ref="F138:F139"/>
    <mergeCell ref="A150:N150"/>
    <mergeCell ref="A151:G151"/>
    <mergeCell ref="I151:L151"/>
    <mergeCell ref="P151:Q151"/>
    <mergeCell ref="C146:G146"/>
    <mergeCell ref="O146:R146"/>
    <mergeCell ref="B147:G147"/>
    <mergeCell ref="O147:R147"/>
    <mergeCell ref="B148:G148"/>
    <mergeCell ref="O148:R148"/>
    <mergeCell ref="I155:L155"/>
    <mergeCell ref="P155:Q155"/>
    <mergeCell ref="A154:G154"/>
    <mergeCell ref="I154:L154"/>
    <mergeCell ref="A152:G152"/>
    <mergeCell ref="I152:L152"/>
    <mergeCell ref="P152:Q152"/>
    <mergeCell ref="A153:G153"/>
    <mergeCell ref="I153:L153"/>
    <mergeCell ref="P153:Q153"/>
    <mergeCell ref="P160:Q160"/>
    <mergeCell ref="D37:D38"/>
    <mergeCell ref="E37:E38"/>
    <mergeCell ref="F37:F38"/>
    <mergeCell ref="D102:D104"/>
    <mergeCell ref="O102:O104"/>
    <mergeCell ref="P102:P104"/>
    <mergeCell ref="Q102:Q104"/>
    <mergeCell ref="E104:G104"/>
    <mergeCell ref="A160:G160"/>
    <mergeCell ref="I160:L160"/>
    <mergeCell ref="A159:G159"/>
    <mergeCell ref="I159:L159"/>
    <mergeCell ref="A157:G157"/>
    <mergeCell ref="I157:L157"/>
    <mergeCell ref="P157:Q157"/>
    <mergeCell ref="A158:G158"/>
    <mergeCell ref="I158:L158"/>
    <mergeCell ref="P158:Q158"/>
    <mergeCell ref="A156:G156"/>
    <mergeCell ref="I156:L156"/>
    <mergeCell ref="P156:Q156"/>
    <mergeCell ref="P154:Q154"/>
    <mergeCell ref="A155:G15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2" orientation="portrait" r:id="rId1"/>
  <rowBreaks count="2" manualBreakCount="2">
    <brk id="63" max="16" man="1"/>
    <brk id="120" max="16" man="1"/>
  </rowBreaks>
  <colBreaks count="1" manualBreakCount="1">
    <brk id="18" max="1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07"/>
  <sheetViews>
    <sheetView tabSelected="1" zoomScaleNormal="100" zoomScaleSheetLayoutView="80" workbookViewId="0">
      <selection sqref="A1:O1"/>
    </sheetView>
  </sheetViews>
  <sheetFormatPr defaultRowHeight="12.75" x14ac:dyDescent="0.2"/>
  <cols>
    <col min="1" max="3" width="2.42578125" style="1620" customWidth="1"/>
    <col min="4" max="4" width="31" style="1495" customWidth="1"/>
    <col min="5" max="5" width="3" style="1561" customWidth="1"/>
    <col min="6" max="6" width="2.85546875" style="1901" customWidth="1"/>
    <col min="7" max="7" width="3" style="1561" customWidth="1"/>
    <col min="8" max="8" width="7.7109375" style="2295" customWidth="1"/>
    <col min="9" max="9" width="8" style="2405" customWidth="1"/>
    <col min="10" max="10" width="8.7109375" style="2405" customWidth="1"/>
    <col min="11" max="11" width="8" style="2405" customWidth="1"/>
    <col min="12" max="12" width="22.85546875" style="1495" customWidth="1"/>
    <col min="13" max="14" width="5.7109375" style="1561" customWidth="1"/>
    <col min="15" max="15" width="5.7109375" style="1512" customWidth="1"/>
    <col min="16" max="16" width="9.140625" style="1492" hidden="1" customWidth="1"/>
    <col min="17" max="16384" width="9.140625" style="1492"/>
  </cols>
  <sheetData>
    <row r="1" spans="1:15" s="2906" customFormat="1" ht="15.75" x14ac:dyDescent="0.2">
      <c r="A1" s="3647" t="s">
        <v>452</v>
      </c>
      <c r="B1" s="3647"/>
      <c r="C1" s="3647"/>
      <c r="D1" s="3647"/>
      <c r="E1" s="3647"/>
      <c r="F1" s="3647"/>
      <c r="G1" s="3647"/>
      <c r="H1" s="3647"/>
      <c r="I1" s="3647"/>
      <c r="J1" s="3647"/>
      <c r="K1" s="3647"/>
      <c r="L1" s="3647"/>
      <c r="M1" s="3647"/>
      <c r="N1" s="3647"/>
      <c r="O1" s="3647"/>
    </row>
    <row r="2" spans="1:15" s="2906" customFormat="1" ht="15.75" x14ac:dyDescent="0.2">
      <c r="A2" s="3648" t="s">
        <v>39</v>
      </c>
      <c r="B2" s="3648"/>
      <c r="C2" s="3648"/>
      <c r="D2" s="3648"/>
      <c r="E2" s="3648"/>
      <c r="F2" s="3648"/>
      <c r="G2" s="3648"/>
      <c r="H2" s="3648"/>
      <c r="I2" s="3648"/>
      <c r="J2" s="3648"/>
      <c r="K2" s="3648"/>
      <c r="L2" s="3648"/>
      <c r="M2" s="3648"/>
      <c r="N2" s="3648"/>
      <c r="O2" s="3648"/>
    </row>
    <row r="3" spans="1:15" s="2906" customFormat="1" ht="15.75" x14ac:dyDescent="0.2">
      <c r="A3" s="3649" t="s">
        <v>223</v>
      </c>
      <c r="B3" s="3649"/>
      <c r="C3" s="3649"/>
      <c r="D3" s="3649"/>
      <c r="E3" s="3649"/>
      <c r="F3" s="3649"/>
      <c r="G3" s="3649"/>
      <c r="H3" s="3649"/>
      <c r="I3" s="3649"/>
      <c r="J3" s="3649"/>
      <c r="K3" s="3649"/>
      <c r="L3" s="3649"/>
      <c r="M3" s="3649"/>
      <c r="N3" s="3649"/>
      <c r="O3" s="3649"/>
    </row>
    <row r="4" spans="1:15" ht="13.5" thickBot="1" x14ac:dyDescent="0.25">
      <c r="A4" s="2275"/>
      <c r="B4" s="2275"/>
      <c r="C4" s="3650" t="s">
        <v>467</v>
      </c>
      <c r="D4" s="3650"/>
      <c r="E4" s="3650"/>
      <c r="F4" s="3650"/>
      <c r="G4" s="3650"/>
      <c r="H4" s="3650"/>
      <c r="I4" s="3650"/>
      <c r="J4" s="3650"/>
      <c r="K4" s="3650"/>
      <c r="L4" s="3650"/>
      <c r="M4" s="3650"/>
      <c r="N4" s="3650"/>
      <c r="O4" s="3650"/>
    </row>
    <row r="5" spans="1:15" ht="23.25" customHeight="1" x14ac:dyDescent="0.2">
      <c r="A5" s="3651" t="s">
        <v>12</v>
      </c>
      <c r="B5" s="3654" t="s">
        <v>13</v>
      </c>
      <c r="C5" s="3654" t="s">
        <v>14</v>
      </c>
      <c r="D5" s="3657" t="s">
        <v>31</v>
      </c>
      <c r="E5" s="3660" t="s">
        <v>15</v>
      </c>
      <c r="F5" s="3641" t="s">
        <v>91</v>
      </c>
      <c r="G5" s="3644" t="s">
        <v>16</v>
      </c>
      <c r="H5" s="3404" t="s">
        <v>17</v>
      </c>
      <c r="I5" s="3630" t="s">
        <v>461</v>
      </c>
      <c r="J5" s="3630" t="s">
        <v>325</v>
      </c>
      <c r="K5" s="3630" t="s">
        <v>462</v>
      </c>
      <c r="L5" s="3633" t="s">
        <v>72</v>
      </c>
      <c r="M5" s="3634"/>
      <c r="N5" s="3634"/>
      <c r="O5" s="3635"/>
    </row>
    <row r="6" spans="1:15" ht="12.75" customHeight="1" x14ac:dyDescent="0.2">
      <c r="A6" s="3652"/>
      <c r="B6" s="3655"/>
      <c r="C6" s="3655"/>
      <c r="D6" s="3658"/>
      <c r="E6" s="3661"/>
      <c r="F6" s="3642"/>
      <c r="G6" s="3645"/>
      <c r="H6" s="3405"/>
      <c r="I6" s="3631"/>
      <c r="J6" s="3631"/>
      <c r="K6" s="3631"/>
      <c r="L6" s="3636" t="s">
        <v>31</v>
      </c>
      <c r="M6" s="3638" t="s">
        <v>293</v>
      </c>
      <c r="N6" s="3639"/>
      <c r="O6" s="3640"/>
    </row>
    <row r="7" spans="1:15" ht="77.25" customHeight="1" thickBot="1" x14ac:dyDescent="0.25">
      <c r="A7" s="3653"/>
      <c r="B7" s="3656"/>
      <c r="C7" s="3656"/>
      <c r="D7" s="3659"/>
      <c r="E7" s="3662"/>
      <c r="F7" s="3643"/>
      <c r="G7" s="3646"/>
      <c r="H7" s="3406"/>
      <c r="I7" s="3632"/>
      <c r="J7" s="3632"/>
      <c r="K7" s="3632"/>
      <c r="L7" s="3637"/>
      <c r="M7" s="1600" t="s">
        <v>107</v>
      </c>
      <c r="N7" s="1600" t="s">
        <v>230</v>
      </c>
      <c r="O7" s="1601" t="s">
        <v>331</v>
      </c>
    </row>
    <row r="8" spans="1:15" ht="13.5" thickBot="1" x14ac:dyDescent="0.25">
      <c r="A8" s="3615" t="s">
        <v>364</v>
      </c>
      <c r="B8" s="3616"/>
      <c r="C8" s="3616"/>
      <c r="D8" s="3616"/>
      <c r="E8" s="3616"/>
      <c r="F8" s="3616"/>
      <c r="G8" s="3616"/>
      <c r="H8" s="3616"/>
      <c r="I8" s="3616"/>
      <c r="J8" s="3616"/>
      <c r="K8" s="3616"/>
      <c r="L8" s="3616"/>
      <c r="M8" s="3616"/>
      <c r="N8" s="3616"/>
      <c r="O8" s="3617"/>
    </row>
    <row r="9" spans="1:15" ht="13.5" thickBot="1" x14ac:dyDescent="0.25">
      <c r="A9" s="3618" t="s">
        <v>40</v>
      </c>
      <c r="B9" s="3619"/>
      <c r="C9" s="3619"/>
      <c r="D9" s="3619"/>
      <c r="E9" s="3619"/>
      <c r="F9" s="3619"/>
      <c r="G9" s="3619"/>
      <c r="H9" s="3619"/>
      <c r="I9" s="3619"/>
      <c r="J9" s="3619"/>
      <c r="K9" s="3619"/>
      <c r="L9" s="3619"/>
      <c r="M9" s="3619"/>
      <c r="N9" s="3619"/>
      <c r="O9" s="3620"/>
    </row>
    <row r="10" spans="1:15" ht="13.5" thickBot="1" x14ac:dyDescent="0.25">
      <c r="A10" s="2062" t="s">
        <v>20</v>
      </c>
      <c r="B10" s="3621" t="s">
        <v>51</v>
      </c>
      <c r="C10" s="3622"/>
      <c r="D10" s="3622"/>
      <c r="E10" s="3622"/>
      <c r="F10" s="3622"/>
      <c r="G10" s="3622"/>
      <c r="H10" s="3622"/>
      <c r="I10" s="3622"/>
      <c r="J10" s="3622"/>
      <c r="K10" s="3622"/>
      <c r="L10" s="3622"/>
      <c r="M10" s="3622"/>
      <c r="N10" s="3622"/>
      <c r="O10" s="3623"/>
    </row>
    <row r="11" spans="1:15" ht="13.5" thickBot="1" x14ac:dyDescent="0.25">
      <c r="A11" s="2303" t="s">
        <v>20</v>
      </c>
      <c r="B11" s="97" t="s">
        <v>20</v>
      </c>
      <c r="C11" s="3624" t="s">
        <v>401</v>
      </c>
      <c r="D11" s="3625"/>
      <c r="E11" s="3625"/>
      <c r="F11" s="3625"/>
      <c r="G11" s="3625"/>
      <c r="H11" s="3444"/>
      <c r="I11" s="3444"/>
      <c r="J11" s="3444"/>
      <c r="K11" s="3444"/>
      <c r="L11" s="3444"/>
      <c r="M11" s="3444"/>
      <c r="N11" s="3444"/>
      <c r="O11" s="3445"/>
    </row>
    <row r="12" spans="1:15" x14ac:dyDescent="0.2">
      <c r="A12" s="25" t="s">
        <v>20</v>
      </c>
      <c r="B12" s="16" t="s">
        <v>20</v>
      </c>
      <c r="C12" s="3009" t="s">
        <v>20</v>
      </c>
      <c r="D12" s="3626" t="s">
        <v>104</v>
      </c>
      <c r="E12" s="3628"/>
      <c r="F12" s="3000" t="s">
        <v>21</v>
      </c>
      <c r="G12" s="3629">
        <v>2</v>
      </c>
      <c r="H12" s="1779" t="s">
        <v>22</v>
      </c>
      <c r="I12" s="2448">
        <f>22511.1+106.5</f>
        <v>22617.599999999999</v>
      </c>
      <c r="J12" s="2448">
        <f>22188.2+300</f>
        <v>22488.2</v>
      </c>
      <c r="K12" s="2448">
        <f>22168.2+300</f>
        <v>22468.2</v>
      </c>
      <c r="L12" s="2453"/>
      <c r="M12" s="1610"/>
      <c r="N12" s="1610"/>
      <c r="O12" s="2455"/>
    </row>
    <row r="13" spans="1:15" x14ac:dyDescent="0.2">
      <c r="A13" s="26"/>
      <c r="B13" s="27"/>
      <c r="C13" s="2953"/>
      <c r="D13" s="3627"/>
      <c r="E13" s="3611"/>
      <c r="F13" s="3001"/>
      <c r="G13" s="3614"/>
      <c r="H13" s="1254" t="s">
        <v>25</v>
      </c>
      <c r="I13" s="2449">
        <v>31152.9</v>
      </c>
      <c r="J13" s="2449">
        <v>31152.9</v>
      </c>
      <c r="K13" s="2449">
        <v>31152.9</v>
      </c>
      <c r="L13" s="2288"/>
      <c r="M13" s="1864"/>
      <c r="N13" s="1512"/>
      <c r="O13" s="1872"/>
    </row>
    <row r="14" spans="1:15" s="1581" customFormat="1" ht="16.5" customHeight="1" x14ac:dyDescent="0.2">
      <c r="A14" s="26"/>
      <c r="B14" s="2249"/>
      <c r="C14" s="154"/>
      <c r="D14" s="3562" t="s">
        <v>393</v>
      </c>
      <c r="E14" s="1748"/>
      <c r="F14" s="1900"/>
      <c r="G14" s="1586"/>
      <c r="H14" s="1618" t="s">
        <v>93</v>
      </c>
      <c r="I14" s="2366">
        <v>5663.9</v>
      </c>
      <c r="J14" s="2408">
        <v>5663.9</v>
      </c>
      <c r="K14" s="2408">
        <v>5663.9</v>
      </c>
      <c r="L14" s="2293" t="s">
        <v>355</v>
      </c>
      <c r="M14" s="1751" t="s">
        <v>239</v>
      </c>
      <c r="N14" s="1751" t="s">
        <v>240</v>
      </c>
      <c r="O14" s="1752" t="s">
        <v>356</v>
      </c>
    </row>
    <row r="15" spans="1:15" s="1581" customFormat="1" ht="15" customHeight="1" x14ac:dyDescent="0.2">
      <c r="A15" s="26"/>
      <c r="B15" s="27"/>
      <c r="C15" s="154"/>
      <c r="D15" s="3562"/>
      <c r="E15" s="1748"/>
      <c r="F15" s="1900"/>
      <c r="G15" s="1586"/>
      <c r="H15" s="1254"/>
      <c r="I15" s="2421"/>
      <c r="J15" s="2409"/>
      <c r="K15" s="2409"/>
      <c r="L15" s="1754" t="s">
        <v>247</v>
      </c>
      <c r="M15" s="1530" t="s">
        <v>357</v>
      </c>
      <c r="N15" s="2267" t="s">
        <v>243</v>
      </c>
      <c r="O15" s="1755" t="s">
        <v>358</v>
      </c>
    </row>
    <row r="16" spans="1:15" s="1581" customFormat="1" ht="14.25" customHeight="1" x14ac:dyDescent="0.2">
      <c r="A16" s="26"/>
      <c r="B16" s="27"/>
      <c r="C16" s="154"/>
      <c r="D16" s="3562"/>
      <c r="E16" s="1748"/>
      <c r="F16" s="1900"/>
      <c r="G16" s="1586"/>
      <c r="H16" s="1330"/>
      <c r="I16" s="2450"/>
      <c r="J16" s="2409"/>
      <c r="K16" s="2409"/>
      <c r="L16" s="3435" t="s">
        <v>295</v>
      </c>
      <c r="M16" s="1757">
        <v>12</v>
      </c>
      <c r="N16" s="1757">
        <v>14</v>
      </c>
      <c r="O16" s="1758">
        <v>16</v>
      </c>
    </row>
    <row r="17" spans="1:19" s="1581" customFormat="1" ht="14.25" customHeight="1" x14ac:dyDescent="0.2">
      <c r="A17" s="26"/>
      <c r="B17" s="27"/>
      <c r="C17" s="154"/>
      <c r="D17" s="3562"/>
      <c r="E17" s="1748"/>
      <c r="F17" s="1900"/>
      <c r="G17" s="1586"/>
      <c r="H17" s="1330"/>
      <c r="I17" s="2421"/>
      <c r="J17" s="2409"/>
      <c r="K17" s="2409"/>
      <c r="L17" s="3436"/>
      <c r="M17" s="1530"/>
      <c r="N17" s="1530"/>
      <c r="O17" s="1994"/>
    </row>
    <row r="18" spans="1:19" s="1581" customFormat="1" ht="15" customHeight="1" x14ac:dyDescent="0.2">
      <c r="A18" s="26"/>
      <c r="B18" s="27"/>
      <c r="C18" s="154"/>
      <c r="D18" s="1636"/>
      <c r="E18" s="1748"/>
      <c r="F18" s="1900"/>
      <c r="G18" s="1586"/>
      <c r="H18" s="1330"/>
      <c r="I18" s="2421"/>
      <c r="J18" s="2409"/>
      <c r="K18" s="2409"/>
      <c r="L18" s="2413" t="s">
        <v>248</v>
      </c>
      <c r="M18" s="1815">
        <v>420</v>
      </c>
      <c r="N18" s="1815">
        <v>460</v>
      </c>
      <c r="O18" s="1764">
        <v>500</v>
      </c>
    </row>
    <row r="19" spans="1:19" ht="12.75" customHeight="1" x14ac:dyDescent="0.2">
      <c r="A19" s="3073"/>
      <c r="B19" s="27"/>
      <c r="C19" s="2952"/>
      <c r="D19" s="3604" t="s">
        <v>440</v>
      </c>
      <c r="E19" s="3609"/>
      <c r="F19" s="2963"/>
      <c r="G19" s="3612"/>
      <c r="H19" s="1254"/>
      <c r="I19" s="2421"/>
      <c r="J19" s="2319"/>
      <c r="K19" s="2319"/>
      <c r="L19" s="3437" t="s">
        <v>296</v>
      </c>
      <c r="M19" s="1815">
        <v>7</v>
      </c>
      <c r="N19" s="1815">
        <v>6</v>
      </c>
      <c r="O19" s="1764">
        <v>5</v>
      </c>
    </row>
    <row r="20" spans="1:19" x14ac:dyDescent="0.2">
      <c r="A20" s="3073"/>
      <c r="B20" s="27"/>
      <c r="C20" s="2952"/>
      <c r="D20" s="3604"/>
      <c r="E20" s="3610"/>
      <c r="F20" s="2971"/>
      <c r="G20" s="3613"/>
      <c r="H20" s="1254"/>
      <c r="I20" s="2421"/>
      <c r="J20" s="2319"/>
      <c r="K20" s="2319"/>
      <c r="L20" s="3438"/>
      <c r="M20" s="2297"/>
      <c r="N20" s="2297"/>
      <c r="O20" s="2301"/>
    </row>
    <row r="21" spans="1:19" x14ac:dyDescent="0.2">
      <c r="A21" s="3073"/>
      <c r="B21" s="27"/>
      <c r="C21" s="2953"/>
      <c r="D21" s="3604"/>
      <c r="E21" s="3610"/>
      <c r="F21" s="2971"/>
      <c r="G21" s="3613"/>
      <c r="H21" s="1330"/>
      <c r="I21" s="2450"/>
      <c r="J21" s="2319"/>
      <c r="K21" s="2319"/>
      <c r="L21" s="2286" t="s">
        <v>297</v>
      </c>
      <c r="M21" s="1815">
        <v>1090</v>
      </c>
      <c r="N21" s="1815">
        <v>890</v>
      </c>
      <c r="O21" s="1764">
        <v>720</v>
      </c>
    </row>
    <row r="22" spans="1:19" ht="12.75" customHeight="1" x14ac:dyDescent="0.2">
      <c r="A22" s="3073"/>
      <c r="B22" s="27"/>
      <c r="C22" s="2953"/>
      <c r="D22" s="3428"/>
      <c r="E22" s="3611"/>
      <c r="F22" s="3001"/>
      <c r="G22" s="3614"/>
      <c r="H22" s="1330"/>
      <c r="I22" s="2421"/>
      <c r="J22" s="2328"/>
      <c r="K22" s="2328"/>
      <c r="L22" s="2414" t="s">
        <v>249</v>
      </c>
      <c r="M22" s="1384">
        <v>990</v>
      </c>
      <c r="N22" s="1384">
        <v>970</v>
      </c>
      <c r="O22" s="1385">
        <v>940</v>
      </c>
    </row>
    <row r="23" spans="1:19" ht="14.25" customHeight="1" x14ac:dyDescent="0.2">
      <c r="A23" s="3017"/>
      <c r="B23" s="2249"/>
      <c r="C23" s="3018"/>
      <c r="D23" s="3604" t="s">
        <v>394</v>
      </c>
      <c r="E23" s="3609"/>
      <c r="F23" s="3023"/>
      <c r="G23" s="3596"/>
      <c r="H23" s="1254"/>
      <c r="I23" s="2450"/>
      <c r="J23" s="2319"/>
      <c r="K23" s="2319"/>
      <c r="L23" s="1681" t="s">
        <v>355</v>
      </c>
      <c r="M23" s="1525">
        <v>32</v>
      </c>
      <c r="N23" s="1525">
        <v>32</v>
      </c>
      <c r="O23" s="1682">
        <v>32</v>
      </c>
    </row>
    <row r="24" spans="1:19" ht="14.25" customHeight="1" x14ac:dyDescent="0.2">
      <c r="A24" s="3017"/>
      <c r="B24" s="2249"/>
      <c r="C24" s="3018"/>
      <c r="D24" s="3604"/>
      <c r="E24" s="3610"/>
      <c r="F24" s="3028"/>
      <c r="G24" s="3603"/>
      <c r="H24" s="1254"/>
      <c r="I24" s="2421"/>
      <c r="J24" s="2319"/>
      <c r="K24" s="2319"/>
      <c r="L24" s="1681" t="s">
        <v>361</v>
      </c>
      <c r="M24" s="1615">
        <v>16470</v>
      </c>
      <c r="N24" s="1615">
        <v>16480</v>
      </c>
      <c r="O24" s="1616">
        <v>16480</v>
      </c>
    </row>
    <row r="25" spans="1:19" ht="30" customHeight="1" x14ac:dyDescent="0.2">
      <c r="A25" s="3017"/>
      <c r="B25" s="2249"/>
      <c r="C25" s="3018"/>
      <c r="D25" s="3604"/>
      <c r="E25" s="3610"/>
      <c r="F25" s="3028"/>
      <c r="G25" s="3603"/>
      <c r="H25" s="1254"/>
      <c r="I25" s="2421"/>
      <c r="J25" s="2319"/>
      <c r="K25" s="2319"/>
      <c r="L25" s="1770" t="s">
        <v>362</v>
      </c>
      <c r="M25" s="1658">
        <v>4</v>
      </c>
      <c r="N25" s="1658">
        <v>4</v>
      </c>
      <c r="O25" s="1732">
        <v>4</v>
      </c>
    </row>
    <row r="26" spans="1:19" ht="14.25" customHeight="1" x14ac:dyDescent="0.2">
      <c r="A26" s="3017"/>
      <c r="B26" s="2249"/>
      <c r="C26" s="3018"/>
      <c r="D26" s="3604"/>
      <c r="E26" s="3611"/>
      <c r="F26" s="3249"/>
      <c r="G26" s="3597"/>
      <c r="H26" s="1330"/>
      <c r="I26" s="2450"/>
      <c r="J26" s="2319"/>
      <c r="K26" s="2319"/>
      <c r="L26" s="1681" t="s">
        <v>361</v>
      </c>
      <c r="M26" s="1539">
        <v>620</v>
      </c>
      <c r="N26" s="1539">
        <v>630</v>
      </c>
      <c r="O26" s="2407">
        <v>650</v>
      </c>
    </row>
    <row r="27" spans="1:19" ht="25.5" x14ac:dyDescent="0.2">
      <c r="A27" s="3019"/>
      <c r="B27" s="3020"/>
      <c r="C27" s="2953"/>
      <c r="D27" s="3604" t="s">
        <v>441</v>
      </c>
      <c r="E27" s="3605"/>
      <c r="F27" s="3023"/>
      <c r="G27" s="3601"/>
      <c r="H27" s="1254"/>
      <c r="I27" s="2450"/>
      <c r="J27" s="2328"/>
      <c r="K27" s="2328"/>
      <c r="L27" s="1770" t="s">
        <v>469</v>
      </c>
      <c r="M27" s="1658">
        <v>6</v>
      </c>
      <c r="N27" s="1658">
        <v>6</v>
      </c>
      <c r="O27" s="1732">
        <v>6</v>
      </c>
    </row>
    <row r="28" spans="1:19" x14ac:dyDescent="0.2">
      <c r="A28" s="3017"/>
      <c r="B28" s="3021"/>
      <c r="C28" s="2953"/>
      <c r="D28" s="3439"/>
      <c r="E28" s="3605"/>
      <c r="F28" s="3023"/>
      <c r="G28" s="3601"/>
      <c r="H28" s="1330"/>
      <c r="I28" s="2450"/>
      <c r="J28" s="2365"/>
      <c r="K28" s="2321"/>
      <c r="L28" s="1681" t="s">
        <v>248</v>
      </c>
      <c r="M28" s="1658">
        <v>6300</v>
      </c>
      <c r="N28" s="1658">
        <v>5350</v>
      </c>
      <c r="O28" s="1732">
        <v>5400</v>
      </c>
    </row>
    <row r="29" spans="1:19" ht="28.5" customHeight="1" x14ac:dyDescent="0.2">
      <c r="A29" s="3017"/>
      <c r="B29" s="3021"/>
      <c r="C29" s="2953"/>
      <c r="D29" s="3439"/>
      <c r="E29" s="3606"/>
      <c r="F29" s="3607"/>
      <c r="G29" s="3608"/>
      <c r="H29" s="1330"/>
      <c r="I29" s="2450"/>
      <c r="J29" s="2365"/>
      <c r="K29" s="2321"/>
      <c r="L29" s="2277" t="s">
        <v>267</v>
      </c>
      <c r="M29" s="1878">
        <v>90</v>
      </c>
      <c r="N29" s="1878">
        <v>90</v>
      </c>
      <c r="O29" s="1879">
        <v>90</v>
      </c>
      <c r="Q29" s="3583"/>
      <c r="R29" s="3583"/>
      <c r="S29" s="3583"/>
    </row>
    <row r="30" spans="1:19" s="1581" customFormat="1" x14ac:dyDescent="0.2">
      <c r="A30" s="3017"/>
      <c r="B30" s="3021"/>
      <c r="C30" s="2953"/>
      <c r="D30" s="3591" t="s">
        <v>143</v>
      </c>
      <c r="E30" s="3600"/>
      <c r="F30" s="2963"/>
      <c r="G30" s="3601"/>
      <c r="H30" s="1254"/>
      <c r="I30" s="2421"/>
      <c r="J30" s="2325"/>
      <c r="K30" s="2326"/>
      <c r="L30" s="3580" t="s">
        <v>365</v>
      </c>
      <c r="M30" s="3581">
        <v>5450</v>
      </c>
      <c r="N30" s="3581">
        <v>5450</v>
      </c>
      <c r="O30" s="3582">
        <v>5450</v>
      </c>
      <c r="P30" s="1780"/>
      <c r="Q30" s="3584"/>
      <c r="R30" s="3584"/>
      <c r="S30" s="3584"/>
    </row>
    <row r="31" spans="1:19" s="1581" customFormat="1" x14ac:dyDescent="0.2">
      <c r="A31" s="3017"/>
      <c r="B31" s="3021"/>
      <c r="C31" s="2953"/>
      <c r="D31" s="3591"/>
      <c r="E31" s="3430"/>
      <c r="F31" s="3001"/>
      <c r="G31" s="3602"/>
      <c r="H31" s="1330"/>
      <c r="I31" s="2421"/>
      <c r="J31" s="2325"/>
      <c r="K31" s="2326"/>
      <c r="L31" s="3580"/>
      <c r="M31" s="3581"/>
      <c r="N31" s="3581"/>
      <c r="O31" s="3582"/>
    </row>
    <row r="32" spans="1:19" s="1581" customFormat="1" x14ac:dyDescent="0.2">
      <c r="A32" s="184"/>
      <c r="B32" s="27"/>
      <c r="C32" s="185"/>
      <c r="D32" s="3591" t="s">
        <v>442</v>
      </c>
      <c r="E32" s="3594"/>
      <c r="F32" s="2963"/>
      <c r="G32" s="3596"/>
      <c r="H32" s="1254"/>
      <c r="I32" s="2450"/>
      <c r="J32" s="2325"/>
      <c r="K32" s="2326"/>
      <c r="L32" s="2415" t="s">
        <v>366</v>
      </c>
      <c r="M32" s="1814">
        <f>SUM(M33:M35)</f>
        <v>160</v>
      </c>
      <c r="N32" s="1814">
        <f t="shared" ref="N32:O32" si="0">SUM(N33:N35)</f>
        <v>160</v>
      </c>
      <c r="O32" s="1619">
        <f t="shared" si="0"/>
        <v>160</v>
      </c>
    </row>
    <row r="33" spans="1:17" s="1581" customFormat="1" x14ac:dyDescent="0.2">
      <c r="A33" s="184"/>
      <c r="B33" s="27"/>
      <c r="C33" s="185"/>
      <c r="D33" s="3592"/>
      <c r="E33" s="3594"/>
      <c r="F33" s="2963"/>
      <c r="G33" s="3596"/>
      <c r="H33" s="1330"/>
      <c r="I33" s="2421"/>
      <c r="J33" s="2325"/>
      <c r="K33" s="2326"/>
      <c r="L33" s="1788" t="s">
        <v>481</v>
      </c>
      <c r="M33" s="1645">
        <v>90</v>
      </c>
      <c r="N33" s="1645">
        <v>90</v>
      </c>
      <c r="O33" s="1648">
        <v>90</v>
      </c>
    </row>
    <row r="34" spans="1:17" s="1581" customFormat="1" x14ac:dyDescent="0.2">
      <c r="A34" s="184"/>
      <c r="B34" s="27"/>
      <c r="C34" s="185"/>
      <c r="D34" s="3592"/>
      <c r="E34" s="3594"/>
      <c r="F34" s="2963"/>
      <c r="G34" s="3596"/>
      <c r="H34" s="1330"/>
      <c r="I34" s="2421"/>
      <c r="J34" s="2325"/>
      <c r="K34" s="2326"/>
      <c r="L34" s="1661" t="s">
        <v>482</v>
      </c>
      <c r="M34" s="1613">
        <v>30</v>
      </c>
      <c r="N34" s="1613">
        <v>30</v>
      </c>
      <c r="O34" s="1369">
        <v>30</v>
      </c>
    </row>
    <row r="35" spans="1:17" s="1581" customFormat="1" x14ac:dyDescent="0.2">
      <c r="A35" s="184"/>
      <c r="B35" s="27"/>
      <c r="C35" s="185"/>
      <c r="D35" s="3593"/>
      <c r="E35" s="3595"/>
      <c r="F35" s="3001"/>
      <c r="G35" s="3597"/>
      <c r="H35" s="1330"/>
      <c r="I35" s="2421"/>
      <c r="J35" s="2325"/>
      <c r="K35" s="2326"/>
      <c r="L35" s="2416" t="s">
        <v>483</v>
      </c>
      <c r="M35" s="1365">
        <v>40</v>
      </c>
      <c r="N35" s="1365">
        <v>40</v>
      </c>
      <c r="O35" s="1350">
        <v>40</v>
      </c>
    </row>
    <row r="36" spans="1:17" s="1581" customFormat="1" ht="27" customHeight="1" x14ac:dyDescent="0.2">
      <c r="A36" s="184"/>
      <c r="B36" s="27"/>
      <c r="C36" s="154"/>
      <c r="D36" s="3598" t="s">
        <v>191</v>
      </c>
      <c r="E36" s="3600"/>
      <c r="F36" s="2963"/>
      <c r="G36" s="3601"/>
      <c r="H36" s="1254"/>
      <c r="I36" s="2421"/>
      <c r="J36" s="2325"/>
      <c r="K36" s="2326"/>
      <c r="L36" s="1793" t="s">
        <v>117</v>
      </c>
      <c r="M36" s="2126">
        <v>260</v>
      </c>
      <c r="N36" s="2126">
        <v>270</v>
      </c>
      <c r="O36" s="2127">
        <v>280</v>
      </c>
    </row>
    <row r="37" spans="1:17" s="1581" customFormat="1" ht="12.75" customHeight="1" x14ac:dyDescent="0.2">
      <c r="A37" s="184"/>
      <c r="B37" s="27"/>
      <c r="C37" s="154"/>
      <c r="D37" s="3599"/>
      <c r="E37" s="3430"/>
      <c r="F37" s="3001"/>
      <c r="G37" s="3602"/>
      <c r="H37" s="1254"/>
      <c r="I37" s="2451"/>
      <c r="J37" s="2325"/>
      <c r="K37" s="2326"/>
      <c r="L37" s="1791" t="s">
        <v>367</v>
      </c>
      <c r="M37" s="1850">
        <v>760</v>
      </c>
      <c r="N37" s="1850">
        <v>760</v>
      </c>
      <c r="O37" s="1792">
        <v>760</v>
      </c>
    </row>
    <row r="38" spans="1:17" ht="31.5" customHeight="1" x14ac:dyDescent="0.2">
      <c r="A38" s="3585"/>
      <c r="B38" s="3586"/>
      <c r="C38" s="3587"/>
      <c r="D38" s="3589" t="s">
        <v>379</v>
      </c>
      <c r="E38" s="3547" t="s">
        <v>123</v>
      </c>
      <c r="F38" s="3576"/>
      <c r="G38" s="3577"/>
      <c r="H38" s="1254"/>
      <c r="I38" s="2331"/>
      <c r="J38" s="2328"/>
      <c r="K38" s="2327"/>
      <c r="L38" s="1985" t="s">
        <v>470</v>
      </c>
      <c r="M38" s="1711">
        <v>2</v>
      </c>
      <c r="N38" s="1711">
        <v>3</v>
      </c>
      <c r="O38" s="1712">
        <v>3</v>
      </c>
    </row>
    <row r="39" spans="1:17" ht="30" customHeight="1" x14ac:dyDescent="0.2">
      <c r="A39" s="3155"/>
      <c r="B39" s="3159"/>
      <c r="C39" s="3588"/>
      <c r="D39" s="3590"/>
      <c r="E39" s="3508"/>
      <c r="F39" s="3261"/>
      <c r="G39" s="3578"/>
      <c r="H39" s="1254"/>
      <c r="I39" s="2386"/>
      <c r="J39" s="2328"/>
      <c r="K39" s="2327"/>
      <c r="L39" s="2277" t="s">
        <v>378</v>
      </c>
      <c r="M39" s="2233">
        <v>40</v>
      </c>
      <c r="N39" s="2233">
        <v>50</v>
      </c>
      <c r="O39" s="2417">
        <v>50</v>
      </c>
    </row>
    <row r="40" spans="1:17" ht="54" customHeight="1" x14ac:dyDescent="0.2">
      <c r="A40" s="2257"/>
      <c r="B40" s="2260"/>
      <c r="C40" s="2300"/>
      <c r="D40" s="1920" t="s">
        <v>453</v>
      </c>
      <c r="E40" s="2276"/>
      <c r="F40" s="2265"/>
      <c r="G40" s="2281"/>
      <c r="H40" s="1254"/>
      <c r="I40" s="2421"/>
      <c r="J40" s="2336"/>
      <c r="K40" s="2411"/>
      <c r="L40" s="2418" t="s">
        <v>484</v>
      </c>
      <c r="M40" s="1236">
        <v>84</v>
      </c>
      <c r="N40" s="1236">
        <v>84</v>
      </c>
      <c r="O40" s="2147">
        <v>84</v>
      </c>
    </row>
    <row r="41" spans="1:17" ht="30" customHeight="1" x14ac:dyDescent="0.2">
      <c r="A41" s="2257"/>
      <c r="B41" s="2260"/>
      <c r="C41" s="2300"/>
      <c r="D41" s="2180" t="s">
        <v>263</v>
      </c>
      <c r="E41" s="2276"/>
      <c r="F41" s="2265"/>
      <c r="G41" s="2281"/>
      <c r="H41" s="1254"/>
      <c r="I41" s="2331"/>
      <c r="J41" s="2319"/>
      <c r="K41" s="2332"/>
      <c r="L41" s="2291" t="s">
        <v>299</v>
      </c>
      <c r="M41" s="1607">
        <v>17</v>
      </c>
      <c r="N41" s="1607">
        <v>17</v>
      </c>
      <c r="O41" s="1532">
        <v>17</v>
      </c>
    </row>
    <row r="42" spans="1:17" ht="41.25" customHeight="1" x14ac:dyDescent="0.2">
      <c r="A42" s="2257"/>
      <c r="B42" s="2260"/>
      <c r="C42" s="2262"/>
      <c r="D42" s="3579" t="s">
        <v>383</v>
      </c>
      <c r="E42" s="3572"/>
      <c r="F42" s="3573"/>
      <c r="G42" s="3577"/>
      <c r="H42" s="1254"/>
      <c r="I42" s="2331"/>
      <c r="J42" s="2365"/>
      <c r="K42" s="2321"/>
      <c r="L42" s="1880" t="s">
        <v>471</v>
      </c>
      <c r="M42" s="2233">
        <v>13</v>
      </c>
      <c r="N42" s="1868">
        <v>2</v>
      </c>
      <c r="O42" s="1892">
        <v>1</v>
      </c>
    </row>
    <row r="43" spans="1:17" ht="41.25" customHeight="1" x14ac:dyDescent="0.2">
      <c r="A43" s="2257"/>
      <c r="B43" s="2260"/>
      <c r="C43" s="2262"/>
      <c r="D43" s="3507"/>
      <c r="E43" s="3572"/>
      <c r="F43" s="3543"/>
      <c r="G43" s="3578"/>
      <c r="H43" s="1254"/>
      <c r="I43" s="2331"/>
      <c r="J43" s="2319"/>
      <c r="K43" s="2332"/>
      <c r="L43" s="1993" t="s">
        <v>472</v>
      </c>
      <c r="M43" s="1578">
        <v>180</v>
      </c>
      <c r="N43" s="1578">
        <v>35</v>
      </c>
      <c r="O43" s="1579">
        <v>20</v>
      </c>
    </row>
    <row r="44" spans="1:17" ht="55.5" customHeight="1" x14ac:dyDescent="0.2">
      <c r="A44" s="2257"/>
      <c r="B44" s="2260"/>
      <c r="C44" s="2262"/>
      <c r="D44" s="3507"/>
      <c r="E44" s="3572"/>
      <c r="F44" s="3543"/>
      <c r="G44" s="3578"/>
      <c r="H44" s="1254"/>
      <c r="I44" s="2331"/>
      <c r="J44" s="2319"/>
      <c r="K44" s="2332"/>
      <c r="L44" s="1992" t="s">
        <v>485</v>
      </c>
      <c r="M44" s="2233">
        <v>370</v>
      </c>
      <c r="N44" s="2233">
        <v>370</v>
      </c>
      <c r="O44" s="2417">
        <v>370</v>
      </c>
    </row>
    <row r="45" spans="1:17" ht="54.75" customHeight="1" x14ac:dyDescent="0.2">
      <c r="A45" s="2257"/>
      <c r="B45" s="2260"/>
      <c r="C45" s="131"/>
      <c r="D45" s="2561"/>
      <c r="E45" s="1918"/>
      <c r="F45" s="2265"/>
      <c r="G45" s="2020"/>
      <c r="H45" s="1254"/>
      <c r="I45" s="2450"/>
      <c r="J45" s="2452"/>
      <c r="K45" s="2412"/>
      <c r="L45" s="3426" t="s">
        <v>480</v>
      </c>
      <c r="M45" s="1228">
        <v>1247</v>
      </c>
      <c r="N45" s="1799">
        <v>1100</v>
      </c>
      <c r="O45" s="1229">
        <v>1000</v>
      </c>
    </row>
    <row r="46" spans="1:17" s="1581" customFormat="1" ht="13.5" customHeight="1" thickBot="1" x14ac:dyDescent="0.25">
      <c r="A46" s="535"/>
      <c r="B46" s="28"/>
      <c r="C46" s="782"/>
      <c r="D46" s="2464"/>
      <c r="E46" s="2461"/>
      <c r="F46" s="2462"/>
      <c r="G46" s="2463"/>
      <c r="H46" s="1434" t="s">
        <v>23</v>
      </c>
      <c r="I46" s="2343">
        <f>SUM(I12:I45)</f>
        <v>59434.400000000001</v>
      </c>
      <c r="J46" s="2315">
        <f>SUM(J12:J45)</f>
        <v>59305.000000000007</v>
      </c>
      <c r="K46" s="2343">
        <f>SUM(K12:K45)</f>
        <v>59285.000000000007</v>
      </c>
      <c r="L46" s="3427"/>
      <c r="M46" s="2751"/>
      <c r="N46" s="2751"/>
      <c r="O46" s="2752"/>
      <c r="Q46" s="2270"/>
    </row>
    <row r="47" spans="1:17" ht="28.5" customHeight="1" x14ac:dyDescent="0.2">
      <c r="A47" s="2254" t="s">
        <v>20</v>
      </c>
      <c r="B47" s="2259" t="s">
        <v>20</v>
      </c>
      <c r="C47" s="751" t="s">
        <v>24</v>
      </c>
      <c r="D47" s="1899" t="s">
        <v>425</v>
      </c>
      <c r="E47" s="1861"/>
      <c r="F47" s="2056" t="s">
        <v>21</v>
      </c>
      <c r="G47" s="1876">
        <v>2</v>
      </c>
      <c r="H47" s="1618" t="s">
        <v>25</v>
      </c>
      <c r="I47" s="2331">
        <v>84.7</v>
      </c>
      <c r="J47" s="2319">
        <v>84.7</v>
      </c>
      <c r="K47" s="2319">
        <v>84.7</v>
      </c>
      <c r="L47" s="1854"/>
      <c r="M47" s="1864"/>
      <c r="N47" s="1864"/>
      <c r="O47" s="1872"/>
    </row>
    <row r="48" spans="1:17" ht="55.5" customHeight="1" x14ac:dyDescent="0.2">
      <c r="A48" s="2755"/>
      <c r="B48" s="2753"/>
      <c r="C48" s="2781"/>
      <c r="D48" s="2645" t="s">
        <v>151</v>
      </c>
      <c r="E48" s="2857"/>
      <c r="F48" s="2777"/>
      <c r="G48" s="2778"/>
      <c r="H48" s="1618" t="s">
        <v>22</v>
      </c>
      <c r="I48" s="2366">
        <v>99.7</v>
      </c>
      <c r="J48" s="2337">
        <v>68.7</v>
      </c>
      <c r="K48" s="2337">
        <v>68.7</v>
      </c>
      <c r="L48" s="1656" t="s">
        <v>486</v>
      </c>
      <c r="M48" s="2419">
        <v>2377</v>
      </c>
      <c r="N48" s="2419">
        <v>2377</v>
      </c>
      <c r="O48" s="2420">
        <v>2377</v>
      </c>
    </row>
    <row r="49" spans="1:15" ht="42.75" customHeight="1" x14ac:dyDescent="0.2">
      <c r="A49" s="2252"/>
      <c r="B49" s="2249"/>
      <c r="C49" s="2242"/>
      <c r="D49" s="2706" t="s">
        <v>45</v>
      </c>
      <c r="E49" s="1605"/>
      <c r="F49" s="2253"/>
      <c r="G49" s="2051"/>
      <c r="H49" s="2306"/>
      <c r="I49" s="2422"/>
      <c r="J49" s="2336"/>
      <c r="K49" s="2336"/>
      <c r="L49" s="2707" t="s">
        <v>300</v>
      </c>
      <c r="M49" s="1530">
        <v>180</v>
      </c>
      <c r="N49" s="2655">
        <v>180</v>
      </c>
      <c r="O49" s="2660">
        <v>180</v>
      </c>
    </row>
    <row r="50" spans="1:15" ht="16.5" customHeight="1" x14ac:dyDescent="0.2">
      <c r="A50" s="2257"/>
      <c r="B50" s="2260"/>
      <c r="C50" s="2262"/>
      <c r="D50" s="3510" t="s">
        <v>259</v>
      </c>
      <c r="E50" s="3572"/>
      <c r="F50" s="3573"/>
      <c r="G50" s="3574"/>
      <c r="H50" s="1254"/>
      <c r="I50" s="2368"/>
      <c r="J50" s="2319"/>
      <c r="K50" s="2319"/>
      <c r="L50" s="1800" t="s">
        <v>371</v>
      </c>
      <c r="M50" s="1868">
        <v>20</v>
      </c>
      <c r="N50" s="1868">
        <v>20</v>
      </c>
      <c r="O50" s="1892">
        <v>20</v>
      </c>
    </row>
    <row r="51" spans="1:15" ht="16.5" customHeight="1" x14ac:dyDescent="0.2">
      <c r="A51" s="2257"/>
      <c r="B51" s="2260"/>
      <c r="C51" s="2300"/>
      <c r="D51" s="3510"/>
      <c r="E51" s="3572"/>
      <c r="F51" s="3543"/>
      <c r="G51" s="3575"/>
      <c r="H51" s="1254"/>
      <c r="I51" s="2368"/>
      <c r="J51" s="2319"/>
      <c r="K51" s="2319"/>
      <c r="L51" s="1656" t="s">
        <v>487</v>
      </c>
      <c r="M51" s="1868">
        <v>1560</v>
      </c>
      <c r="N51" s="1868">
        <v>1560</v>
      </c>
      <c r="O51" s="1892">
        <v>1560</v>
      </c>
    </row>
    <row r="52" spans="1:15" ht="30" customHeight="1" x14ac:dyDescent="0.2">
      <c r="A52" s="2247"/>
      <c r="B52" s="2249"/>
      <c r="C52" s="2248"/>
      <c r="D52" s="1768" t="s">
        <v>262</v>
      </c>
      <c r="E52" s="1605"/>
      <c r="F52" s="2253"/>
      <c r="G52" s="2051"/>
      <c r="H52" s="2306"/>
      <c r="I52" s="2421"/>
      <c r="J52" s="2336"/>
      <c r="K52" s="2336"/>
      <c r="L52" s="1885" t="s">
        <v>140</v>
      </c>
      <c r="M52" s="1850">
        <v>3500</v>
      </c>
      <c r="N52" s="1850">
        <v>4000</v>
      </c>
      <c r="O52" s="1792">
        <v>4500</v>
      </c>
    </row>
    <row r="53" spans="1:15" ht="28.5" customHeight="1" x14ac:dyDescent="0.2">
      <c r="A53" s="2252"/>
      <c r="B53" s="2249"/>
      <c r="C53" s="2242"/>
      <c r="D53" s="2299" t="s">
        <v>376</v>
      </c>
      <c r="E53" s="1605"/>
      <c r="F53" s="2253"/>
      <c r="G53" s="2051"/>
      <c r="H53" s="2306"/>
      <c r="I53" s="2421"/>
      <c r="J53" s="2336"/>
      <c r="K53" s="2336"/>
      <c r="L53" s="2221" t="s">
        <v>377</v>
      </c>
      <c r="M53" s="1751">
        <v>2000</v>
      </c>
      <c r="N53" s="2222"/>
      <c r="O53" s="1750"/>
    </row>
    <row r="54" spans="1:15" ht="21" customHeight="1" x14ac:dyDescent="0.2">
      <c r="A54" s="2247"/>
      <c r="B54" s="2249"/>
      <c r="C54" s="2248"/>
      <c r="D54" s="3428" t="s">
        <v>374</v>
      </c>
      <c r="E54" s="3430" t="s">
        <v>398</v>
      </c>
      <c r="F54" s="2253"/>
      <c r="G54" s="2051"/>
      <c r="H54" s="2306"/>
      <c r="I54" s="2338"/>
      <c r="J54" s="2336"/>
      <c r="K54" s="2336"/>
      <c r="L54" s="1885" t="s">
        <v>375</v>
      </c>
      <c r="M54" s="1757">
        <v>1</v>
      </c>
      <c r="N54" s="1886"/>
      <c r="O54" s="1764"/>
    </row>
    <row r="55" spans="1:15" ht="13.5" thickBot="1" x14ac:dyDescent="0.25">
      <c r="A55" s="2250"/>
      <c r="B55" s="2251"/>
      <c r="C55" s="2241"/>
      <c r="D55" s="3429"/>
      <c r="E55" s="3431"/>
      <c r="F55" s="2244"/>
      <c r="G55" s="2283"/>
      <c r="H55" s="1434" t="s">
        <v>23</v>
      </c>
      <c r="I55" s="2343">
        <f>SUM(I47:I54)</f>
        <v>184.4</v>
      </c>
      <c r="J55" s="2315">
        <f>SUM(J47:J54)</f>
        <v>153.4</v>
      </c>
      <c r="K55" s="2315">
        <f>SUM(K47:K54)</f>
        <v>153.4</v>
      </c>
      <c r="L55" s="1536"/>
      <c r="M55" s="1537"/>
      <c r="N55" s="1538"/>
      <c r="O55" s="1524"/>
    </row>
    <row r="56" spans="1:15" ht="16.5" customHeight="1" x14ac:dyDescent="0.2">
      <c r="A56" s="2254" t="s">
        <v>20</v>
      </c>
      <c r="B56" s="2259" t="s">
        <v>20</v>
      </c>
      <c r="C56" s="751" t="s">
        <v>26</v>
      </c>
      <c r="D56" s="3561" t="s">
        <v>370</v>
      </c>
      <c r="E56" s="2282"/>
      <c r="F56" s="2280"/>
      <c r="G56" s="2271"/>
      <c r="H56" s="1291" t="s">
        <v>22</v>
      </c>
      <c r="I56" s="2316">
        <v>2.9</v>
      </c>
      <c r="J56" s="2317">
        <f>I56</f>
        <v>2.9</v>
      </c>
      <c r="K56" s="2333">
        <f>I56</f>
        <v>2.9</v>
      </c>
      <c r="L56" s="2217" t="s">
        <v>373</v>
      </c>
      <c r="M56" s="1436">
        <v>10</v>
      </c>
      <c r="N56" s="1610">
        <v>10</v>
      </c>
      <c r="O56" s="1598">
        <v>10</v>
      </c>
    </row>
    <row r="57" spans="1:15" ht="30.75" customHeight="1" x14ac:dyDescent="0.2">
      <c r="A57" s="2257"/>
      <c r="B57" s="2260"/>
      <c r="C57" s="2262"/>
      <c r="D57" s="3562"/>
      <c r="E57" s="2282"/>
      <c r="F57" s="2280"/>
      <c r="G57" s="2271"/>
      <c r="H57" s="1260"/>
      <c r="I57" s="2331"/>
      <c r="J57" s="2319"/>
      <c r="K57" s="2318"/>
      <c r="L57" s="1880" t="s">
        <v>443</v>
      </c>
      <c r="M57" s="1878">
        <v>860</v>
      </c>
      <c r="N57" s="1878">
        <v>860</v>
      </c>
      <c r="O57" s="1879">
        <v>860</v>
      </c>
    </row>
    <row r="58" spans="1:15" ht="27.75" customHeight="1" x14ac:dyDescent="0.2">
      <c r="A58" s="2257"/>
      <c r="B58" s="2260"/>
      <c r="C58" s="2262"/>
      <c r="D58" s="1636"/>
      <c r="E58" s="2282"/>
      <c r="F58" s="2280"/>
      <c r="G58" s="2271"/>
      <c r="H58" s="1260"/>
      <c r="I58" s="2331"/>
      <c r="J58" s="2319"/>
      <c r="K58" s="2318"/>
      <c r="L58" s="3563" t="s">
        <v>488</v>
      </c>
      <c r="M58" s="1607">
        <v>40</v>
      </c>
      <c r="N58" s="1607">
        <v>40</v>
      </c>
      <c r="O58" s="1532">
        <v>40</v>
      </c>
    </row>
    <row r="59" spans="1:15" ht="15" customHeight="1" thickBot="1" x14ac:dyDescent="0.25">
      <c r="A59" s="2258"/>
      <c r="B59" s="817"/>
      <c r="C59" s="2264"/>
      <c r="D59" s="1875"/>
      <c r="E59" s="1863"/>
      <c r="F59" s="1866"/>
      <c r="G59" s="1877"/>
      <c r="H59" s="1434" t="s">
        <v>23</v>
      </c>
      <c r="I59" s="2344">
        <f>I56</f>
        <v>2.9</v>
      </c>
      <c r="J59" s="2346">
        <f>J56</f>
        <v>2.9</v>
      </c>
      <c r="K59" s="2345">
        <f t="shared" ref="K59" si="1">K56</f>
        <v>2.9</v>
      </c>
      <c r="L59" s="3501"/>
      <c r="M59" s="2230"/>
      <c r="N59" s="2231"/>
      <c r="O59" s="1599"/>
    </row>
    <row r="60" spans="1:15" s="1581" customFormat="1" ht="27" customHeight="1" x14ac:dyDescent="0.2">
      <c r="A60" s="2303" t="s">
        <v>20</v>
      </c>
      <c r="B60" s="3564" t="s">
        <v>20</v>
      </c>
      <c r="C60" s="2912" t="s">
        <v>28</v>
      </c>
      <c r="D60" s="3566" t="s">
        <v>372</v>
      </c>
      <c r="E60" s="3558"/>
      <c r="F60" s="2959" t="s">
        <v>21</v>
      </c>
      <c r="G60" s="3568">
        <v>2</v>
      </c>
      <c r="H60" s="2307" t="s">
        <v>22</v>
      </c>
      <c r="I60" s="2448">
        <v>46.8</v>
      </c>
      <c r="J60" s="2347">
        <v>46.8</v>
      </c>
      <c r="K60" s="2347">
        <v>46.8</v>
      </c>
      <c r="L60" s="1971" t="s">
        <v>261</v>
      </c>
      <c r="M60" s="1972">
        <v>20</v>
      </c>
      <c r="N60" s="1972">
        <v>20</v>
      </c>
      <c r="O60" s="1973">
        <v>20</v>
      </c>
    </row>
    <row r="61" spans="1:15" s="1581" customFormat="1" ht="27.75" customHeight="1" thickBot="1" x14ac:dyDescent="0.25">
      <c r="A61" s="2250"/>
      <c r="B61" s="3565"/>
      <c r="C61" s="2913"/>
      <c r="D61" s="3567"/>
      <c r="E61" s="3559"/>
      <c r="F61" s="2960"/>
      <c r="G61" s="3569"/>
      <c r="H61" s="1434" t="s">
        <v>23</v>
      </c>
      <c r="I61" s="2343">
        <f>SUM(I60)</f>
        <v>46.8</v>
      </c>
      <c r="J61" s="2315">
        <f>SUM(J60)</f>
        <v>46.8</v>
      </c>
      <c r="K61" s="2315">
        <f>SUM(K60)</f>
        <v>46.8</v>
      </c>
      <c r="L61" s="1744" t="s">
        <v>119</v>
      </c>
      <c r="M61" s="1745">
        <v>36</v>
      </c>
      <c r="N61" s="1745">
        <v>36</v>
      </c>
      <c r="O61" s="1746">
        <v>36</v>
      </c>
    </row>
    <row r="62" spans="1:15" ht="42.75" customHeight="1" x14ac:dyDescent="0.2">
      <c r="A62" s="3555" t="s">
        <v>20</v>
      </c>
      <c r="B62" s="219" t="s">
        <v>20</v>
      </c>
      <c r="C62" s="2912" t="s">
        <v>29</v>
      </c>
      <c r="D62" s="3556" t="s">
        <v>272</v>
      </c>
      <c r="E62" s="3558" t="s">
        <v>133</v>
      </c>
      <c r="F62" s="3000" t="s">
        <v>21</v>
      </c>
      <c r="G62" s="3448">
        <v>2</v>
      </c>
      <c r="H62" s="1534" t="s">
        <v>22</v>
      </c>
      <c r="I62" s="2348">
        <v>95.1</v>
      </c>
      <c r="J62" s="2347">
        <v>85.6</v>
      </c>
      <c r="K62" s="2349"/>
      <c r="L62" s="3570" t="s">
        <v>214</v>
      </c>
      <c r="M62" s="1539">
        <v>24</v>
      </c>
      <c r="N62" s="2269">
        <v>16</v>
      </c>
      <c r="O62" s="2301"/>
    </row>
    <row r="63" spans="1:15" ht="13.5" thickBot="1" x14ac:dyDescent="0.25">
      <c r="A63" s="3024"/>
      <c r="B63" s="2251"/>
      <c r="C63" s="2913"/>
      <c r="D63" s="3557"/>
      <c r="E63" s="3559"/>
      <c r="F63" s="3560"/>
      <c r="G63" s="3449"/>
      <c r="H63" s="1535" t="s">
        <v>23</v>
      </c>
      <c r="I63" s="2343">
        <f>SUM(I62)</f>
        <v>95.1</v>
      </c>
      <c r="J63" s="2315">
        <f>SUM(J62)</f>
        <v>85.6</v>
      </c>
      <c r="K63" s="2314"/>
      <c r="L63" s="3571"/>
      <c r="M63" s="1537"/>
      <c r="N63" s="1538"/>
      <c r="O63" s="1524"/>
    </row>
    <row r="64" spans="1:15" ht="13.5" thickBot="1" x14ac:dyDescent="0.25">
      <c r="A64" s="15" t="s">
        <v>20</v>
      </c>
      <c r="B64" s="14" t="s">
        <v>20</v>
      </c>
      <c r="C64" s="3481" t="s">
        <v>27</v>
      </c>
      <c r="D64" s="3481"/>
      <c r="E64" s="3481"/>
      <c r="F64" s="3481"/>
      <c r="G64" s="3481"/>
      <c r="H64" s="3481"/>
      <c r="I64" s="2350">
        <f>I63+I61+I59+I55+I46</f>
        <v>59763.6</v>
      </c>
      <c r="J64" s="2351">
        <f>J63+J61+J59+J55+J46</f>
        <v>59593.700000000004</v>
      </c>
      <c r="K64" s="2351">
        <f>K63+K61+K59+K55+K46</f>
        <v>59488.100000000006</v>
      </c>
      <c r="L64" s="1606"/>
      <c r="M64" s="3450"/>
      <c r="N64" s="3450"/>
      <c r="O64" s="3451"/>
    </row>
    <row r="65" spans="1:15" ht="13.5" thickBot="1" x14ac:dyDescent="0.25">
      <c r="A65" s="15" t="s">
        <v>20</v>
      </c>
      <c r="B65" s="3551" t="s">
        <v>10</v>
      </c>
      <c r="C65" s="3486"/>
      <c r="D65" s="3486"/>
      <c r="E65" s="3486"/>
      <c r="F65" s="3486"/>
      <c r="G65" s="3486"/>
      <c r="H65" s="3486"/>
      <c r="I65" s="2352">
        <f t="shared" ref="I65:K65" si="2">I64</f>
        <v>59763.6</v>
      </c>
      <c r="J65" s="2353">
        <f t="shared" si="2"/>
        <v>59593.700000000004</v>
      </c>
      <c r="K65" s="2353">
        <f t="shared" si="2"/>
        <v>59488.100000000006</v>
      </c>
      <c r="L65" s="3552"/>
      <c r="M65" s="3553"/>
      <c r="N65" s="3553"/>
      <c r="O65" s="3554"/>
    </row>
    <row r="66" spans="1:15" ht="13.5" customHeight="1" thickBot="1" x14ac:dyDescent="0.25">
      <c r="A66" s="2256" t="s">
        <v>24</v>
      </c>
      <c r="B66" s="2425" t="s">
        <v>56</v>
      </c>
      <c r="C66" s="2426"/>
      <c r="D66" s="2426"/>
      <c r="E66" s="2426"/>
      <c r="F66" s="2426"/>
      <c r="G66" s="2426"/>
      <c r="H66" s="2426"/>
      <c r="I66" s="2426"/>
      <c r="J66" s="2426"/>
      <c r="K66" s="2426"/>
      <c r="L66" s="2426"/>
      <c r="M66" s="2456"/>
      <c r="N66" s="2456"/>
      <c r="O66" s="2457"/>
    </row>
    <row r="67" spans="1:15" ht="13.5" thickBot="1" x14ac:dyDescent="0.25">
      <c r="A67" s="23" t="s">
        <v>24</v>
      </c>
      <c r="B67" s="17" t="s">
        <v>20</v>
      </c>
      <c r="C67" s="3443" t="s">
        <v>47</v>
      </c>
      <c r="D67" s="3444"/>
      <c r="E67" s="3444"/>
      <c r="F67" s="3444"/>
      <c r="G67" s="3444"/>
      <c r="H67" s="3444"/>
      <c r="I67" s="3444"/>
      <c r="J67" s="3444"/>
      <c r="K67" s="3444"/>
      <c r="L67" s="3444"/>
      <c r="M67" s="3444"/>
      <c r="N67" s="3444"/>
      <c r="O67" s="3445"/>
    </row>
    <row r="68" spans="1:15" ht="27" customHeight="1" x14ac:dyDescent="0.2">
      <c r="A68" s="2254" t="s">
        <v>24</v>
      </c>
      <c r="B68" s="2259" t="s">
        <v>20</v>
      </c>
      <c r="C68" s="2246" t="s">
        <v>20</v>
      </c>
      <c r="D68" s="1540" t="s">
        <v>473</v>
      </c>
      <c r="E68" s="1541"/>
      <c r="F68" s="2261"/>
      <c r="G68" s="1593"/>
      <c r="H68" s="2307"/>
      <c r="I68" s="2438"/>
      <c r="J68" s="2334"/>
      <c r="K68" s="2335"/>
      <c r="L68" s="1543"/>
      <c r="M68" s="2273"/>
      <c r="N68" s="1307"/>
      <c r="O68" s="1598"/>
    </row>
    <row r="69" spans="1:15" ht="30.75" customHeight="1" x14ac:dyDescent="0.2">
      <c r="A69" s="2255"/>
      <c r="B69" s="2260"/>
      <c r="C69" s="2248"/>
      <c r="D69" s="3420" t="s">
        <v>489</v>
      </c>
      <c r="E69" s="2562" t="s">
        <v>4</v>
      </c>
      <c r="F69" s="2245" t="s">
        <v>21</v>
      </c>
      <c r="G69" s="1594">
        <v>5</v>
      </c>
      <c r="H69" s="1343" t="s">
        <v>22</v>
      </c>
      <c r="I69" s="2439">
        <v>12.2</v>
      </c>
      <c r="J69" s="2354"/>
      <c r="K69" s="2370"/>
      <c r="L69" s="1729" t="s">
        <v>340</v>
      </c>
      <c r="M69" s="1814">
        <v>1</v>
      </c>
      <c r="N69" s="1814"/>
      <c r="O69" s="1619"/>
    </row>
    <row r="70" spans="1:15" ht="20.25" customHeight="1" x14ac:dyDescent="0.2">
      <c r="A70" s="2255"/>
      <c r="B70" s="2260"/>
      <c r="C70" s="2248"/>
      <c r="D70" s="3421"/>
      <c r="E70" s="1585"/>
      <c r="F70" s="2253"/>
      <c r="G70" s="1562"/>
      <c r="H70" s="1549" t="s">
        <v>170</v>
      </c>
      <c r="I70" s="2440"/>
      <c r="J70" s="2355">
        <v>21.6</v>
      </c>
      <c r="K70" s="2371">
        <v>31.6</v>
      </c>
      <c r="L70" s="3446" t="s">
        <v>341</v>
      </c>
      <c r="M70" s="2302"/>
      <c r="N70" s="2302">
        <v>50</v>
      </c>
      <c r="O70" s="1597">
        <v>100</v>
      </c>
    </row>
    <row r="71" spans="1:15" x14ac:dyDescent="0.2">
      <c r="A71" s="2255"/>
      <c r="B71" s="2260"/>
      <c r="C71" s="2242"/>
      <c r="D71" s="3421"/>
      <c r="E71" s="1585"/>
      <c r="F71" s="2243"/>
      <c r="G71" s="1595"/>
      <c r="H71" s="1555" t="s">
        <v>23</v>
      </c>
      <c r="I71" s="2356">
        <f>SUM(I69:I70)</f>
        <v>12.2</v>
      </c>
      <c r="J71" s="2358">
        <f>SUM(J69:J70)</f>
        <v>21.6</v>
      </c>
      <c r="K71" s="2320">
        <f>SUM(K69:K70)</f>
        <v>31.6</v>
      </c>
      <c r="L71" s="3447"/>
      <c r="M71" s="1613"/>
      <c r="N71" s="2279"/>
      <c r="O71" s="1369"/>
    </row>
    <row r="72" spans="1:15" ht="20.25" customHeight="1" x14ac:dyDescent="0.2">
      <c r="A72" s="2255"/>
      <c r="B72" s="2260"/>
      <c r="C72" s="2248"/>
      <c r="D72" s="3420" t="s">
        <v>347</v>
      </c>
      <c r="E72" s="2565" t="s">
        <v>4</v>
      </c>
      <c r="F72" s="2245" t="s">
        <v>21</v>
      </c>
      <c r="G72" s="1594">
        <v>5</v>
      </c>
      <c r="H72" s="1477" t="s">
        <v>25</v>
      </c>
      <c r="I72" s="2388">
        <v>0.7</v>
      </c>
      <c r="J72" s="2423">
        <v>84.4</v>
      </c>
      <c r="K72" s="2330">
        <v>127.6</v>
      </c>
      <c r="L72" s="3440" t="s">
        <v>342</v>
      </c>
      <c r="M72" s="1658">
        <v>2</v>
      </c>
      <c r="N72" s="1658">
        <v>3</v>
      </c>
      <c r="O72" s="1732">
        <v>5</v>
      </c>
    </row>
    <row r="73" spans="1:15" ht="20.25" customHeight="1" x14ac:dyDescent="0.2">
      <c r="A73" s="2255"/>
      <c r="B73" s="2260"/>
      <c r="C73" s="2248"/>
      <c r="D73" s="3421"/>
      <c r="E73" s="1585"/>
      <c r="F73" s="2253"/>
      <c r="G73" s="1562"/>
      <c r="H73" s="1477" t="s">
        <v>6</v>
      </c>
      <c r="I73" s="2441">
        <v>3.8</v>
      </c>
      <c r="J73" s="2360">
        <v>478.2</v>
      </c>
      <c r="K73" s="2322">
        <v>595.9</v>
      </c>
      <c r="L73" s="3424"/>
      <c r="M73" s="1864"/>
      <c r="N73" s="1864"/>
      <c r="O73" s="1238"/>
    </row>
    <row r="74" spans="1:15" ht="26.25" customHeight="1" x14ac:dyDescent="0.2">
      <c r="A74" s="2255"/>
      <c r="B74" s="2260"/>
      <c r="C74" s="2248"/>
      <c r="D74" s="2272" t="s">
        <v>454</v>
      </c>
      <c r="E74" s="1592"/>
      <c r="F74" s="2253"/>
      <c r="G74" s="1562"/>
      <c r="H74" s="2305" t="s">
        <v>22</v>
      </c>
      <c r="I74" s="2340"/>
      <c r="J74" s="2423">
        <v>5</v>
      </c>
      <c r="K74" s="2330">
        <v>132.6</v>
      </c>
      <c r="L74" s="2285" t="s">
        <v>474</v>
      </c>
      <c r="M74" s="1658"/>
      <c r="N74" s="1658"/>
      <c r="O74" s="1732">
        <v>100</v>
      </c>
    </row>
    <row r="75" spans="1:15" ht="15.75" customHeight="1" x14ac:dyDescent="0.2">
      <c r="A75" s="2255"/>
      <c r="B75" s="2260"/>
      <c r="C75" s="2248"/>
      <c r="D75" s="3421" t="s">
        <v>455</v>
      </c>
      <c r="E75" s="1592"/>
      <c r="F75" s="2253"/>
      <c r="G75" s="1562"/>
      <c r="H75" s="1964"/>
      <c r="I75" s="2362"/>
      <c r="J75" s="2361"/>
      <c r="K75" s="2321"/>
      <c r="L75" s="3442"/>
      <c r="M75" s="1525"/>
      <c r="N75" s="1525"/>
      <c r="O75" s="1682"/>
    </row>
    <row r="76" spans="1:15" ht="15.75" customHeight="1" x14ac:dyDescent="0.2">
      <c r="A76" s="2255"/>
      <c r="B76" s="2260"/>
      <c r="C76" s="2248"/>
      <c r="D76" s="3421"/>
      <c r="E76" s="1591"/>
      <c r="F76" s="2253"/>
      <c r="G76" s="1562"/>
      <c r="H76" s="1964"/>
      <c r="I76" s="2362"/>
      <c r="J76" s="2361"/>
      <c r="K76" s="2321"/>
      <c r="L76" s="3442"/>
      <c r="M76" s="1864"/>
      <c r="N76" s="1864"/>
      <c r="O76" s="1238"/>
    </row>
    <row r="77" spans="1:15" ht="24" customHeight="1" x14ac:dyDescent="0.2">
      <c r="A77" s="2255"/>
      <c r="B77" s="2260"/>
      <c r="C77" s="2248"/>
      <c r="D77" s="3421" t="s">
        <v>490</v>
      </c>
      <c r="E77" s="1592"/>
      <c r="F77" s="2253"/>
      <c r="G77" s="1562"/>
      <c r="H77" s="1351"/>
      <c r="I77" s="2422"/>
      <c r="J77" s="2361"/>
      <c r="K77" s="2321"/>
      <c r="L77" s="3424"/>
      <c r="M77" s="1448"/>
      <c r="N77" s="1407"/>
      <c r="O77" s="1449"/>
    </row>
    <row r="78" spans="1:15" ht="17.25" customHeight="1" x14ac:dyDescent="0.2">
      <c r="A78" s="2255"/>
      <c r="B78" s="2260"/>
      <c r="C78" s="2242"/>
      <c r="D78" s="3422"/>
      <c r="E78" s="1591"/>
      <c r="F78" s="2253"/>
      <c r="G78" s="1562"/>
      <c r="H78" s="1555" t="s">
        <v>23</v>
      </c>
      <c r="I78" s="2356">
        <f>SUM(I72:I77)</f>
        <v>4.5</v>
      </c>
      <c r="J78" s="2358">
        <f>SUM(J72:J77)</f>
        <v>567.6</v>
      </c>
      <c r="K78" s="2357">
        <f t="shared" ref="K78" si="3">SUM(K72:K77)</f>
        <v>856.1</v>
      </c>
      <c r="L78" s="3424"/>
      <c r="M78" s="1613"/>
      <c r="N78" s="2279"/>
      <c r="O78" s="1449"/>
    </row>
    <row r="79" spans="1:15" ht="18" customHeight="1" x14ac:dyDescent="0.2">
      <c r="A79" s="2255"/>
      <c r="B79" s="2260"/>
      <c r="C79" s="1701"/>
      <c r="D79" s="3428" t="s">
        <v>444</v>
      </c>
      <c r="E79" s="1713" t="s">
        <v>4</v>
      </c>
      <c r="F79" s="2199" t="s">
        <v>21</v>
      </c>
      <c r="G79" s="2200">
        <v>5</v>
      </c>
      <c r="H79" s="2305" t="s">
        <v>22</v>
      </c>
      <c r="I79" s="2329">
        <v>30</v>
      </c>
      <c r="J79" s="2342">
        <v>50</v>
      </c>
      <c r="K79" s="2432"/>
      <c r="L79" s="2237" t="s">
        <v>491</v>
      </c>
      <c r="M79" s="1607">
        <v>1</v>
      </c>
      <c r="N79" s="1658"/>
      <c r="O79" s="1732"/>
    </row>
    <row r="80" spans="1:15" ht="16.5" customHeight="1" x14ac:dyDescent="0.2">
      <c r="A80" s="2255"/>
      <c r="B80" s="2260"/>
      <c r="C80" s="131"/>
      <c r="D80" s="3439"/>
      <c r="E80" s="1695"/>
      <c r="F80" s="2103"/>
      <c r="G80" s="1507"/>
      <c r="H80" s="1555" t="s">
        <v>23</v>
      </c>
      <c r="I80" s="2356">
        <f>I79</f>
        <v>30</v>
      </c>
      <c r="J80" s="2358">
        <f>SUM(J79)</f>
        <v>50</v>
      </c>
      <c r="K80" s="2320"/>
      <c r="L80" s="1710" t="s">
        <v>448</v>
      </c>
      <c r="M80" s="1711"/>
      <c r="N80" s="2238">
        <v>1</v>
      </c>
      <c r="O80" s="1712"/>
    </row>
    <row r="81" spans="1:15" ht="17.25" customHeight="1" x14ac:dyDescent="0.2">
      <c r="A81" s="2255"/>
      <c r="B81" s="2260"/>
      <c r="C81" s="2248"/>
      <c r="D81" s="3420" t="s">
        <v>492</v>
      </c>
      <c r="E81" s="2562" t="s">
        <v>4</v>
      </c>
      <c r="F81" s="2245" t="s">
        <v>21</v>
      </c>
      <c r="G81" s="1594">
        <v>5</v>
      </c>
      <c r="H81" s="1343" t="s">
        <v>170</v>
      </c>
      <c r="I81" s="2439"/>
      <c r="J81" s="2360"/>
      <c r="K81" s="2322">
        <v>31.6</v>
      </c>
      <c r="L81" s="1736" t="s">
        <v>343</v>
      </c>
      <c r="M81" s="1664"/>
      <c r="N81" s="1566"/>
      <c r="O81" s="1551">
        <v>1</v>
      </c>
    </row>
    <row r="82" spans="1:15" ht="17.25" customHeight="1" x14ac:dyDescent="0.2">
      <c r="A82" s="2255"/>
      <c r="B82" s="2260"/>
      <c r="C82" s="2248"/>
      <c r="D82" s="3421"/>
      <c r="E82" s="1585"/>
      <c r="F82" s="2253"/>
      <c r="G82" s="1562"/>
      <c r="H82" s="1549" t="s">
        <v>22</v>
      </c>
      <c r="I82" s="2440"/>
      <c r="J82" s="2361">
        <v>2.2000000000000002</v>
      </c>
      <c r="K82" s="2377">
        <v>0</v>
      </c>
      <c r="L82" s="3440" t="s">
        <v>344</v>
      </c>
      <c r="M82" s="1664"/>
      <c r="N82" s="1566"/>
      <c r="O82" s="1551">
        <v>1</v>
      </c>
    </row>
    <row r="83" spans="1:15" x14ac:dyDescent="0.2">
      <c r="A83" s="2255"/>
      <c r="B83" s="2260"/>
      <c r="C83" s="2242"/>
      <c r="D83" s="3422"/>
      <c r="E83" s="2294"/>
      <c r="F83" s="2243"/>
      <c r="G83" s="1595"/>
      <c r="H83" s="1552" t="s">
        <v>23</v>
      </c>
      <c r="I83" s="2364"/>
      <c r="J83" s="2324">
        <f>SUM(J81:J82)</f>
        <v>2.2000000000000002</v>
      </c>
      <c r="K83" s="2323">
        <f>SUM(K81:K82)</f>
        <v>31.6</v>
      </c>
      <c r="L83" s="3441"/>
      <c r="M83" s="1365"/>
      <c r="N83" s="1842"/>
      <c r="O83" s="1409"/>
    </row>
    <row r="84" spans="1:15" ht="27" customHeight="1" x14ac:dyDescent="0.2">
      <c r="A84" s="2763"/>
      <c r="B84" s="2753"/>
      <c r="C84" s="2766"/>
      <c r="D84" s="3420" t="s">
        <v>456</v>
      </c>
      <c r="E84" s="2563" t="s">
        <v>4</v>
      </c>
      <c r="F84" s="2760" t="s">
        <v>21</v>
      </c>
      <c r="G84" s="1562">
        <v>5</v>
      </c>
      <c r="H84" s="1966" t="s">
        <v>22</v>
      </c>
      <c r="I84" s="2362"/>
      <c r="J84" s="2369">
        <v>45</v>
      </c>
      <c r="K84" s="2443"/>
      <c r="L84" s="3424" t="s">
        <v>457</v>
      </c>
      <c r="M84" s="1525" t="s">
        <v>345</v>
      </c>
      <c r="N84" s="1525">
        <v>100</v>
      </c>
      <c r="O84" s="1682"/>
    </row>
    <row r="85" spans="1:15" ht="27" customHeight="1" x14ac:dyDescent="0.2">
      <c r="A85" s="2763"/>
      <c r="B85" s="2753"/>
      <c r="C85" s="2766"/>
      <c r="D85" s="3421"/>
      <c r="E85" s="1585"/>
      <c r="F85" s="2760"/>
      <c r="G85" s="1562"/>
      <c r="H85" s="1965" t="s">
        <v>6</v>
      </c>
      <c r="I85" s="2441"/>
      <c r="J85" s="2359">
        <v>300</v>
      </c>
      <c r="K85" s="2444"/>
      <c r="L85" s="3424"/>
      <c r="M85" s="1864"/>
      <c r="N85" s="1864"/>
      <c r="O85" s="1238"/>
    </row>
    <row r="86" spans="1:15" x14ac:dyDescent="0.2">
      <c r="A86" s="2513"/>
      <c r="B86" s="2780"/>
      <c r="C86" s="2859"/>
      <c r="D86" s="3422"/>
      <c r="E86" s="2772"/>
      <c r="F86" s="2771"/>
      <c r="G86" s="2860"/>
      <c r="H86" s="1552" t="s">
        <v>23</v>
      </c>
      <c r="I86" s="2364"/>
      <c r="J86" s="2324">
        <f>SUM(J84:J85)</f>
        <v>345</v>
      </c>
      <c r="K86" s="2323">
        <f>SUM(K84:K85)</f>
        <v>0</v>
      </c>
      <c r="L86" s="2132"/>
      <c r="M86" s="1365"/>
      <c r="N86" s="1842"/>
      <c r="O86" s="1409"/>
    </row>
    <row r="87" spans="1:15" ht="18" customHeight="1" x14ac:dyDescent="0.2">
      <c r="A87" s="2541"/>
      <c r="B87" s="2542"/>
      <c r="C87" s="2543"/>
      <c r="D87" s="3421" t="s">
        <v>476</v>
      </c>
      <c r="E87" s="2858" t="s">
        <v>4</v>
      </c>
      <c r="F87" s="2760" t="s">
        <v>21</v>
      </c>
      <c r="G87" s="1562"/>
      <c r="H87" s="2809" t="s">
        <v>22</v>
      </c>
      <c r="I87" s="2362"/>
      <c r="J87" s="2365">
        <v>20</v>
      </c>
      <c r="K87" s="2321">
        <v>120</v>
      </c>
      <c r="L87" s="3424" t="s">
        <v>337</v>
      </c>
      <c r="M87" s="1525"/>
      <c r="N87" s="1525"/>
      <c r="O87" s="1872">
        <v>1</v>
      </c>
    </row>
    <row r="88" spans="1:15" x14ac:dyDescent="0.2">
      <c r="A88" s="2540"/>
      <c r="B88" s="2542"/>
      <c r="C88" s="2538"/>
      <c r="D88" s="3421"/>
      <c r="E88" s="1585"/>
      <c r="F88" s="2640"/>
      <c r="G88" s="2191"/>
      <c r="H88" s="1555" t="s">
        <v>23</v>
      </c>
      <c r="I88" s="2356"/>
      <c r="J88" s="2358">
        <f>J87</f>
        <v>20</v>
      </c>
      <c r="K88" s="2358">
        <f>K87</f>
        <v>120</v>
      </c>
      <c r="L88" s="3424"/>
      <c r="M88" s="1613"/>
      <c r="N88" s="2544"/>
      <c r="O88" s="1449"/>
    </row>
    <row r="89" spans="1:15" ht="14.25" customHeight="1" thickBot="1" x14ac:dyDescent="0.25">
      <c r="A89" s="2255"/>
      <c r="B89" s="2260"/>
      <c r="C89" s="2248"/>
      <c r="D89" s="3423"/>
      <c r="E89" s="3432" t="s">
        <v>218</v>
      </c>
      <c r="F89" s="3433"/>
      <c r="G89" s="3433"/>
      <c r="H89" s="3434"/>
      <c r="I89" s="2344">
        <f>I86+I83+I80+I78+I71</f>
        <v>46.7</v>
      </c>
      <c r="J89" s="2344">
        <f>J86+J83+J80+J78+J71+J88</f>
        <v>1006.4</v>
      </c>
      <c r="K89" s="2344">
        <f>K86+K83+K80+K78+K71+K88</f>
        <v>1039.3000000000002</v>
      </c>
      <c r="L89" s="3425"/>
      <c r="M89" s="2516"/>
      <c r="N89" s="2517"/>
      <c r="O89" s="2518"/>
    </row>
    <row r="90" spans="1:15" ht="27.75" customHeight="1" x14ac:dyDescent="0.2">
      <c r="A90" s="2761" t="s">
        <v>24</v>
      </c>
      <c r="B90" s="2762" t="s">
        <v>20</v>
      </c>
      <c r="C90" s="2770" t="s">
        <v>24</v>
      </c>
      <c r="D90" s="2708" t="s">
        <v>477</v>
      </c>
      <c r="E90" s="1836" t="s">
        <v>4</v>
      </c>
      <c r="F90" s="2759" t="s">
        <v>21</v>
      </c>
      <c r="G90" s="1542">
        <v>5</v>
      </c>
      <c r="H90" s="2201"/>
      <c r="I90" s="2448"/>
      <c r="J90" s="2710"/>
      <c r="K90" s="2711"/>
      <c r="L90" s="2712"/>
      <c r="M90" s="2713"/>
      <c r="N90" s="2714"/>
      <c r="O90" s="2524"/>
    </row>
    <row r="91" spans="1:15" ht="29.25" customHeight="1" x14ac:dyDescent="0.2">
      <c r="A91" s="2763"/>
      <c r="B91" s="2753"/>
      <c r="C91" s="2756"/>
      <c r="D91" s="3509" t="s">
        <v>514</v>
      </c>
      <c r="E91" s="1662"/>
      <c r="F91" s="1910"/>
      <c r="G91" s="2861"/>
      <c r="H91" s="1343" t="s">
        <v>22</v>
      </c>
      <c r="I91" s="2388">
        <v>2.2000000000000002</v>
      </c>
      <c r="J91" s="2337">
        <v>35.799999999999997</v>
      </c>
      <c r="K91" s="2330">
        <v>552.5</v>
      </c>
      <c r="L91" s="1646" t="s">
        <v>493</v>
      </c>
      <c r="M91" s="1664">
        <v>1</v>
      </c>
      <c r="N91" s="1664">
        <v>4</v>
      </c>
      <c r="O91" s="1551">
        <v>5</v>
      </c>
    </row>
    <row r="92" spans="1:15" ht="54" customHeight="1" x14ac:dyDescent="0.2">
      <c r="A92" s="2636"/>
      <c r="B92" s="2626"/>
      <c r="C92" s="2632"/>
      <c r="D92" s="3510"/>
      <c r="E92" s="1662"/>
      <c r="F92" s="1910"/>
      <c r="G92" s="1872"/>
      <c r="H92" s="2428"/>
      <c r="I92" s="2362"/>
      <c r="J92" s="2365"/>
      <c r="K92" s="2321"/>
      <c r="L92" s="2656" t="s">
        <v>494</v>
      </c>
      <c r="M92" s="1448"/>
      <c r="N92" s="1448">
        <v>1</v>
      </c>
      <c r="O92" s="1449">
        <v>4</v>
      </c>
    </row>
    <row r="93" spans="1:15" ht="14.25" customHeight="1" x14ac:dyDescent="0.2">
      <c r="A93" s="2257"/>
      <c r="B93" s="2260"/>
      <c r="C93" s="3228"/>
      <c r="D93" s="3509" t="s">
        <v>162</v>
      </c>
      <c r="E93" s="1662"/>
      <c r="F93" s="3543"/>
      <c r="G93" s="2020"/>
      <c r="H93" s="2305" t="s">
        <v>22</v>
      </c>
      <c r="I93" s="2442">
        <v>31.6</v>
      </c>
      <c r="J93" s="2337"/>
      <c r="K93" s="2330"/>
      <c r="L93" s="3440" t="s">
        <v>350</v>
      </c>
      <c r="M93" s="1658">
        <v>100</v>
      </c>
      <c r="N93" s="1658"/>
      <c r="O93" s="1532"/>
    </row>
    <row r="94" spans="1:15" ht="14.25" customHeight="1" x14ac:dyDescent="0.2">
      <c r="A94" s="2257"/>
      <c r="B94" s="2260"/>
      <c r="C94" s="3228"/>
      <c r="D94" s="3507"/>
      <c r="E94" s="1662"/>
      <c r="F94" s="3543"/>
      <c r="G94" s="2020"/>
      <c r="H94" s="2429" t="s">
        <v>5</v>
      </c>
      <c r="I94" s="2372">
        <v>1.5</v>
      </c>
      <c r="J94" s="2367"/>
      <c r="K94" s="2322"/>
      <c r="L94" s="3424"/>
      <c r="M94" s="1525"/>
      <c r="N94" s="2298"/>
      <c r="O94" s="1872"/>
    </row>
    <row r="95" spans="1:15" ht="14.25" customHeight="1" x14ac:dyDescent="0.2">
      <c r="A95" s="2257"/>
      <c r="B95" s="2260"/>
      <c r="C95" s="2262"/>
      <c r="D95" s="3507"/>
      <c r="E95" s="1662"/>
      <c r="F95" s="2021"/>
      <c r="G95" s="2051"/>
      <c r="H95" s="1477" t="s">
        <v>22</v>
      </c>
      <c r="I95" s="2373">
        <v>37.5</v>
      </c>
      <c r="J95" s="2367"/>
      <c r="K95" s="2322"/>
      <c r="L95" s="2649"/>
      <c r="M95" s="1525"/>
      <c r="N95" s="2298"/>
      <c r="O95" s="1872"/>
    </row>
    <row r="96" spans="1:15" ht="14.25" customHeight="1" x14ac:dyDescent="0.2">
      <c r="A96" s="2631"/>
      <c r="B96" s="2626"/>
      <c r="C96" s="2632"/>
      <c r="D96" s="3510"/>
      <c r="E96" s="1662"/>
      <c r="F96" s="2021"/>
      <c r="G96" s="2653"/>
      <c r="H96" s="1555" t="s">
        <v>479</v>
      </c>
      <c r="I96" s="2694">
        <f>SUM(I93:I95)</f>
        <v>70.599999999999994</v>
      </c>
      <c r="J96" s="2694"/>
      <c r="K96" s="2694"/>
      <c r="L96" s="2657"/>
      <c r="M96" s="1525"/>
      <c r="N96" s="2651"/>
      <c r="O96" s="1872"/>
    </row>
    <row r="97" spans="1:20" ht="17.25" customHeight="1" x14ac:dyDescent="0.2">
      <c r="A97" s="2636"/>
      <c r="B97" s="2626"/>
      <c r="C97" s="2632"/>
      <c r="D97" s="3544" t="s">
        <v>478</v>
      </c>
      <c r="E97" s="1713" t="s">
        <v>4</v>
      </c>
      <c r="F97" s="1904" t="s">
        <v>21</v>
      </c>
      <c r="G97" s="1984">
        <v>5</v>
      </c>
      <c r="H97" s="2568" t="s">
        <v>420</v>
      </c>
      <c r="I97" s="2366">
        <v>1838</v>
      </c>
      <c r="J97" s="2569"/>
      <c r="K97" s="2570"/>
      <c r="L97" s="2571" t="s">
        <v>354</v>
      </c>
      <c r="M97" s="1414">
        <v>100</v>
      </c>
      <c r="N97" s="1664"/>
      <c r="O97" s="1732"/>
      <c r="Q97" s="1602"/>
      <c r="R97" s="1603"/>
      <c r="S97" s="1603"/>
    </row>
    <row r="98" spans="1:20" ht="24" customHeight="1" x14ac:dyDescent="0.2">
      <c r="A98" s="2636"/>
      <c r="B98" s="2626"/>
      <c r="C98" s="2632"/>
      <c r="D98" s="3545"/>
      <c r="E98" s="3546" t="s">
        <v>128</v>
      </c>
      <c r="F98" s="2275"/>
      <c r="G98" s="2647"/>
      <c r="H98" s="2568" t="s">
        <v>22</v>
      </c>
      <c r="I98" s="2366">
        <v>600</v>
      </c>
      <c r="J98" s="2572">
        <v>946.9</v>
      </c>
      <c r="K98" s="2573"/>
      <c r="L98" s="2574"/>
      <c r="M98" s="1236"/>
      <c r="N98" s="1407"/>
      <c r="O98" s="1682"/>
      <c r="Q98" s="1602"/>
      <c r="R98" s="1603"/>
      <c r="S98" s="1603"/>
    </row>
    <row r="99" spans="1:20" ht="15" customHeight="1" x14ac:dyDescent="0.2">
      <c r="A99" s="2631"/>
      <c r="B99" s="2626"/>
      <c r="C99" s="2632"/>
      <c r="D99" s="2652"/>
      <c r="E99" s="3547"/>
      <c r="F99" s="2275"/>
      <c r="G99" s="2647"/>
      <c r="H99" s="1555" t="s">
        <v>23</v>
      </c>
      <c r="I99" s="2356">
        <f>SUM(I97:I98)</f>
        <v>2438</v>
      </c>
      <c r="J99" s="2695">
        <f>SUM(J97:J98)</f>
        <v>946.9</v>
      </c>
      <c r="K99" s="2696"/>
      <c r="L99" s="2574"/>
      <c r="M99" s="1236"/>
      <c r="N99" s="1407"/>
      <c r="O99" s="1682"/>
      <c r="Q99" s="1602"/>
      <c r="R99" s="1603"/>
      <c r="S99" s="1603"/>
    </row>
    <row r="100" spans="1:20" ht="30" customHeight="1" x14ac:dyDescent="0.2">
      <c r="A100" s="2631"/>
      <c r="B100" s="2626"/>
      <c r="C100" s="2632"/>
      <c r="D100" s="2476" t="s">
        <v>336</v>
      </c>
      <c r="E100" s="2690"/>
      <c r="F100" s="2691"/>
      <c r="G100" s="2692"/>
      <c r="H100" s="2668" t="s">
        <v>170</v>
      </c>
      <c r="I100" s="2693"/>
      <c r="J100" s="2367">
        <v>125</v>
      </c>
      <c r="K100" s="2322">
        <v>1300</v>
      </c>
      <c r="L100" s="1736" t="s">
        <v>337</v>
      </c>
      <c r="M100" s="1658"/>
      <c r="N100" s="1658">
        <v>1</v>
      </c>
      <c r="O100" s="1532"/>
    </row>
    <row r="101" spans="1:20" ht="15" customHeight="1" x14ac:dyDescent="0.2">
      <c r="A101" s="2636"/>
      <c r="B101" s="2626"/>
      <c r="C101" s="2632"/>
      <c r="D101" s="2652"/>
      <c r="E101" s="2643"/>
      <c r="F101" s="2687"/>
      <c r="G101" s="2688"/>
      <c r="H101" s="2697" t="s">
        <v>23</v>
      </c>
      <c r="I101" s="2379"/>
      <c r="J101" s="2381">
        <f>J100</f>
        <v>125</v>
      </c>
      <c r="K101" s="2381">
        <f>K100</f>
        <v>1300</v>
      </c>
      <c r="L101" s="2648" t="s">
        <v>338</v>
      </c>
      <c r="M101" s="1643"/>
      <c r="N101" s="1644"/>
      <c r="O101" s="1532">
        <v>50</v>
      </c>
    </row>
    <row r="102" spans="1:20" ht="15" customHeight="1" thickBot="1" x14ac:dyDescent="0.25">
      <c r="A102" s="2636"/>
      <c r="B102" s="2626"/>
      <c r="C102" s="2632"/>
      <c r="D102" s="2652"/>
      <c r="E102" s="3548" t="s">
        <v>218</v>
      </c>
      <c r="F102" s="3549"/>
      <c r="G102" s="3549"/>
      <c r="H102" s="3550"/>
      <c r="I102" s="2379">
        <f>I101+I99+I96+I91</f>
        <v>2510.7999999999997</v>
      </c>
      <c r="J102" s="2379">
        <f t="shared" ref="J102:K102" si="4">J101+J99+J96+J91</f>
        <v>1107.7</v>
      </c>
      <c r="K102" s="2379">
        <f t="shared" si="4"/>
        <v>1852.5</v>
      </c>
      <c r="L102" s="2650"/>
      <c r="M102" s="1611"/>
      <c r="N102" s="1283"/>
      <c r="O102" s="1872"/>
    </row>
    <row r="103" spans="1:20" ht="27" customHeight="1" x14ac:dyDescent="0.2">
      <c r="A103" s="2633" t="s">
        <v>24</v>
      </c>
      <c r="B103" s="2634" t="s">
        <v>20</v>
      </c>
      <c r="C103" s="2628" t="s">
        <v>26</v>
      </c>
      <c r="D103" s="1675" t="s">
        <v>46</v>
      </c>
      <c r="E103" s="1676"/>
      <c r="F103" s="1902"/>
      <c r="G103" s="1825"/>
      <c r="H103" s="2658"/>
      <c r="I103" s="2387"/>
      <c r="J103" s="2313"/>
      <c r="K103" s="2312"/>
      <c r="L103" s="1515" t="s">
        <v>447</v>
      </c>
      <c r="M103" s="1608">
        <v>1</v>
      </c>
      <c r="N103" s="1678"/>
      <c r="O103" s="1598"/>
    </row>
    <row r="104" spans="1:20" ht="16.5" customHeight="1" x14ac:dyDescent="0.2">
      <c r="A104" s="2636"/>
      <c r="B104" s="2626"/>
      <c r="C104" s="2632"/>
      <c r="D104" s="3539" t="s">
        <v>446</v>
      </c>
      <c r="E104" s="1662" t="s">
        <v>4</v>
      </c>
      <c r="F104" s="2627" t="s">
        <v>21</v>
      </c>
      <c r="G104" s="1679">
        <v>5</v>
      </c>
      <c r="H104" s="2669" t="s">
        <v>22</v>
      </c>
      <c r="I104" s="2331">
        <v>4</v>
      </c>
      <c r="J104" s="2424">
        <v>62.1</v>
      </c>
      <c r="K104" s="2339">
        <v>50.7</v>
      </c>
      <c r="L104" s="1681" t="s">
        <v>353</v>
      </c>
      <c r="M104" s="1525">
        <v>1</v>
      </c>
      <c r="N104" s="1525"/>
      <c r="O104" s="1682"/>
      <c r="Q104" s="3442"/>
      <c r="R104" s="3541"/>
      <c r="S104" s="3541"/>
      <c r="T104" s="3541"/>
    </row>
    <row r="105" spans="1:20" ht="17.25" customHeight="1" x14ac:dyDescent="0.2">
      <c r="A105" s="2631"/>
      <c r="B105" s="2626"/>
      <c r="C105" s="1683"/>
      <c r="D105" s="3539"/>
      <c r="E105" s="1662"/>
      <c r="F105" s="2627"/>
      <c r="G105" s="1679"/>
      <c r="H105" s="1477" t="s">
        <v>170</v>
      </c>
      <c r="I105" s="2441"/>
      <c r="J105" s="2361">
        <v>35.700000000000003</v>
      </c>
      <c r="K105" s="2377">
        <v>652.79999999999995</v>
      </c>
      <c r="L105" s="1681" t="s">
        <v>343</v>
      </c>
      <c r="M105" s="1525"/>
      <c r="N105" s="2651">
        <v>1</v>
      </c>
      <c r="O105" s="1682"/>
      <c r="Q105" s="3442"/>
      <c r="R105" s="3541"/>
      <c r="S105" s="3541"/>
      <c r="T105" s="3541"/>
    </row>
    <row r="106" spans="1:20" ht="26.25" thickBot="1" x14ac:dyDescent="0.25">
      <c r="A106" s="2631"/>
      <c r="B106" s="2626"/>
      <c r="C106" s="1683"/>
      <c r="D106" s="3478"/>
      <c r="E106" s="1662"/>
      <c r="F106" s="2646"/>
      <c r="G106" s="1687"/>
      <c r="H106" s="1434" t="s">
        <v>23</v>
      </c>
      <c r="I106" s="2344">
        <f>SUM(I104:I105)</f>
        <v>4</v>
      </c>
      <c r="J106" s="2346">
        <f>SUM(J104:J105)</f>
        <v>97.800000000000011</v>
      </c>
      <c r="K106" s="2376">
        <f>SUM(K104:K105)</f>
        <v>703.5</v>
      </c>
      <c r="L106" s="1688" t="s">
        <v>352</v>
      </c>
      <c r="M106" s="1609"/>
      <c r="N106" s="1673"/>
      <c r="O106" s="1599">
        <v>30</v>
      </c>
      <c r="Q106" s="2310"/>
      <c r="R106" s="2298"/>
      <c r="S106" s="2298"/>
      <c r="T106" s="2298"/>
    </row>
    <row r="107" spans="1:20" ht="15.75" customHeight="1" x14ac:dyDescent="0.2">
      <c r="A107" s="2636"/>
      <c r="B107" s="2626"/>
      <c r="C107" s="2632"/>
      <c r="D107" s="3521" t="s">
        <v>495</v>
      </c>
      <c r="E107" s="1667" t="s">
        <v>4</v>
      </c>
      <c r="F107" s="1904" t="s">
        <v>21</v>
      </c>
      <c r="G107" s="1689">
        <v>5</v>
      </c>
      <c r="H107" s="2669" t="s">
        <v>22</v>
      </c>
      <c r="I107" s="2362">
        <v>2.2000000000000002</v>
      </c>
      <c r="J107" s="2446"/>
      <c r="K107" s="2406">
        <v>50</v>
      </c>
      <c r="L107" s="1690" t="s">
        <v>353</v>
      </c>
      <c r="M107" s="1691">
        <v>1</v>
      </c>
      <c r="N107" s="1691"/>
      <c r="O107" s="1692"/>
      <c r="Q107" s="1604"/>
      <c r="R107" s="2298"/>
      <c r="S107" s="2298"/>
      <c r="T107" s="2298"/>
    </row>
    <row r="108" spans="1:20" ht="17.25" customHeight="1" x14ac:dyDescent="0.2">
      <c r="A108" s="2631"/>
      <c r="B108" s="2626"/>
      <c r="C108" s="1683"/>
      <c r="D108" s="3539"/>
      <c r="E108" s="1662"/>
      <c r="F108" s="2627"/>
      <c r="G108" s="1679"/>
      <c r="H108" s="1477" t="s">
        <v>170</v>
      </c>
      <c r="I108" s="2441"/>
      <c r="J108" s="2447">
        <v>31.6</v>
      </c>
      <c r="K108" s="2377">
        <v>508.4</v>
      </c>
      <c r="L108" s="1681" t="s">
        <v>343</v>
      </c>
      <c r="M108" s="1525"/>
      <c r="N108" s="2651">
        <v>1</v>
      </c>
      <c r="O108" s="1682"/>
      <c r="Q108" s="1604"/>
      <c r="R108" s="2298"/>
      <c r="S108" s="2298"/>
      <c r="T108" s="2298"/>
    </row>
    <row r="109" spans="1:20" ht="26.25" thickBot="1" x14ac:dyDescent="0.25">
      <c r="A109" s="2631"/>
      <c r="B109" s="2626"/>
      <c r="C109" s="1683"/>
      <c r="D109" s="3478"/>
      <c r="E109" s="1662"/>
      <c r="F109" s="2646"/>
      <c r="G109" s="1687"/>
      <c r="H109" s="1434" t="s">
        <v>23</v>
      </c>
      <c r="I109" s="2344">
        <f>SUM(I107:I108)</f>
        <v>2.2000000000000002</v>
      </c>
      <c r="J109" s="2346">
        <f>SUM(J107:J108)</f>
        <v>31.6</v>
      </c>
      <c r="K109" s="2376">
        <f>SUM(K107:K108)</f>
        <v>558.4</v>
      </c>
      <c r="L109" s="1688" t="s">
        <v>352</v>
      </c>
      <c r="M109" s="1609"/>
      <c r="N109" s="1673"/>
      <c r="O109" s="1599">
        <v>100</v>
      </c>
      <c r="Q109" s="1604"/>
      <c r="R109" s="2298"/>
      <c r="S109" s="2298"/>
      <c r="T109" s="2298"/>
    </row>
    <row r="110" spans="1:20" ht="20.25" customHeight="1" x14ac:dyDescent="0.2">
      <c r="A110" s="2636"/>
      <c r="B110" s="2626"/>
      <c r="C110" s="2632"/>
      <c r="D110" s="3521" t="s">
        <v>400</v>
      </c>
      <c r="E110" s="1667" t="s">
        <v>4</v>
      </c>
      <c r="F110" s="1904" t="s">
        <v>21</v>
      </c>
      <c r="G110" s="1689">
        <v>5</v>
      </c>
      <c r="H110" s="2669" t="s">
        <v>22</v>
      </c>
      <c r="I110" s="2362"/>
      <c r="J110" s="2446"/>
      <c r="K110" s="2377">
        <v>2.2000000000000002</v>
      </c>
      <c r="L110" s="3542" t="s">
        <v>353</v>
      </c>
      <c r="M110" s="1691"/>
      <c r="N110" s="1691"/>
      <c r="O110" s="1692">
        <v>1</v>
      </c>
      <c r="Q110" s="2310"/>
      <c r="R110" s="2298"/>
      <c r="S110" s="2298"/>
      <c r="T110" s="2298"/>
    </row>
    <row r="111" spans="1:20" x14ac:dyDescent="0.2">
      <c r="A111" s="2631"/>
      <c r="B111" s="2626"/>
      <c r="C111" s="1683"/>
      <c r="D111" s="3539"/>
      <c r="E111" s="1845"/>
      <c r="F111" s="2646"/>
      <c r="G111" s="1687"/>
      <c r="H111" s="1555" t="s">
        <v>23</v>
      </c>
      <c r="I111" s="2379"/>
      <c r="J111" s="2381"/>
      <c r="K111" s="2378">
        <f>SUM(K110)</f>
        <v>2.2000000000000002</v>
      </c>
      <c r="L111" s="3424"/>
      <c r="M111" s="1611"/>
      <c r="N111" s="1283"/>
      <c r="O111" s="1872"/>
    </row>
    <row r="112" spans="1:20" ht="13.5" customHeight="1" thickBot="1" x14ac:dyDescent="0.25">
      <c r="A112" s="2630"/>
      <c r="B112" s="2635"/>
      <c r="C112" s="2629"/>
      <c r="D112" s="3540"/>
      <c r="E112" s="3432" t="s">
        <v>218</v>
      </c>
      <c r="F112" s="3433"/>
      <c r="G112" s="3433"/>
      <c r="H112" s="3434"/>
      <c r="I112" s="2344">
        <f>I111+I109+I106</f>
        <v>6.2</v>
      </c>
      <c r="J112" s="2346">
        <f t="shared" ref="J112:K112" si="5">J111+J109+J106</f>
        <v>129.4</v>
      </c>
      <c r="K112" s="2345">
        <f t="shared" si="5"/>
        <v>1264.0999999999999</v>
      </c>
      <c r="L112" s="2430"/>
      <c r="M112" s="2458"/>
      <c r="N112" s="2458"/>
      <c r="O112" s="2459"/>
    </row>
    <row r="113" spans="1:15" ht="43.5" customHeight="1" x14ac:dyDescent="0.2">
      <c r="A113" s="2254" t="s">
        <v>24</v>
      </c>
      <c r="B113" s="2259" t="s">
        <v>20</v>
      </c>
      <c r="C113" s="1700" t="s">
        <v>28</v>
      </c>
      <c r="D113" s="1705" t="s">
        <v>433</v>
      </c>
      <c r="E113" s="1861"/>
      <c r="F113" s="1902" t="s">
        <v>21</v>
      </c>
      <c r="G113" s="2106">
        <v>2</v>
      </c>
      <c r="H113" s="2307" t="s">
        <v>22</v>
      </c>
      <c r="I113" s="2387">
        <f>181.6+15</f>
        <v>196.6</v>
      </c>
      <c r="J113" s="2313">
        <v>15</v>
      </c>
      <c r="K113" s="2374">
        <v>15</v>
      </c>
      <c r="L113" s="1637"/>
      <c r="M113" s="1608"/>
      <c r="N113" s="1514"/>
      <c r="O113" s="1598"/>
    </row>
    <row r="114" spans="1:15" ht="42" customHeight="1" x14ac:dyDescent="0.2">
      <c r="A114" s="2255"/>
      <c r="B114" s="2260"/>
      <c r="C114" s="1701"/>
      <c r="D114" s="1933" t="s">
        <v>437</v>
      </c>
      <c r="E114" s="2282"/>
      <c r="F114" s="2103"/>
      <c r="G114" s="1508"/>
      <c r="H114" s="2306"/>
      <c r="I114" s="2331"/>
      <c r="J114" s="2365"/>
      <c r="K114" s="2321"/>
      <c r="L114" s="2287" t="s">
        <v>497</v>
      </c>
      <c r="M114" s="1611">
        <v>3</v>
      </c>
      <c r="N114" s="1283"/>
      <c r="O114" s="1872"/>
    </row>
    <row r="115" spans="1:15" ht="42.75" customHeight="1" x14ac:dyDescent="0.2">
      <c r="A115" s="2255"/>
      <c r="B115" s="2260"/>
      <c r="C115" s="1701"/>
      <c r="D115" s="2098" t="s">
        <v>438</v>
      </c>
      <c r="E115" s="2282"/>
      <c r="F115" s="2103"/>
      <c r="G115" s="1508"/>
      <c r="H115" s="2306"/>
      <c r="I115" s="2331"/>
      <c r="J115" s="2365"/>
      <c r="K115" s="2321"/>
      <c r="L115" s="1646" t="s">
        <v>380</v>
      </c>
      <c r="M115" s="1643">
        <v>9</v>
      </c>
      <c r="N115" s="1644"/>
      <c r="O115" s="1532"/>
    </row>
    <row r="116" spans="1:15" ht="42.75" customHeight="1" x14ac:dyDescent="0.2">
      <c r="A116" s="2255"/>
      <c r="B116" s="2260"/>
      <c r="C116" s="1701"/>
      <c r="D116" s="1933" t="s">
        <v>496</v>
      </c>
      <c r="E116" s="2282"/>
      <c r="F116" s="2103"/>
      <c r="G116" s="1508"/>
      <c r="H116" s="2306"/>
      <c r="I116" s="2331"/>
      <c r="J116" s="2365"/>
      <c r="K116" s="2321"/>
      <c r="L116" s="1653" t="s">
        <v>381</v>
      </c>
      <c r="M116" s="1708">
        <v>9</v>
      </c>
      <c r="N116" s="1697"/>
      <c r="O116" s="1879"/>
    </row>
    <row r="117" spans="1:15" ht="19.5" customHeight="1" x14ac:dyDescent="0.2">
      <c r="A117" s="2255"/>
      <c r="B117" s="2260"/>
      <c r="C117" s="1701"/>
      <c r="D117" s="3515" t="s">
        <v>439</v>
      </c>
      <c r="E117" s="2282"/>
      <c r="F117" s="2103"/>
      <c r="G117" s="1508"/>
      <c r="H117" s="2306"/>
      <c r="I117" s="2386"/>
      <c r="J117" s="2365"/>
      <c r="K117" s="2321"/>
      <c r="L117" s="2287" t="s">
        <v>498</v>
      </c>
      <c r="M117" s="1643">
        <v>2</v>
      </c>
      <c r="N117" s="1644"/>
      <c r="O117" s="1532"/>
    </row>
    <row r="118" spans="1:15" ht="21" customHeight="1" x14ac:dyDescent="0.2">
      <c r="A118" s="2255"/>
      <c r="B118" s="2260"/>
      <c r="C118" s="1701"/>
      <c r="D118" s="3534"/>
      <c r="E118" s="2282"/>
      <c r="F118" s="2103"/>
      <c r="G118" s="1508"/>
      <c r="H118" s="2306"/>
      <c r="I118" s="2386"/>
      <c r="J118" s="2365"/>
      <c r="K118" s="2321"/>
      <c r="L118" s="2107" t="s">
        <v>382</v>
      </c>
      <c r="M118" s="1225">
        <v>336</v>
      </c>
      <c r="N118" s="1278"/>
      <c r="O118" s="1510"/>
    </row>
    <row r="119" spans="1:15" ht="41.25" customHeight="1" x14ac:dyDescent="0.2">
      <c r="A119" s="2908"/>
      <c r="B119" s="2907"/>
      <c r="C119" s="1701"/>
      <c r="D119" s="3536" t="s">
        <v>499</v>
      </c>
      <c r="E119" s="2207"/>
      <c r="F119" s="2103"/>
      <c r="G119" s="1508"/>
      <c r="H119" s="2910"/>
      <c r="I119" s="2386"/>
      <c r="J119" s="2365"/>
      <c r="K119" s="2321"/>
      <c r="L119" s="1710" t="s">
        <v>500</v>
      </c>
      <c r="M119" s="1711">
        <v>1</v>
      </c>
      <c r="N119" s="1711"/>
      <c r="O119" s="1712"/>
    </row>
    <row r="120" spans="1:15" ht="45" customHeight="1" x14ac:dyDescent="0.2">
      <c r="A120" s="2513"/>
      <c r="B120" s="2909"/>
      <c r="C120" s="2866"/>
      <c r="D120" s="3537"/>
      <c r="E120" s="2867"/>
      <c r="F120" s="2868"/>
      <c r="G120" s="1576"/>
      <c r="H120" s="2911"/>
      <c r="I120" s="2869"/>
      <c r="J120" s="2716"/>
      <c r="K120" s="2717"/>
      <c r="L120" s="1710" t="s">
        <v>445</v>
      </c>
      <c r="M120" s="1711">
        <v>1</v>
      </c>
      <c r="N120" s="2238"/>
      <c r="O120" s="1712"/>
    </row>
    <row r="121" spans="1:15" ht="51.75" customHeight="1" x14ac:dyDescent="0.2">
      <c r="A121" s="2636"/>
      <c r="B121" s="2626"/>
      <c r="C121" s="1701"/>
      <c r="D121" s="3507"/>
      <c r="E121" s="2644"/>
      <c r="F121" s="2103"/>
      <c r="G121" s="1508"/>
      <c r="H121" s="2669"/>
      <c r="I121" s="2386"/>
      <c r="J121" s="2365"/>
      <c r="K121" s="2321"/>
      <c r="L121" s="1638" t="s">
        <v>430</v>
      </c>
      <c r="M121" s="1225">
        <v>37</v>
      </c>
      <c r="N121" s="1278"/>
      <c r="O121" s="1510"/>
    </row>
    <row r="122" spans="1:15" ht="17.25" customHeight="1" x14ac:dyDescent="0.2">
      <c r="A122" s="2636"/>
      <c r="B122" s="2626"/>
      <c r="C122" s="1701"/>
      <c r="D122" s="3507"/>
      <c r="E122" s="2644"/>
      <c r="F122" s="2103"/>
      <c r="G122" s="1508"/>
      <c r="H122" s="2669"/>
      <c r="I122" s="2386"/>
      <c r="J122" s="2365"/>
      <c r="K122" s="2321"/>
      <c r="L122" s="1653" t="s">
        <v>429</v>
      </c>
      <c r="M122" s="1708">
        <v>33</v>
      </c>
      <c r="N122" s="1697"/>
      <c r="O122" s="1879"/>
    </row>
    <row r="123" spans="1:15" ht="28.5" customHeight="1" x14ac:dyDescent="0.2">
      <c r="A123" s="2763"/>
      <c r="B123" s="2753"/>
      <c r="C123" s="1701"/>
      <c r="D123" s="3510"/>
      <c r="E123" s="2784"/>
      <c r="F123" s="2103"/>
      <c r="G123" s="1508"/>
      <c r="H123" s="2809"/>
      <c r="I123" s="2386"/>
      <c r="J123" s="2365"/>
      <c r="K123" s="2321"/>
      <c r="L123" s="2107" t="s">
        <v>501</v>
      </c>
      <c r="M123" s="1225">
        <v>3</v>
      </c>
      <c r="N123" s="1278"/>
      <c r="O123" s="1510"/>
    </row>
    <row r="124" spans="1:15" ht="20.25" customHeight="1" x14ac:dyDescent="0.2">
      <c r="A124" s="2255"/>
      <c r="B124" s="2260"/>
      <c r="C124" s="2262"/>
      <c r="D124" s="3507" t="s">
        <v>399</v>
      </c>
      <c r="E124" s="2282"/>
      <c r="F124" s="1906"/>
      <c r="G124" s="2168"/>
      <c r="H124" s="2306"/>
      <c r="I124" s="2362"/>
      <c r="J124" s="2365"/>
      <c r="K124" s="2377"/>
      <c r="L124" s="3512" t="s">
        <v>502</v>
      </c>
      <c r="M124" s="3523" t="s">
        <v>423</v>
      </c>
      <c r="N124" s="1283"/>
      <c r="O124" s="1872"/>
    </row>
    <row r="125" spans="1:15" ht="20.25" customHeight="1" x14ac:dyDescent="0.2">
      <c r="A125" s="2255"/>
      <c r="B125" s="2260"/>
      <c r="C125" s="2300"/>
      <c r="D125" s="3510"/>
      <c r="E125" s="2282"/>
      <c r="F125" s="1906"/>
      <c r="G125" s="1508"/>
      <c r="H125" s="2306"/>
      <c r="I125" s="2362"/>
      <c r="J125" s="2365"/>
      <c r="K125" s="2321"/>
      <c r="L125" s="3538"/>
      <c r="M125" s="3524"/>
      <c r="N125" s="1278"/>
      <c r="O125" s="1510"/>
    </row>
    <row r="126" spans="1:15" ht="30" customHeight="1" x14ac:dyDescent="0.2">
      <c r="A126" s="2255"/>
      <c r="B126" s="2260"/>
      <c r="C126" s="1701"/>
      <c r="D126" s="1721" t="s">
        <v>459</v>
      </c>
      <c r="E126" s="2282"/>
      <c r="F126" s="2103"/>
      <c r="G126" s="1508"/>
      <c r="H126" s="2306"/>
      <c r="I126" s="2386"/>
      <c r="J126" s="2365"/>
      <c r="K126" s="2321"/>
      <c r="L126" s="1653" t="s">
        <v>503</v>
      </c>
      <c r="M126" s="1708">
        <v>22</v>
      </c>
      <c r="N126" s="1697"/>
      <c r="O126" s="1879"/>
    </row>
    <row r="127" spans="1:15" ht="30.75" customHeight="1" x14ac:dyDescent="0.2">
      <c r="A127" s="2255"/>
      <c r="B127" s="2260"/>
      <c r="C127" s="1701"/>
      <c r="D127" s="2476" t="s">
        <v>450</v>
      </c>
      <c r="E127" s="2282"/>
      <c r="F127" s="2103"/>
      <c r="G127" s="1508"/>
      <c r="H127" s="2467"/>
      <c r="I127" s="2331"/>
      <c r="J127" s="2365"/>
      <c r="K127" s="2321"/>
      <c r="L127" s="1993" t="s">
        <v>451</v>
      </c>
      <c r="M127" s="1611">
        <v>100</v>
      </c>
      <c r="N127" s="1283"/>
      <c r="O127" s="1872"/>
    </row>
    <row r="128" spans="1:15" ht="19.5" customHeight="1" x14ac:dyDescent="0.2">
      <c r="A128" s="2465"/>
      <c r="B128" s="2466"/>
      <c r="C128" s="1701"/>
      <c r="D128" s="3509" t="s">
        <v>406</v>
      </c>
      <c r="E128" s="3525" t="s">
        <v>127</v>
      </c>
      <c r="F128" s="2103"/>
      <c r="G128" s="1508"/>
      <c r="H128" s="2467"/>
      <c r="I128" s="2386"/>
      <c r="J128" s="2365"/>
      <c r="K128" s="2321"/>
      <c r="L128" s="2072" t="s">
        <v>409</v>
      </c>
      <c r="M128" s="1643">
        <v>3</v>
      </c>
      <c r="N128" s="1644">
        <v>3</v>
      </c>
      <c r="O128" s="1532">
        <v>3</v>
      </c>
    </row>
    <row r="129" spans="1:15" ht="20.25" customHeight="1" x14ac:dyDescent="0.2">
      <c r="A129" s="2465"/>
      <c r="B129" s="2466"/>
      <c r="C129" s="1701"/>
      <c r="D129" s="3507"/>
      <c r="E129" s="3526"/>
      <c r="F129" s="2103"/>
      <c r="G129" s="1508"/>
      <c r="H129" s="2467"/>
      <c r="I129" s="2331"/>
      <c r="J129" s="2365"/>
      <c r="K129" s="2321"/>
      <c r="L129" s="1993"/>
      <c r="M129" s="1611"/>
      <c r="N129" s="1283"/>
      <c r="O129" s="1872"/>
    </row>
    <row r="130" spans="1:15" ht="15.75" customHeight="1" thickBot="1" x14ac:dyDescent="0.25">
      <c r="A130" s="2255"/>
      <c r="B130" s="2260"/>
      <c r="C130" s="1701"/>
      <c r="D130" s="2477"/>
      <c r="E130" s="1704" t="s">
        <v>58</v>
      </c>
      <c r="F130" s="2074"/>
      <c r="G130" s="2109"/>
      <c r="H130" s="1555" t="s">
        <v>23</v>
      </c>
      <c r="I130" s="2379">
        <f>SUM(I113:I127)</f>
        <v>196.6</v>
      </c>
      <c r="J130" s="2379">
        <f t="shared" ref="J130:K130" si="6">SUM(J113:J127)</f>
        <v>15</v>
      </c>
      <c r="K130" s="2379">
        <f t="shared" si="6"/>
        <v>15</v>
      </c>
      <c r="L130" s="1639"/>
      <c r="M130" s="1609"/>
      <c r="N130" s="2278"/>
      <c r="O130" s="1599"/>
    </row>
    <row r="131" spans="1:15" ht="13.5" thickBot="1" x14ac:dyDescent="0.25">
      <c r="A131" s="2063" t="s">
        <v>24</v>
      </c>
      <c r="B131" s="32" t="s">
        <v>20</v>
      </c>
      <c r="C131" s="3480" t="s">
        <v>27</v>
      </c>
      <c r="D131" s="3481"/>
      <c r="E131" s="3481"/>
      <c r="F131" s="3481"/>
      <c r="G131" s="3481"/>
      <c r="H131" s="3481"/>
      <c r="I131" s="2383">
        <f>I130+I112+I102+I89</f>
        <v>2760.2999999999997</v>
      </c>
      <c r="J131" s="2383">
        <f t="shared" ref="J131:K131" si="7">J130+J112+J102+J89</f>
        <v>2258.5</v>
      </c>
      <c r="K131" s="2383">
        <f t="shared" si="7"/>
        <v>4170.8999999999996</v>
      </c>
      <c r="L131" s="3483"/>
      <c r="M131" s="3484"/>
      <c r="N131" s="3484"/>
      <c r="O131" s="3485"/>
    </row>
    <row r="132" spans="1:15" ht="13.5" thickBot="1" x14ac:dyDescent="0.25">
      <c r="A132" s="2257" t="s">
        <v>24</v>
      </c>
      <c r="B132" s="14" t="s">
        <v>24</v>
      </c>
      <c r="C132" s="3527" t="s">
        <v>426</v>
      </c>
      <c r="D132" s="3528"/>
      <c r="E132" s="3528"/>
      <c r="F132" s="3528"/>
      <c r="G132" s="3528"/>
      <c r="H132" s="3528"/>
      <c r="I132" s="3528"/>
      <c r="J132" s="3528"/>
      <c r="K132" s="3528"/>
      <c r="L132" s="3528"/>
      <c r="M132" s="3528"/>
      <c r="N132" s="3528"/>
      <c r="O132" s="3529"/>
    </row>
    <row r="133" spans="1:15" ht="30" customHeight="1" x14ac:dyDescent="0.2">
      <c r="A133" s="2064" t="s">
        <v>24</v>
      </c>
      <c r="B133" s="2065" t="s">
        <v>24</v>
      </c>
      <c r="C133" s="751" t="s">
        <v>20</v>
      </c>
      <c r="D133" s="3521" t="s">
        <v>284</v>
      </c>
      <c r="E133" s="3522" t="s">
        <v>132</v>
      </c>
      <c r="F133" s="1902" t="s">
        <v>21</v>
      </c>
      <c r="G133" s="2070">
        <v>2</v>
      </c>
      <c r="H133" s="1794" t="s">
        <v>22</v>
      </c>
      <c r="I133" s="2431">
        <v>29.2</v>
      </c>
      <c r="J133" s="2382">
        <v>37.200000000000003</v>
      </c>
      <c r="K133" s="2385">
        <v>40.299999999999997</v>
      </c>
      <c r="L133" s="1800" t="s">
        <v>66</v>
      </c>
      <c r="M133" s="1878">
        <v>8</v>
      </c>
      <c r="N133" s="1878">
        <v>9</v>
      </c>
      <c r="O133" s="1879">
        <v>11</v>
      </c>
    </row>
    <row r="134" spans="1:15" ht="15.75" customHeight="1" thickBot="1" x14ac:dyDescent="0.25">
      <c r="A134" s="2066"/>
      <c r="B134" s="2067"/>
      <c r="C134" s="2262"/>
      <c r="D134" s="3478"/>
      <c r="E134" s="3516"/>
      <c r="F134" s="2074"/>
      <c r="G134" s="2283"/>
      <c r="H134" s="1273" t="s">
        <v>23</v>
      </c>
      <c r="I134" s="2343">
        <f t="shared" ref="I134:K134" si="8">I133</f>
        <v>29.2</v>
      </c>
      <c r="J134" s="2315">
        <f t="shared" si="8"/>
        <v>37.200000000000003</v>
      </c>
      <c r="K134" s="2314">
        <f t="shared" si="8"/>
        <v>40.299999999999997</v>
      </c>
      <c r="L134" s="1715" t="s">
        <v>427</v>
      </c>
      <c r="M134" s="1852">
        <v>272</v>
      </c>
      <c r="N134" s="1852">
        <v>310</v>
      </c>
      <c r="O134" s="1563">
        <v>413</v>
      </c>
    </row>
    <row r="135" spans="1:15" ht="31.5" customHeight="1" x14ac:dyDescent="0.2">
      <c r="A135" s="2254" t="s">
        <v>24</v>
      </c>
      <c r="B135" s="2259" t="s">
        <v>24</v>
      </c>
      <c r="C135" s="132" t="s">
        <v>24</v>
      </c>
      <c r="D135" s="2069" t="s">
        <v>424</v>
      </c>
      <c r="E135" s="2309"/>
      <c r="F135" s="1902" t="s">
        <v>21</v>
      </c>
      <c r="G135" s="2070">
        <v>2</v>
      </c>
      <c r="H135" s="1323"/>
      <c r="I135" s="2316"/>
      <c r="J135" s="2313"/>
      <c r="K135" s="2374"/>
      <c r="L135" s="2266"/>
      <c r="M135" s="1570"/>
      <c r="N135" s="1860"/>
      <c r="O135" s="1598"/>
    </row>
    <row r="136" spans="1:15" ht="14.25" customHeight="1" x14ac:dyDescent="0.2">
      <c r="A136" s="2255"/>
      <c r="B136" s="2260"/>
      <c r="C136" s="131"/>
      <c r="D136" s="3515" t="s">
        <v>385</v>
      </c>
      <c r="E136" s="2276"/>
      <c r="F136" s="2265"/>
      <c r="G136" s="2051"/>
      <c r="H136" s="1254" t="s">
        <v>22</v>
      </c>
      <c r="I136" s="2451">
        <v>54.4</v>
      </c>
      <c r="J136" s="2479">
        <v>45.7</v>
      </c>
      <c r="K136" s="2480">
        <v>44.3</v>
      </c>
      <c r="L136" s="1854" t="s">
        <v>363</v>
      </c>
      <c r="M136" s="1818">
        <v>5</v>
      </c>
      <c r="N136" s="2296">
        <v>5</v>
      </c>
      <c r="O136" s="1872">
        <v>5</v>
      </c>
    </row>
    <row r="137" spans="1:15" ht="14.25" customHeight="1" x14ac:dyDescent="0.2">
      <c r="A137" s="2255"/>
      <c r="B137" s="2260"/>
      <c r="C137" s="131"/>
      <c r="D137" s="3534"/>
      <c r="E137" s="2276"/>
      <c r="F137" s="2265"/>
      <c r="G137" s="2051"/>
      <c r="H137" s="2468"/>
      <c r="I137" s="2469"/>
      <c r="J137" s="2470"/>
      <c r="K137" s="2471"/>
      <c r="L137" s="1656" t="s">
        <v>384</v>
      </c>
      <c r="M137" s="2308">
        <v>284</v>
      </c>
      <c r="N137" s="1657">
        <v>280</v>
      </c>
      <c r="O137" s="1510">
        <v>280</v>
      </c>
    </row>
    <row r="138" spans="1:15" ht="15.75" customHeight="1" x14ac:dyDescent="0.2">
      <c r="A138" s="2255"/>
      <c r="B138" s="2260"/>
      <c r="C138" s="131"/>
      <c r="D138" s="3535" t="s">
        <v>386</v>
      </c>
      <c r="E138" s="2276"/>
      <c r="F138" s="2265"/>
      <c r="G138" s="2051"/>
      <c r="H138" s="2468"/>
      <c r="I138" s="2473"/>
      <c r="J138" s="2474"/>
      <c r="K138" s="2475"/>
      <c r="L138" s="1854" t="s">
        <v>363</v>
      </c>
      <c r="M138" s="1578">
        <v>3</v>
      </c>
      <c r="N138" s="2296"/>
      <c r="O138" s="1872"/>
    </row>
    <row r="139" spans="1:15" ht="15.75" customHeight="1" x14ac:dyDescent="0.2">
      <c r="A139" s="2255"/>
      <c r="B139" s="2260"/>
      <c r="C139" s="1701"/>
      <c r="D139" s="3535"/>
      <c r="E139" s="2276"/>
      <c r="F139" s="2265"/>
      <c r="G139" s="2051"/>
      <c r="H139" s="2468"/>
      <c r="I139" s="2473"/>
      <c r="J139" s="2474"/>
      <c r="K139" s="2475"/>
      <c r="L139" s="1854" t="s">
        <v>384</v>
      </c>
      <c r="M139" s="1611">
        <v>313</v>
      </c>
      <c r="N139" s="2296"/>
      <c r="O139" s="1872"/>
    </row>
    <row r="140" spans="1:15" ht="27" customHeight="1" x14ac:dyDescent="0.2">
      <c r="A140" s="3152"/>
      <c r="B140" s="3159"/>
      <c r="C140" s="131"/>
      <c r="D140" s="3515" t="s">
        <v>389</v>
      </c>
      <c r="E140" s="3508" t="s">
        <v>132</v>
      </c>
      <c r="F140" s="2265"/>
      <c r="G140" s="3517"/>
      <c r="H140" s="2472"/>
      <c r="I140" s="2473"/>
      <c r="J140" s="2478"/>
      <c r="K140" s="2471"/>
      <c r="L140" s="2072" t="s">
        <v>390</v>
      </c>
      <c r="M140" s="1518">
        <v>10</v>
      </c>
      <c r="N140" s="1518">
        <v>10</v>
      </c>
      <c r="O140" s="1519">
        <v>9</v>
      </c>
    </row>
    <row r="141" spans="1:15" ht="15.75" customHeight="1" thickBot="1" x14ac:dyDescent="0.25">
      <c r="A141" s="3153"/>
      <c r="B141" s="3160"/>
      <c r="C141" s="130"/>
      <c r="D141" s="3495"/>
      <c r="E141" s="3516"/>
      <c r="F141" s="1909"/>
      <c r="G141" s="3518"/>
      <c r="H141" s="1434" t="s">
        <v>23</v>
      </c>
      <c r="I141" s="2344">
        <f>SUM(I136:I140)</f>
        <v>54.4</v>
      </c>
      <c r="J141" s="2346">
        <f t="shared" ref="J141:K141" si="9">SUM(J136:J140)</f>
        <v>45.7</v>
      </c>
      <c r="K141" s="2376">
        <f t="shared" si="9"/>
        <v>44.3</v>
      </c>
      <c r="L141" s="1726" t="s">
        <v>391</v>
      </c>
      <c r="M141" s="1727">
        <v>10</v>
      </c>
      <c r="N141" s="1727">
        <v>10</v>
      </c>
      <c r="O141" s="1728">
        <v>9</v>
      </c>
    </row>
    <row r="142" spans="1:15" ht="13.5" thickBot="1" x14ac:dyDescent="0.25">
      <c r="A142" s="15" t="s">
        <v>24</v>
      </c>
      <c r="B142" s="14" t="s">
        <v>24</v>
      </c>
      <c r="C142" s="3480" t="s">
        <v>27</v>
      </c>
      <c r="D142" s="3481"/>
      <c r="E142" s="3481"/>
      <c r="F142" s="3481"/>
      <c r="G142" s="3481"/>
      <c r="H142" s="3481"/>
      <c r="I142" s="2383">
        <f>I141+I134</f>
        <v>83.6</v>
      </c>
      <c r="J142" s="2384">
        <f t="shared" ref="J142:K142" si="10">J141+J134</f>
        <v>82.9</v>
      </c>
      <c r="K142" s="2445">
        <f t="shared" si="10"/>
        <v>84.6</v>
      </c>
      <c r="L142" s="3483"/>
      <c r="M142" s="3484"/>
      <c r="N142" s="3484"/>
      <c r="O142" s="3485"/>
    </row>
    <row r="143" spans="1:15" ht="13.5" thickBot="1" x14ac:dyDescent="0.25">
      <c r="A143" s="2256" t="s">
        <v>24</v>
      </c>
      <c r="B143" s="133" t="s">
        <v>26</v>
      </c>
      <c r="C143" s="3519" t="s">
        <v>48</v>
      </c>
      <c r="D143" s="3519"/>
      <c r="E143" s="3519"/>
      <c r="F143" s="3519"/>
      <c r="G143" s="3519"/>
      <c r="H143" s="3519"/>
      <c r="I143" s="3519"/>
      <c r="J143" s="3519"/>
      <c r="K143" s="3519"/>
      <c r="L143" s="3519"/>
      <c r="M143" s="3519"/>
      <c r="N143" s="3519"/>
      <c r="O143" s="3520"/>
    </row>
    <row r="144" spans="1:15" ht="18" customHeight="1" x14ac:dyDescent="0.2">
      <c r="A144" s="2254" t="s">
        <v>24</v>
      </c>
      <c r="B144" s="2259" t="s">
        <v>26</v>
      </c>
      <c r="C144" s="2263" t="s">
        <v>20</v>
      </c>
      <c r="D144" s="3532" t="s">
        <v>50</v>
      </c>
      <c r="E144" s="1861"/>
      <c r="F144" s="1902" t="s">
        <v>21</v>
      </c>
      <c r="G144" s="1572">
        <v>6</v>
      </c>
      <c r="H144" s="2307" t="s">
        <v>22</v>
      </c>
      <c r="I144" s="2363">
        <v>1847.9</v>
      </c>
      <c r="J144" s="2434">
        <v>1572.8</v>
      </c>
      <c r="K144" s="2434">
        <v>1572.8</v>
      </c>
      <c r="L144" s="1573"/>
      <c r="M144" s="1444"/>
      <c r="N144" s="1402"/>
      <c r="O144" s="1598"/>
    </row>
    <row r="145" spans="1:18" ht="17.25" customHeight="1" x14ac:dyDescent="0.2">
      <c r="A145" s="2255"/>
      <c r="B145" s="2260"/>
      <c r="C145" s="2262"/>
      <c r="D145" s="3533"/>
      <c r="E145" s="2282"/>
      <c r="F145" s="2265"/>
      <c r="G145" s="2281"/>
      <c r="H145" s="1782" t="s">
        <v>25</v>
      </c>
      <c r="I145" s="2341">
        <v>6.9</v>
      </c>
      <c r="J145" s="2342">
        <v>6.9</v>
      </c>
      <c r="K145" s="2432">
        <v>6.9</v>
      </c>
      <c r="L145" s="1714"/>
      <c r="M145" s="1448"/>
      <c r="N145" s="1407"/>
      <c r="O145" s="1872"/>
    </row>
    <row r="146" spans="1:18" ht="30.75" customHeight="1" x14ac:dyDescent="0.2">
      <c r="A146" s="2255"/>
      <c r="B146" s="2260"/>
      <c r="C146" s="2300"/>
      <c r="D146" s="1718" t="s">
        <v>90</v>
      </c>
      <c r="E146" s="2276"/>
      <c r="F146" s="2265"/>
      <c r="G146" s="2281"/>
      <c r="H146" s="2306"/>
      <c r="I146" s="2363"/>
      <c r="J146" s="2319"/>
      <c r="K146" s="2332"/>
      <c r="L146" s="2290" t="s">
        <v>301</v>
      </c>
      <c r="M146" s="1518">
        <v>14</v>
      </c>
      <c r="N146" s="1518">
        <v>14</v>
      </c>
      <c r="O146" s="1519">
        <v>14</v>
      </c>
    </row>
    <row r="147" spans="1:18" ht="40.5" customHeight="1" x14ac:dyDescent="0.2">
      <c r="A147" s="2255"/>
      <c r="B147" s="2260"/>
      <c r="C147" s="2300"/>
      <c r="D147" s="2150" t="s">
        <v>416</v>
      </c>
      <c r="E147" s="2276"/>
      <c r="F147" s="2265"/>
      <c r="G147" s="2281"/>
      <c r="H147" s="2306"/>
      <c r="I147" s="2363"/>
      <c r="J147" s="2319"/>
      <c r="K147" s="2332"/>
      <c r="L147" s="2289" t="s">
        <v>505</v>
      </c>
      <c r="M147" s="1567">
        <v>93</v>
      </c>
      <c r="N147" s="1567">
        <v>93</v>
      </c>
      <c r="O147" s="1409">
        <v>93</v>
      </c>
    </row>
    <row r="148" spans="1:18" s="1546" customFormat="1" ht="30.75" customHeight="1" x14ac:dyDescent="0.2">
      <c r="A148" s="2255"/>
      <c r="B148" s="2260"/>
      <c r="C148" s="2262"/>
      <c r="D148" s="1575" t="s">
        <v>63</v>
      </c>
      <c r="E148" s="2276"/>
      <c r="F148" s="2265"/>
      <c r="G148" s="2281"/>
      <c r="H148" s="2306"/>
      <c r="I148" s="2363"/>
      <c r="J148" s="2319"/>
      <c r="K148" s="2332"/>
      <c r="L148" s="2289" t="s">
        <v>504</v>
      </c>
      <c r="M148" s="1567">
        <v>30</v>
      </c>
      <c r="N148" s="1567">
        <v>30</v>
      </c>
      <c r="O148" s="1421">
        <v>30</v>
      </c>
    </row>
    <row r="149" spans="1:18" ht="29.25" customHeight="1" x14ac:dyDescent="0.2">
      <c r="A149" s="2255"/>
      <c r="B149" s="2260"/>
      <c r="C149" s="2300"/>
      <c r="D149" s="1718" t="s">
        <v>71</v>
      </c>
      <c r="E149" s="2276"/>
      <c r="F149" s="2265"/>
      <c r="G149" s="2281"/>
      <c r="H149" s="2306"/>
      <c r="I149" s="2363"/>
      <c r="J149" s="2319"/>
      <c r="K149" s="2332"/>
      <c r="L149" s="2290" t="s">
        <v>303</v>
      </c>
      <c r="M149" s="1685">
        <v>4</v>
      </c>
      <c r="N149" s="1685">
        <v>5</v>
      </c>
      <c r="O149" s="1719">
        <v>5</v>
      </c>
    </row>
    <row r="150" spans="1:18" s="1546" customFormat="1" ht="16.5" customHeight="1" x14ac:dyDescent="0.2">
      <c r="A150" s="2255"/>
      <c r="B150" s="2260"/>
      <c r="C150" s="2300"/>
      <c r="D150" s="1718" t="s">
        <v>62</v>
      </c>
      <c r="E150" s="2282"/>
      <c r="F150" s="2265"/>
      <c r="G150" s="2281"/>
      <c r="H150" s="2306"/>
      <c r="I150" s="2363"/>
      <c r="J150" s="2319"/>
      <c r="K150" s="2332"/>
      <c r="L150" s="2290" t="s">
        <v>80</v>
      </c>
      <c r="M150" s="1518">
        <v>32.9</v>
      </c>
      <c r="N150" s="1518">
        <v>32.9</v>
      </c>
      <c r="O150" s="1519">
        <v>32.9</v>
      </c>
    </row>
    <row r="151" spans="1:18" ht="12.75" customHeight="1" x14ac:dyDescent="0.2">
      <c r="A151" s="2255"/>
      <c r="B151" s="2260"/>
      <c r="C151" s="2262"/>
      <c r="D151" s="3521" t="s">
        <v>64</v>
      </c>
      <c r="E151" s="2282"/>
      <c r="F151" s="2265"/>
      <c r="G151" s="2281"/>
      <c r="H151" s="2306"/>
      <c r="I151" s="2318"/>
      <c r="J151" s="2319"/>
      <c r="K151" s="2332"/>
      <c r="L151" s="3437" t="s">
        <v>415</v>
      </c>
      <c r="M151" s="3513">
        <v>99</v>
      </c>
      <c r="N151" s="3513">
        <v>99</v>
      </c>
      <c r="O151" s="3530">
        <v>99</v>
      </c>
    </row>
    <row r="152" spans="1:18" ht="12.75" customHeight="1" x14ac:dyDescent="0.2">
      <c r="A152" s="2255"/>
      <c r="B152" s="2260"/>
      <c r="C152" s="2262"/>
      <c r="D152" s="3478"/>
      <c r="E152" s="2282"/>
      <c r="F152" s="2265"/>
      <c r="G152" s="2281"/>
      <c r="H152" s="2433"/>
      <c r="I152" s="1492"/>
      <c r="J152" s="2433"/>
      <c r="K152" s="1492"/>
      <c r="L152" s="3477"/>
      <c r="M152" s="3514"/>
      <c r="N152" s="3514"/>
      <c r="O152" s="3531"/>
    </row>
    <row r="153" spans="1:18" ht="42.75" customHeight="1" x14ac:dyDescent="0.2">
      <c r="A153" s="2255"/>
      <c r="B153" s="2260"/>
      <c r="C153" s="2262"/>
      <c r="D153" s="1721" t="s">
        <v>138</v>
      </c>
      <c r="E153" s="1577"/>
      <c r="F153" s="1908"/>
      <c r="G153" s="2427"/>
      <c r="H153" s="1260"/>
      <c r="I153" s="2318"/>
      <c r="J153" s="2319"/>
      <c r="K153" s="2332"/>
      <c r="L153" s="1646" t="s">
        <v>305</v>
      </c>
      <c r="M153" s="1664">
        <v>11</v>
      </c>
      <c r="N153" s="1664">
        <v>14</v>
      </c>
      <c r="O153" s="1722">
        <v>16</v>
      </c>
      <c r="P153" s="1546"/>
      <c r="R153" s="1723"/>
    </row>
    <row r="154" spans="1:18" ht="46.5" customHeight="1" x14ac:dyDescent="0.2">
      <c r="A154" s="2255"/>
      <c r="B154" s="2260"/>
      <c r="C154" s="2262"/>
      <c r="D154" s="2304" t="s">
        <v>506</v>
      </c>
      <c r="E154" s="1577"/>
      <c r="F154" s="1908"/>
      <c r="G154" s="2427"/>
      <c r="H154" s="1260"/>
      <c r="I154" s="2318"/>
      <c r="J154" s="2319"/>
      <c r="K154" s="2332"/>
      <c r="L154" s="2286" t="s">
        <v>414</v>
      </c>
      <c r="M154" s="1664">
        <v>1</v>
      </c>
      <c r="N154" s="1664">
        <v>1</v>
      </c>
      <c r="O154" s="1722">
        <v>1</v>
      </c>
      <c r="P154" s="1546"/>
      <c r="R154" s="1723"/>
    </row>
    <row r="155" spans="1:18" ht="42.75" customHeight="1" x14ac:dyDescent="0.2">
      <c r="A155" s="2255"/>
      <c r="B155" s="2260"/>
      <c r="C155" s="2262"/>
      <c r="D155" s="2304" t="s">
        <v>333</v>
      </c>
      <c r="E155" s="1577"/>
      <c r="F155" s="1908"/>
      <c r="G155" s="2427"/>
      <c r="H155" s="1260"/>
      <c r="I155" s="2318"/>
      <c r="J155" s="2319"/>
      <c r="K155" s="2332"/>
      <c r="L155" s="1992" t="s">
        <v>507</v>
      </c>
      <c r="M155" s="1228">
        <v>6</v>
      </c>
      <c r="N155" s="1228">
        <v>10</v>
      </c>
      <c r="O155" s="1798">
        <v>10</v>
      </c>
      <c r="P155" s="1546"/>
      <c r="R155" s="1723"/>
    </row>
    <row r="156" spans="1:18" ht="31.5" customHeight="1" x14ac:dyDescent="0.2">
      <c r="A156" s="2513"/>
      <c r="B156" s="2780"/>
      <c r="C156" s="2131"/>
      <c r="D156" s="2788" t="s">
        <v>334</v>
      </c>
      <c r="E156" s="2855"/>
      <c r="F156" s="2529"/>
      <c r="G156" s="2862"/>
      <c r="H156" s="1742"/>
      <c r="I156" s="2863"/>
      <c r="J156" s="2864"/>
      <c r="K156" s="2865"/>
      <c r="L156" s="2528" t="s">
        <v>335</v>
      </c>
      <c r="M156" s="1518">
        <v>1</v>
      </c>
      <c r="N156" s="1518"/>
      <c r="O156" s="1724"/>
      <c r="P156" s="1546"/>
      <c r="R156" s="1723"/>
    </row>
    <row r="157" spans="1:18" ht="25.5" customHeight="1" x14ac:dyDescent="0.2">
      <c r="A157" s="2255"/>
      <c r="B157" s="2260"/>
      <c r="C157" s="2262"/>
      <c r="D157" s="3507" t="s">
        <v>332</v>
      </c>
      <c r="E157" s="3508"/>
      <c r="F157" s="2275"/>
      <c r="G157" s="2284"/>
      <c r="H157" s="2306"/>
      <c r="I157" s="2363"/>
      <c r="J157" s="2365"/>
      <c r="K157" s="2321"/>
      <c r="L157" s="1937" t="s">
        <v>413</v>
      </c>
      <c r="M157" s="1864">
        <v>1</v>
      </c>
      <c r="N157" s="1283"/>
      <c r="O157" s="1872"/>
    </row>
    <row r="158" spans="1:18" ht="15.75" customHeight="1" x14ac:dyDescent="0.2">
      <c r="A158" s="2255"/>
      <c r="B158" s="2260"/>
      <c r="C158" s="2300"/>
      <c r="D158" s="3507"/>
      <c r="E158" s="3508"/>
      <c r="F158" s="2275"/>
      <c r="G158" s="2284"/>
      <c r="H158" s="2306"/>
      <c r="I158" s="2363"/>
      <c r="J158" s="2365"/>
      <c r="K158" s="2321"/>
      <c r="L158" s="1986"/>
      <c r="M158" s="1225"/>
      <c r="N158" s="1278"/>
      <c r="O158" s="1510"/>
    </row>
    <row r="159" spans="1:18" ht="20.25" customHeight="1" x14ac:dyDescent="0.2">
      <c r="A159" s="2255"/>
      <c r="B159" s="2260"/>
      <c r="C159" s="2262"/>
      <c r="D159" s="3509" t="s">
        <v>508</v>
      </c>
      <c r="E159" s="3508"/>
      <c r="F159" s="1906"/>
      <c r="G159" s="1507"/>
      <c r="H159" s="2306"/>
      <c r="I159" s="2363"/>
      <c r="J159" s="2365"/>
      <c r="K159" s="2321"/>
      <c r="L159" s="3512" t="s">
        <v>412</v>
      </c>
      <c r="M159" s="1864">
        <v>3</v>
      </c>
      <c r="N159" s="1283"/>
      <c r="O159" s="1872"/>
    </row>
    <row r="160" spans="1:18" ht="20.25" customHeight="1" x14ac:dyDescent="0.2">
      <c r="A160" s="2255"/>
      <c r="B160" s="2260"/>
      <c r="C160" s="2300"/>
      <c r="D160" s="3510"/>
      <c r="E160" s="3508"/>
      <c r="F160" s="1906"/>
      <c r="G160" s="1507"/>
      <c r="H160" s="2306"/>
      <c r="I160" s="2363"/>
      <c r="J160" s="2365"/>
      <c r="K160" s="2321"/>
      <c r="L160" s="3512"/>
      <c r="M160" s="1225"/>
      <c r="N160" s="1278"/>
      <c r="O160" s="1510"/>
    </row>
    <row r="161" spans="1:36" ht="31.5" customHeight="1" x14ac:dyDescent="0.2">
      <c r="A161" s="2763"/>
      <c r="B161" s="2753"/>
      <c r="C161" s="2781"/>
      <c r="D161" s="2654" t="s">
        <v>407</v>
      </c>
      <c r="E161" s="2642" t="s">
        <v>136</v>
      </c>
      <c r="F161" s="2754"/>
      <c r="G161" s="2787"/>
      <c r="H161" s="2809"/>
      <c r="I161" s="2363"/>
      <c r="J161" s="2365"/>
      <c r="K161" s="2321"/>
      <c r="L161" s="1736" t="s">
        <v>417</v>
      </c>
      <c r="M161" s="1708">
        <v>2</v>
      </c>
      <c r="N161" s="1697">
        <v>2</v>
      </c>
      <c r="O161" s="1879">
        <v>2</v>
      </c>
    </row>
    <row r="162" spans="1:36" ht="18.75" customHeight="1" x14ac:dyDescent="0.2">
      <c r="A162" s="2255"/>
      <c r="B162" s="2260"/>
      <c r="C162" s="131"/>
      <c r="D162" s="3507" t="s">
        <v>460</v>
      </c>
      <c r="E162" s="2435"/>
      <c r="F162" s="2103"/>
      <c r="G162" s="2284"/>
      <c r="H162" s="2306"/>
      <c r="I162" s="2410"/>
      <c r="J162" s="2365"/>
      <c r="K162" s="2321"/>
      <c r="L162" s="1638" t="s">
        <v>431</v>
      </c>
      <c r="M162" s="1611"/>
      <c r="N162" s="1283"/>
      <c r="O162" s="1872"/>
    </row>
    <row r="163" spans="1:36" ht="18.75" customHeight="1" x14ac:dyDescent="0.2">
      <c r="A163" s="2255"/>
      <c r="B163" s="2260"/>
      <c r="C163" s="131"/>
      <c r="D163" s="3507"/>
      <c r="E163" s="2435"/>
      <c r="F163" s="2103"/>
      <c r="G163" s="2284"/>
      <c r="H163" s="2306"/>
      <c r="I163" s="2410"/>
      <c r="J163" s="2365"/>
      <c r="K163" s="2321"/>
      <c r="L163" s="1638" t="s">
        <v>432</v>
      </c>
      <c r="M163" s="2292">
        <v>10</v>
      </c>
      <c r="N163" s="1283"/>
      <c r="O163" s="1872"/>
    </row>
    <row r="164" spans="1:36" ht="13.5" thickBot="1" x14ac:dyDescent="0.25">
      <c r="A164" s="2255"/>
      <c r="B164" s="2260"/>
      <c r="C164" s="2262"/>
      <c r="D164" s="3511"/>
      <c r="E164" s="2436"/>
      <c r="F164" s="1909"/>
      <c r="G164" s="2437"/>
      <c r="H164" s="1434" t="s">
        <v>23</v>
      </c>
      <c r="I164" s="2375">
        <f>SUM(I144:I163)</f>
        <v>1854.8000000000002</v>
      </c>
      <c r="J164" s="2346">
        <f>SUM(J144:J163)</f>
        <v>1579.7</v>
      </c>
      <c r="K164" s="2376">
        <f>SUM(K144:K163)</f>
        <v>1579.7</v>
      </c>
      <c r="L164" s="2107" t="s">
        <v>509</v>
      </c>
      <c r="M164" s="1225">
        <v>2</v>
      </c>
      <c r="N164" s="2278"/>
      <c r="O164" s="1599"/>
    </row>
    <row r="165" spans="1:36" ht="27" customHeight="1" x14ac:dyDescent="0.2">
      <c r="A165" s="3154" t="s">
        <v>24</v>
      </c>
      <c r="B165" s="3117" t="s">
        <v>26</v>
      </c>
      <c r="C165" s="132" t="s">
        <v>26</v>
      </c>
      <c r="D165" s="3494" t="s">
        <v>59</v>
      </c>
      <c r="E165" s="3496"/>
      <c r="F165" s="1902" t="s">
        <v>21</v>
      </c>
      <c r="G165" s="3498">
        <v>2</v>
      </c>
      <c r="H165" s="1779" t="s">
        <v>22</v>
      </c>
      <c r="I165" s="2431">
        <v>31.3</v>
      </c>
      <c r="J165" s="2313">
        <f>I165</f>
        <v>31.3</v>
      </c>
      <c r="K165" s="2374">
        <f>I165</f>
        <v>31.3</v>
      </c>
      <c r="L165" s="3500" t="s">
        <v>307</v>
      </c>
      <c r="M165" s="1570">
        <v>300</v>
      </c>
      <c r="N165" s="1860">
        <v>300</v>
      </c>
      <c r="O165" s="1598">
        <v>300</v>
      </c>
    </row>
    <row r="166" spans="1:36" ht="15.75" customHeight="1" thickBot="1" x14ac:dyDescent="0.25">
      <c r="A166" s="3156"/>
      <c r="B166" s="3118"/>
      <c r="C166" s="130"/>
      <c r="D166" s="3495"/>
      <c r="E166" s="3497"/>
      <c r="F166" s="1909"/>
      <c r="G166" s="3499"/>
      <c r="H166" s="1434" t="s">
        <v>23</v>
      </c>
      <c r="I166" s="2344">
        <f>I165</f>
        <v>31.3</v>
      </c>
      <c r="J166" s="2346">
        <f>SUM(J165)</f>
        <v>31.3</v>
      </c>
      <c r="K166" s="2376">
        <f>SUM(K165)</f>
        <v>31.3</v>
      </c>
      <c r="L166" s="3501"/>
      <c r="M166" s="1559"/>
      <c r="N166" s="2278"/>
      <c r="O166" s="1599"/>
    </row>
    <row r="167" spans="1:36" ht="15" customHeight="1" thickBot="1" x14ac:dyDescent="0.25">
      <c r="A167" s="30" t="s">
        <v>24</v>
      </c>
      <c r="B167" s="32" t="s">
        <v>26</v>
      </c>
      <c r="C167" s="3480" t="s">
        <v>27</v>
      </c>
      <c r="D167" s="3481"/>
      <c r="E167" s="3481"/>
      <c r="F167" s="3481"/>
      <c r="G167" s="3481"/>
      <c r="H167" s="3482"/>
      <c r="I167" s="2383">
        <f t="shared" ref="I167:K167" si="11">I166+I164</f>
        <v>1886.1000000000001</v>
      </c>
      <c r="J167" s="2384">
        <f t="shared" si="11"/>
        <v>1611</v>
      </c>
      <c r="K167" s="2383">
        <f t="shared" si="11"/>
        <v>1611</v>
      </c>
      <c r="L167" s="3483"/>
      <c r="M167" s="3484"/>
      <c r="N167" s="3484"/>
      <c r="O167" s="3485"/>
    </row>
    <row r="168" spans="1:36" ht="15.75" customHeight="1" thickBot="1" x14ac:dyDescent="0.25">
      <c r="A168" s="30" t="s">
        <v>24</v>
      </c>
      <c r="B168" s="3486" t="s">
        <v>10</v>
      </c>
      <c r="C168" s="3486"/>
      <c r="D168" s="3486"/>
      <c r="E168" s="3486"/>
      <c r="F168" s="3486"/>
      <c r="G168" s="3486"/>
      <c r="H168" s="3486"/>
      <c r="I168" s="2389">
        <f>I167+I142+I131</f>
        <v>4730</v>
      </c>
      <c r="J168" s="2390">
        <f>J167+J142+J131</f>
        <v>3952.4</v>
      </c>
      <c r="K168" s="2390">
        <f>K167+K142+K131</f>
        <v>5866.5</v>
      </c>
      <c r="L168" s="3487"/>
      <c r="M168" s="3488"/>
      <c r="N168" s="3488"/>
      <c r="O168" s="3489"/>
    </row>
    <row r="169" spans="1:36" ht="14.25" customHeight="1" thickBot="1" x14ac:dyDescent="0.25">
      <c r="A169" s="33" t="s">
        <v>9</v>
      </c>
      <c r="B169" s="3490" t="s">
        <v>11</v>
      </c>
      <c r="C169" s="3490"/>
      <c r="D169" s="3490"/>
      <c r="E169" s="3490"/>
      <c r="F169" s="3490"/>
      <c r="G169" s="3490"/>
      <c r="H169" s="3490"/>
      <c r="I169" s="2391">
        <f>I168+I65</f>
        <v>64493.599999999999</v>
      </c>
      <c r="J169" s="2392">
        <f>J168+J65</f>
        <v>63546.100000000006</v>
      </c>
      <c r="K169" s="2392">
        <f>K168+K65</f>
        <v>65354.600000000006</v>
      </c>
      <c r="L169" s="3491"/>
      <c r="M169" s="3492"/>
      <c r="N169" s="3492"/>
      <c r="O169" s="3493"/>
    </row>
    <row r="170" spans="1:36" s="1583" customFormat="1" ht="15" customHeight="1" x14ac:dyDescent="0.2">
      <c r="A170" s="3502"/>
      <c r="B170" s="3502"/>
      <c r="C170" s="3502"/>
      <c r="D170" s="3502"/>
      <c r="E170" s="3502"/>
      <c r="F170" s="3502"/>
      <c r="G170" s="3502"/>
      <c r="H170" s="3502"/>
      <c r="I170" s="3502"/>
      <c r="J170" s="3502"/>
      <c r="K170" s="3502"/>
      <c r="L170" s="3502"/>
      <c r="M170" s="3502"/>
      <c r="N170" s="3502"/>
      <c r="O170" s="3502"/>
      <c r="P170" s="1582"/>
      <c r="Q170" s="1582"/>
      <c r="R170" s="1582"/>
      <c r="S170" s="1582"/>
      <c r="T170" s="1582"/>
      <c r="U170" s="1582"/>
      <c r="V170" s="1582"/>
      <c r="W170" s="1582"/>
      <c r="X170" s="1582"/>
      <c r="Y170" s="1582"/>
      <c r="Z170" s="1582"/>
      <c r="AA170" s="1582"/>
      <c r="AB170" s="1582"/>
      <c r="AC170" s="1582"/>
      <c r="AD170" s="1582"/>
      <c r="AE170" s="1582"/>
      <c r="AF170" s="1582"/>
      <c r="AG170" s="1582"/>
      <c r="AH170" s="1582"/>
      <c r="AI170" s="1582"/>
      <c r="AJ170" s="1582"/>
    </row>
    <row r="171" spans="1:36" s="1590" customFormat="1" ht="13.5" thickBot="1" x14ac:dyDescent="0.25">
      <c r="A171" s="3503" t="s">
        <v>2</v>
      </c>
      <c r="B171" s="3503"/>
      <c r="C171" s="3503"/>
      <c r="D171" s="3503"/>
      <c r="E171" s="3503"/>
      <c r="F171" s="3503"/>
      <c r="G171" s="3503"/>
      <c r="H171" s="3503"/>
      <c r="I171" s="3503"/>
      <c r="J171" s="3503"/>
      <c r="K171" s="3503"/>
      <c r="L171" s="1588"/>
      <c r="M171" s="2460"/>
      <c r="N171" s="2460"/>
      <c r="O171" s="1589"/>
    </row>
    <row r="172" spans="1:36" s="1495" customFormat="1" ht="41.25" customHeight="1" thickBot="1" x14ac:dyDescent="0.25">
      <c r="A172" s="3504" t="s">
        <v>3</v>
      </c>
      <c r="B172" s="3505"/>
      <c r="C172" s="3505"/>
      <c r="D172" s="3505"/>
      <c r="E172" s="3505"/>
      <c r="F172" s="3505"/>
      <c r="G172" s="3505"/>
      <c r="H172" s="3506"/>
      <c r="I172" s="2393" t="s">
        <v>463</v>
      </c>
      <c r="J172" s="2454" t="s">
        <v>464</v>
      </c>
      <c r="K172" s="2454" t="s">
        <v>465</v>
      </c>
      <c r="L172" s="2268"/>
      <c r="M172" s="3462"/>
      <c r="N172" s="3462"/>
      <c r="O172" s="1561"/>
      <c r="R172" s="1492"/>
      <c r="T172" s="1492"/>
    </row>
    <row r="173" spans="1:36" s="1495" customFormat="1" x14ac:dyDescent="0.2">
      <c r="A173" s="3459" t="s">
        <v>33</v>
      </c>
      <c r="B173" s="3460"/>
      <c r="C173" s="3460"/>
      <c r="D173" s="3460"/>
      <c r="E173" s="3460"/>
      <c r="F173" s="3460"/>
      <c r="G173" s="3460"/>
      <c r="H173" s="3461"/>
      <c r="I173" s="2394">
        <f>SUM(I174:I176)</f>
        <v>62650.3</v>
      </c>
      <c r="J173" s="2394">
        <f t="shared" ref="J173:K173" si="12">SUM(J174:J176)</f>
        <v>62554</v>
      </c>
      <c r="K173" s="2394">
        <f t="shared" si="12"/>
        <v>62234.3</v>
      </c>
      <c r="L173" s="2268"/>
      <c r="M173" s="3462"/>
      <c r="N173" s="3462"/>
      <c r="O173" s="1561"/>
    </row>
    <row r="174" spans="1:36" s="1495" customFormat="1" x14ac:dyDescent="0.2">
      <c r="A174" s="3452" t="s">
        <v>36</v>
      </c>
      <c r="B174" s="3453"/>
      <c r="C174" s="3453"/>
      <c r="D174" s="3453"/>
      <c r="E174" s="3453"/>
      <c r="F174" s="3453"/>
      <c r="G174" s="3453"/>
      <c r="H174" s="3454"/>
      <c r="I174" s="2395">
        <f>SUMIF(H12:H165,"sb",I12:I165)</f>
        <v>25741.200000000001</v>
      </c>
      <c r="J174" s="2355">
        <f>SUMIF(H12:H166,"sb",J12:J166)</f>
        <v>25561.200000000001</v>
      </c>
      <c r="K174" s="2355">
        <f>SUMIF(H12:H166,"sb",K12:K166)</f>
        <v>25198.3</v>
      </c>
      <c r="L174" s="2267"/>
      <c r="M174" s="3455"/>
      <c r="N174" s="3455"/>
      <c r="O174" s="1561"/>
    </row>
    <row r="175" spans="1:36" s="1495" customFormat="1" x14ac:dyDescent="0.2">
      <c r="A175" s="3452" t="s">
        <v>44</v>
      </c>
      <c r="B175" s="3453"/>
      <c r="C175" s="3453"/>
      <c r="D175" s="3453"/>
      <c r="E175" s="3453"/>
      <c r="F175" s="3453"/>
      <c r="G175" s="3453"/>
      <c r="H175" s="3454"/>
      <c r="I175" s="2380">
        <f>SUMIF(H12:H166,"sb(sp)",I12:I166)</f>
        <v>5663.9</v>
      </c>
      <c r="J175" s="2355">
        <f>SUMIF(H13:H166,"sb(sp)",J13:J166)</f>
        <v>5663.9</v>
      </c>
      <c r="K175" s="2355">
        <f>SUMIF(H13:H166,"sb(sp)",K13:K166)</f>
        <v>5663.9</v>
      </c>
      <c r="L175" s="2267"/>
      <c r="M175" s="3455"/>
      <c r="N175" s="3455"/>
      <c r="O175" s="1561"/>
    </row>
    <row r="176" spans="1:36" s="1495" customFormat="1" ht="13.5" thickBot="1" x14ac:dyDescent="0.25">
      <c r="A176" s="3452" t="s">
        <v>37</v>
      </c>
      <c r="B176" s="3453"/>
      <c r="C176" s="3453"/>
      <c r="D176" s="3453"/>
      <c r="E176" s="3453"/>
      <c r="F176" s="3453"/>
      <c r="G176" s="3453"/>
      <c r="H176" s="3454"/>
      <c r="I176" s="2395">
        <f>SUMIF(H12:H166,"sb(vb)",I12:I166)</f>
        <v>31245.200000000004</v>
      </c>
      <c r="J176" s="2396">
        <f>SUMIF(H13:H165,"sb(vb)",J13:J165)</f>
        <v>31328.900000000005</v>
      </c>
      <c r="K176" s="2396">
        <f>SUMIF(H13:H166,"sb(vb)",K13:K166)</f>
        <v>31372.100000000002</v>
      </c>
      <c r="L176" s="2267"/>
      <c r="M176" s="3455"/>
      <c r="N176" s="3455"/>
      <c r="O176" s="1561"/>
    </row>
    <row r="177" spans="1:15" s="1495" customFormat="1" ht="13.5" thickBot="1" x14ac:dyDescent="0.25">
      <c r="A177" s="3473" t="s">
        <v>34</v>
      </c>
      <c r="B177" s="3474"/>
      <c r="C177" s="3474"/>
      <c r="D177" s="3474"/>
      <c r="E177" s="3474"/>
      <c r="F177" s="3474"/>
      <c r="G177" s="3474"/>
      <c r="H177" s="3475"/>
      <c r="I177" s="2401">
        <f>SUM(I178:I181)</f>
        <v>1843.3</v>
      </c>
      <c r="J177" s="2401">
        <f t="shared" ref="J177:K177" si="13">SUM(J178:J181)</f>
        <v>992.1</v>
      </c>
      <c r="K177" s="2401">
        <f t="shared" si="13"/>
        <v>3120.3</v>
      </c>
      <c r="L177" s="2274"/>
      <c r="M177" s="3476"/>
      <c r="N177" s="3476"/>
      <c r="O177" s="1561"/>
    </row>
    <row r="178" spans="1:15" s="1495" customFormat="1" x14ac:dyDescent="0.2">
      <c r="A178" s="3456" t="s">
        <v>466</v>
      </c>
      <c r="B178" s="3457"/>
      <c r="C178" s="3457"/>
      <c r="D178" s="3457"/>
      <c r="E178" s="3457"/>
      <c r="F178" s="3457"/>
      <c r="G178" s="3457"/>
      <c r="H178" s="3458"/>
      <c r="I178" s="2398">
        <f>SUMIF(H12:H166,"KVJUD",I12:I166)</f>
        <v>1838</v>
      </c>
      <c r="J178" s="2397">
        <f>SUMIF(H13:H165,"kvjud",J13:J165)</f>
        <v>0</v>
      </c>
      <c r="K178" s="2397"/>
      <c r="L178" s="2267"/>
      <c r="M178" s="2267"/>
      <c r="N178" s="2267"/>
      <c r="O178" s="1561"/>
    </row>
    <row r="179" spans="1:15" s="1495" customFormat="1" x14ac:dyDescent="0.2">
      <c r="A179" s="3477" t="s">
        <v>38</v>
      </c>
      <c r="B179" s="3478"/>
      <c r="C179" s="3478"/>
      <c r="D179" s="3478"/>
      <c r="E179" s="3478"/>
      <c r="F179" s="3478"/>
      <c r="G179" s="3478"/>
      <c r="H179" s="3479"/>
      <c r="I179" s="2811">
        <f>SUMIF(H12:H166,"es",I12:I166)</f>
        <v>3.8</v>
      </c>
      <c r="J179" s="2812">
        <f>SUMIF(H13:H140,"es",J13:J140)</f>
        <v>778.2</v>
      </c>
      <c r="K179" s="2812">
        <f>SUMIF(H13:H166,"es",K13:K166)</f>
        <v>595.9</v>
      </c>
      <c r="L179" s="2279"/>
      <c r="M179" s="3466"/>
      <c r="N179" s="3466"/>
      <c r="O179" s="1561"/>
    </row>
    <row r="180" spans="1:15" s="1495" customFormat="1" x14ac:dyDescent="0.2">
      <c r="A180" s="3463" t="s">
        <v>1</v>
      </c>
      <c r="B180" s="3464"/>
      <c r="C180" s="3464"/>
      <c r="D180" s="3464"/>
      <c r="E180" s="3464"/>
      <c r="F180" s="3464"/>
      <c r="G180" s="3464"/>
      <c r="H180" s="3465"/>
      <c r="I180" s="2395">
        <f>SUMIF(H12:H166,"lrvb",I12:I166)</f>
        <v>1.5</v>
      </c>
      <c r="J180" s="2354">
        <f>SUMIF(H13:H165,"lrvb",J13:J165)</f>
        <v>0</v>
      </c>
      <c r="K180" s="2354">
        <f>SUMIF(H13:H166,"lrvb",K13:K166)</f>
        <v>0</v>
      </c>
      <c r="L180" s="2279"/>
      <c r="M180" s="3466"/>
      <c r="N180" s="3466"/>
      <c r="O180" s="1561"/>
    </row>
    <row r="181" spans="1:15" s="1495" customFormat="1" ht="13.5" thickBot="1" x14ac:dyDescent="0.25">
      <c r="A181" s="3467" t="s">
        <v>176</v>
      </c>
      <c r="B181" s="3468"/>
      <c r="C181" s="3468"/>
      <c r="D181" s="3468"/>
      <c r="E181" s="3468"/>
      <c r="F181" s="3468"/>
      <c r="G181" s="3468"/>
      <c r="H181" s="3469"/>
      <c r="I181" s="2399">
        <f>SUMIF(H12:H166,"kt",I12:I166)</f>
        <v>0</v>
      </c>
      <c r="J181" s="2400">
        <f>SUMIF(H13:H166,"kt",J13:J166)</f>
        <v>213.9</v>
      </c>
      <c r="K181" s="2400">
        <f>SUMIF(H13:H166,"kt",K13:K166)</f>
        <v>2524.4</v>
      </c>
      <c r="L181" s="2279"/>
      <c r="M181" s="2279"/>
      <c r="N181" s="2279"/>
      <c r="O181" s="1561"/>
    </row>
    <row r="182" spans="1:15" ht="13.5" thickBot="1" x14ac:dyDescent="0.25">
      <c r="A182" s="3470" t="s">
        <v>35</v>
      </c>
      <c r="B182" s="3471"/>
      <c r="C182" s="3471"/>
      <c r="D182" s="3471"/>
      <c r="E182" s="3471"/>
      <c r="F182" s="3471"/>
      <c r="G182" s="3471"/>
      <c r="H182" s="3472"/>
      <c r="I182" s="2402">
        <f>I177+I173</f>
        <v>64493.600000000006</v>
      </c>
      <c r="J182" s="2403">
        <f>J173+J177</f>
        <v>63546.1</v>
      </c>
      <c r="K182" s="2403">
        <f>K177+K173</f>
        <v>65354.600000000006</v>
      </c>
      <c r="L182" s="2268"/>
      <c r="M182" s="3462"/>
      <c r="N182" s="3462"/>
    </row>
    <row r="184" spans="1:15" x14ac:dyDescent="0.2">
      <c r="D184" s="1492"/>
      <c r="E184" s="1512"/>
      <c r="F184" s="1910"/>
      <c r="G184" s="1512"/>
      <c r="H184" s="1488"/>
      <c r="I184" s="2699">
        <f>I169-I182</f>
        <v>0</v>
      </c>
      <c r="J184" s="2700">
        <f>J169-J182</f>
        <v>0</v>
      </c>
      <c r="K184" s="2700">
        <f>K169-K182</f>
        <v>0</v>
      </c>
      <c r="L184" s="2701"/>
    </row>
    <row r="185" spans="1:15" ht="60" customHeight="1" x14ac:dyDescent="0.2">
      <c r="D185" s="1492"/>
      <c r="E185" s="1512"/>
      <c r="F185" s="1910"/>
      <c r="G185" s="1512"/>
      <c r="H185" s="1488"/>
      <c r="I185" s="2404"/>
      <c r="J185" s="2404"/>
      <c r="K185" s="2404"/>
      <c r="M185" s="1512"/>
    </row>
    <row r="186" spans="1:15" x14ac:dyDescent="0.2">
      <c r="D186" s="1492"/>
      <c r="E186" s="1512"/>
      <c r="F186" s="1910"/>
      <c r="G186" s="1512"/>
      <c r="H186" s="1488"/>
      <c r="I186" s="2404"/>
      <c r="J186" s="2404"/>
      <c r="K186" s="2404"/>
    </row>
    <row r="187" spans="1:15" x14ac:dyDescent="0.2">
      <c r="D187" s="1492"/>
      <c r="E187" s="1512"/>
      <c r="F187" s="1910"/>
      <c r="G187" s="1512"/>
      <c r="H187" s="1488"/>
      <c r="I187" s="2404"/>
      <c r="J187" s="2404"/>
      <c r="K187" s="2404"/>
    </row>
    <row r="188" spans="1:15" x14ac:dyDescent="0.2">
      <c r="D188" s="1492"/>
      <c r="E188" s="1512"/>
      <c r="F188" s="1910"/>
      <c r="G188" s="1512"/>
      <c r="H188" s="1488"/>
      <c r="I188" s="2404"/>
      <c r="J188" s="2404"/>
      <c r="K188" s="2404"/>
    </row>
    <row r="189" spans="1:15" x14ac:dyDescent="0.2">
      <c r="D189" s="1492"/>
      <c r="E189" s="1512"/>
      <c r="F189" s="1910"/>
      <c r="G189" s="1512"/>
      <c r="H189" s="1488"/>
      <c r="I189" s="2404"/>
      <c r="J189" s="2404"/>
      <c r="K189" s="2404"/>
    </row>
    <row r="190" spans="1:15" x14ac:dyDescent="0.2">
      <c r="D190" s="1492"/>
      <c r="E190" s="1512"/>
      <c r="F190" s="1910"/>
      <c r="G190" s="1512"/>
      <c r="H190" s="1488"/>
      <c r="I190" s="2404"/>
      <c r="J190" s="2404"/>
      <c r="K190" s="2404"/>
    </row>
    <row r="191" spans="1:15" x14ac:dyDescent="0.2">
      <c r="D191" s="1492"/>
      <c r="E191" s="1512"/>
      <c r="F191" s="1910"/>
      <c r="G191" s="1512"/>
      <c r="H191" s="1488"/>
      <c r="I191" s="2404"/>
      <c r="J191" s="2404"/>
      <c r="K191" s="2404"/>
    </row>
    <row r="192" spans="1:15" x14ac:dyDescent="0.2">
      <c r="D192" s="1492"/>
      <c r="E192" s="1512"/>
      <c r="F192" s="1910"/>
      <c r="G192" s="1512"/>
      <c r="H192" s="1488"/>
      <c r="I192" s="2404"/>
      <c r="J192" s="2404"/>
      <c r="K192" s="2404"/>
    </row>
    <row r="193" spans="1:14" x14ac:dyDescent="0.2">
      <c r="D193" s="1492"/>
      <c r="E193" s="1512"/>
      <c r="F193" s="1910"/>
      <c r="G193" s="1512"/>
      <c r="H193" s="1488"/>
      <c r="I193" s="2404"/>
      <c r="J193" s="2404"/>
      <c r="K193" s="2404"/>
    </row>
    <row r="194" spans="1:14" x14ac:dyDescent="0.2">
      <c r="D194" s="1492"/>
      <c r="E194" s="1512"/>
      <c r="F194" s="1910"/>
      <c r="G194" s="1512"/>
      <c r="H194" s="1488"/>
      <c r="I194" s="2404"/>
      <c r="J194" s="2404"/>
      <c r="K194" s="2404"/>
    </row>
    <row r="195" spans="1:14" x14ac:dyDescent="0.2">
      <c r="A195" s="1621"/>
      <c r="B195" s="1621"/>
      <c r="C195" s="1621"/>
      <c r="D195" s="1492"/>
      <c r="E195" s="1512"/>
      <c r="F195" s="1910"/>
      <c r="G195" s="1512"/>
      <c r="H195" s="1488"/>
      <c r="I195" s="2404"/>
      <c r="J195" s="2404"/>
      <c r="K195" s="2404"/>
      <c r="L195" s="1492"/>
      <c r="M195" s="1512"/>
      <c r="N195" s="1512"/>
    </row>
    <row r="196" spans="1:14" x14ac:dyDescent="0.2">
      <c r="A196" s="1621"/>
      <c r="B196" s="1621"/>
      <c r="C196" s="1621"/>
      <c r="D196" s="1492"/>
      <c r="E196" s="1512"/>
      <c r="F196" s="1910"/>
      <c r="G196" s="1512"/>
      <c r="H196" s="1488"/>
      <c r="I196" s="2404"/>
      <c r="J196" s="2404"/>
      <c r="K196" s="2404"/>
      <c r="L196" s="1492"/>
      <c r="M196" s="1512"/>
      <c r="N196" s="1512"/>
    </row>
    <row r="197" spans="1:14" x14ac:dyDescent="0.2">
      <c r="A197" s="1621"/>
      <c r="B197" s="1621"/>
      <c r="C197" s="1621"/>
      <c r="D197" s="1492"/>
      <c r="E197" s="1512"/>
      <c r="F197" s="1910"/>
      <c r="G197" s="1512"/>
      <c r="H197" s="1488"/>
      <c r="I197" s="2404"/>
      <c r="J197" s="2404"/>
      <c r="K197" s="2404"/>
      <c r="L197" s="1492"/>
      <c r="M197" s="1512"/>
      <c r="N197" s="1512"/>
    </row>
    <row r="198" spans="1:14" x14ac:dyDescent="0.2">
      <c r="A198" s="1621"/>
      <c r="B198" s="1621"/>
      <c r="C198" s="1621"/>
      <c r="D198" s="1492"/>
      <c r="E198" s="1512"/>
      <c r="F198" s="1910"/>
      <c r="G198" s="1512"/>
      <c r="H198" s="1488"/>
      <c r="I198" s="2404"/>
      <c r="J198" s="2404"/>
      <c r="K198" s="2404"/>
      <c r="L198" s="1492"/>
      <c r="M198" s="1512"/>
      <c r="N198" s="1512"/>
    </row>
    <row r="199" spans="1:14" x14ac:dyDescent="0.2">
      <c r="A199" s="1621"/>
      <c r="B199" s="1621"/>
      <c r="C199" s="1621"/>
      <c r="D199" s="1492"/>
      <c r="E199" s="1512"/>
      <c r="F199" s="1910"/>
      <c r="G199" s="1512"/>
      <c r="H199" s="1488"/>
      <c r="I199" s="2404"/>
      <c r="J199" s="2404"/>
      <c r="K199" s="2404"/>
      <c r="L199" s="1492"/>
      <c r="M199" s="1512"/>
      <c r="N199" s="1512"/>
    </row>
    <row r="200" spans="1:14" x14ac:dyDescent="0.2">
      <c r="A200" s="1621"/>
      <c r="B200" s="1621"/>
      <c r="C200" s="1621"/>
      <c r="D200" s="1492"/>
      <c r="E200" s="1512"/>
      <c r="F200" s="1910"/>
      <c r="G200" s="1512"/>
      <c r="H200" s="1488"/>
      <c r="I200" s="2404"/>
      <c r="J200" s="2404"/>
      <c r="K200" s="2404"/>
      <c r="L200" s="1492"/>
      <c r="M200" s="1512"/>
      <c r="N200" s="1512"/>
    </row>
    <row r="201" spans="1:14" x14ac:dyDescent="0.2">
      <c r="A201" s="1621"/>
      <c r="B201" s="1621"/>
      <c r="C201" s="1621"/>
      <c r="D201" s="1492"/>
      <c r="E201" s="1512"/>
      <c r="F201" s="1910"/>
      <c r="G201" s="1512"/>
      <c r="H201" s="1488"/>
      <c r="I201" s="2404"/>
      <c r="J201" s="2404"/>
      <c r="K201" s="2404"/>
      <c r="L201" s="1492"/>
      <c r="M201" s="1512"/>
      <c r="N201" s="1512"/>
    </row>
    <row r="202" spans="1:14" x14ac:dyDescent="0.2">
      <c r="A202" s="1621"/>
      <c r="B202" s="1621"/>
      <c r="C202" s="1621"/>
      <c r="D202" s="1492"/>
      <c r="E202" s="1512"/>
      <c r="F202" s="1910"/>
      <c r="G202" s="1512"/>
      <c r="H202" s="1488"/>
      <c r="I202" s="2404"/>
      <c r="J202" s="2404"/>
      <c r="K202" s="2404"/>
      <c r="L202" s="1492"/>
      <c r="M202" s="1512"/>
      <c r="N202" s="1512"/>
    </row>
    <row r="203" spans="1:14" x14ac:dyDescent="0.2">
      <c r="A203" s="1621"/>
      <c r="B203" s="1621"/>
      <c r="C203" s="1621"/>
      <c r="D203" s="1492"/>
      <c r="E203" s="1512"/>
      <c r="F203" s="1910"/>
      <c r="G203" s="1512"/>
      <c r="H203" s="1488"/>
      <c r="I203" s="2404"/>
      <c r="J203" s="2404"/>
      <c r="K203" s="2404"/>
      <c r="L203" s="1492"/>
      <c r="M203" s="1512"/>
      <c r="N203" s="1512"/>
    </row>
    <row r="204" spans="1:14" x14ac:dyDescent="0.2">
      <c r="A204" s="1621"/>
      <c r="B204" s="1621"/>
      <c r="C204" s="1621"/>
      <c r="D204" s="1492"/>
      <c r="E204" s="1512"/>
      <c r="F204" s="1910"/>
      <c r="G204" s="1512"/>
      <c r="H204" s="1488"/>
      <c r="I204" s="2404"/>
      <c r="J204" s="2404"/>
      <c r="K204" s="2404"/>
      <c r="L204" s="1492"/>
      <c r="M204" s="1512"/>
      <c r="N204" s="1512"/>
    </row>
    <row r="205" spans="1:14" x14ac:dyDescent="0.2">
      <c r="A205" s="1621"/>
      <c r="B205" s="1621"/>
      <c r="C205" s="1621"/>
      <c r="D205" s="1492"/>
      <c r="E205" s="1512"/>
      <c r="F205" s="1910"/>
      <c r="G205" s="1512"/>
      <c r="H205" s="1488"/>
      <c r="I205" s="2404"/>
      <c r="J205" s="2404"/>
      <c r="K205" s="2404"/>
      <c r="L205" s="1492"/>
      <c r="M205" s="1512"/>
      <c r="N205" s="1512"/>
    </row>
    <row r="206" spans="1:14" x14ac:dyDescent="0.2">
      <c r="A206" s="1621"/>
      <c r="B206" s="1621"/>
      <c r="C206" s="1621"/>
      <c r="D206" s="1492"/>
      <c r="E206" s="1512"/>
      <c r="F206" s="1910"/>
      <c r="G206" s="1512"/>
      <c r="H206" s="1488"/>
      <c r="I206" s="2404"/>
      <c r="J206" s="2404"/>
      <c r="K206" s="2404"/>
      <c r="L206" s="1492"/>
      <c r="M206" s="1512"/>
      <c r="N206" s="1512"/>
    </row>
    <row r="207" spans="1:14" x14ac:dyDescent="0.2">
      <c r="A207" s="1621"/>
      <c r="B207" s="1621"/>
      <c r="C207" s="1621"/>
      <c r="D207" s="1492"/>
      <c r="E207" s="1512"/>
      <c r="F207" s="1910"/>
      <c r="G207" s="1512"/>
      <c r="H207" s="1488"/>
      <c r="I207" s="2404"/>
      <c r="J207" s="2404"/>
      <c r="K207" s="2404"/>
      <c r="L207" s="1492"/>
      <c r="M207" s="1512"/>
      <c r="N207" s="1512"/>
    </row>
  </sheetData>
  <mergeCells count="211">
    <mergeCell ref="K5:K7"/>
    <mergeCell ref="L5:O5"/>
    <mergeCell ref="L6:L7"/>
    <mergeCell ref="M6:O6"/>
    <mergeCell ref="F5:F7"/>
    <mergeCell ref="G5:G7"/>
    <mergeCell ref="H5:H7"/>
    <mergeCell ref="J5:J7"/>
    <mergeCell ref="A1:O1"/>
    <mergeCell ref="A2:O2"/>
    <mergeCell ref="A3:O3"/>
    <mergeCell ref="C4:O4"/>
    <mergeCell ref="A5:A7"/>
    <mergeCell ref="B5:B7"/>
    <mergeCell ref="C5:C7"/>
    <mergeCell ref="D5:D7"/>
    <mergeCell ref="E5:E7"/>
    <mergeCell ref="I5:I7"/>
    <mergeCell ref="A19:A22"/>
    <mergeCell ref="C19:C22"/>
    <mergeCell ref="D19:D22"/>
    <mergeCell ref="E19:E22"/>
    <mergeCell ref="F19:F22"/>
    <mergeCell ref="G19:G22"/>
    <mergeCell ref="A8:O8"/>
    <mergeCell ref="A9:O9"/>
    <mergeCell ref="B10:O10"/>
    <mergeCell ref="C11:O11"/>
    <mergeCell ref="C12:C13"/>
    <mergeCell ref="D12:D13"/>
    <mergeCell ref="E12:E13"/>
    <mergeCell ref="F12:F13"/>
    <mergeCell ref="G12:G13"/>
    <mergeCell ref="D14:D17"/>
    <mergeCell ref="E30:E31"/>
    <mergeCell ref="G23:G26"/>
    <mergeCell ref="A27:A29"/>
    <mergeCell ref="B27:B29"/>
    <mergeCell ref="C27:C29"/>
    <mergeCell ref="D27:D29"/>
    <mergeCell ref="E27:E29"/>
    <mergeCell ref="F27:F29"/>
    <mergeCell ref="G27:G29"/>
    <mergeCell ref="A23:A26"/>
    <mergeCell ref="C23:C26"/>
    <mergeCell ref="D23:D26"/>
    <mergeCell ref="E23:E26"/>
    <mergeCell ref="F23:F26"/>
    <mergeCell ref="F30:F31"/>
    <mergeCell ref="G30:G31"/>
    <mergeCell ref="L30:L31"/>
    <mergeCell ref="M30:M31"/>
    <mergeCell ref="N30:N31"/>
    <mergeCell ref="O30:O31"/>
    <mergeCell ref="Q29:Q30"/>
    <mergeCell ref="R29:R30"/>
    <mergeCell ref="S29:S30"/>
    <mergeCell ref="A38:A39"/>
    <mergeCell ref="B38:B39"/>
    <mergeCell ref="C38:C39"/>
    <mergeCell ref="D38:D39"/>
    <mergeCell ref="E38:E39"/>
    <mergeCell ref="D32:D35"/>
    <mergeCell ref="E32:E35"/>
    <mergeCell ref="F32:F35"/>
    <mergeCell ref="G32:G35"/>
    <mergeCell ref="D36:D37"/>
    <mergeCell ref="E36:E37"/>
    <mergeCell ref="F36:F37"/>
    <mergeCell ref="G36:G37"/>
    <mergeCell ref="A30:A31"/>
    <mergeCell ref="B30:B31"/>
    <mergeCell ref="C30:C31"/>
    <mergeCell ref="D30:D31"/>
    <mergeCell ref="D50:D51"/>
    <mergeCell ref="E50:E51"/>
    <mergeCell ref="F50:F51"/>
    <mergeCell ref="G50:G51"/>
    <mergeCell ref="F38:F39"/>
    <mergeCell ref="G38:G39"/>
    <mergeCell ref="D42:D44"/>
    <mergeCell ref="E42:E44"/>
    <mergeCell ref="F42:F44"/>
    <mergeCell ref="G42:G44"/>
    <mergeCell ref="B65:H65"/>
    <mergeCell ref="L65:O65"/>
    <mergeCell ref="A62:A63"/>
    <mergeCell ref="C62:C63"/>
    <mergeCell ref="D62:D63"/>
    <mergeCell ref="E62:E63"/>
    <mergeCell ref="F62:F63"/>
    <mergeCell ref="D56:D57"/>
    <mergeCell ref="L58:L59"/>
    <mergeCell ref="B60:B61"/>
    <mergeCell ref="C60:C61"/>
    <mergeCell ref="D60:D61"/>
    <mergeCell ref="E60:E61"/>
    <mergeCell ref="F60:F61"/>
    <mergeCell ref="G60:G61"/>
    <mergeCell ref="L62:L63"/>
    <mergeCell ref="C64:H64"/>
    <mergeCell ref="L93:L94"/>
    <mergeCell ref="D104:D106"/>
    <mergeCell ref="Q104:Q105"/>
    <mergeCell ref="R104:R105"/>
    <mergeCell ref="D91:D92"/>
    <mergeCell ref="C93:C94"/>
    <mergeCell ref="F93:F94"/>
    <mergeCell ref="D97:D98"/>
    <mergeCell ref="D93:D96"/>
    <mergeCell ref="E98:E99"/>
    <mergeCell ref="E102:H102"/>
    <mergeCell ref="D117:D118"/>
    <mergeCell ref="D119:D120"/>
    <mergeCell ref="D121:D123"/>
    <mergeCell ref="D124:D125"/>
    <mergeCell ref="L124:L125"/>
    <mergeCell ref="E112:H112"/>
    <mergeCell ref="D110:D112"/>
    <mergeCell ref="S104:S105"/>
    <mergeCell ref="T104:T105"/>
    <mergeCell ref="D107:D109"/>
    <mergeCell ref="L110:L111"/>
    <mergeCell ref="C131:H131"/>
    <mergeCell ref="L131:O131"/>
    <mergeCell ref="D133:D134"/>
    <mergeCell ref="E133:E134"/>
    <mergeCell ref="M124:M125"/>
    <mergeCell ref="E128:E129"/>
    <mergeCell ref="D128:D129"/>
    <mergeCell ref="C132:O132"/>
    <mergeCell ref="O151:O152"/>
    <mergeCell ref="D144:D145"/>
    <mergeCell ref="D136:D137"/>
    <mergeCell ref="D138:D139"/>
    <mergeCell ref="A140:A141"/>
    <mergeCell ref="B140:B141"/>
    <mergeCell ref="D140:D141"/>
    <mergeCell ref="E140:E141"/>
    <mergeCell ref="G140:G141"/>
    <mergeCell ref="C142:H142"/>
    <mergeCell ref="L142:O142"/>
    <mergeCell ref="C143:O143"/>
    <mergeCell ref="D151:D152"/>
    <mergeCell ref="D157:D158"/>
    <mergeCell ref="E157:E158"/>
    <mergeCell ref="D159:D160"/>
    <mergeCell ref="E159:E160"/>
    <mergeCell ref="D162:D164"/>
    <mergeCell ref="L159:L160"/>
    <mergeCell ref="L151:L152"/>
    <mergeCell ref="M151:M152"/>
    <mergeCell ref="N151:N152"/>
    <mergeCell ref="M172:N172"/>
    <mergeCell ref="C167:H167"/>
    <mergeCell ref="L167:O167"/>
    <mergeCell ref="B168:H168"/>
    <mergeCell ref="L168:O168"/>
    <mergeCell ref="B169:H169"/>
    <mergeCell ref="L169:O169"/>
    <mergeCell ref="A165:A166"/>
    <mergeCell ref="B165:B166"/>
    <mergeCell ref="D165:D166"/>
    <mergeCell ref="E165:E166"/>
    <mergeCell ref="G165:G166"/>
    <mergeCell ref="L165:L166"/>
    <mergeCell ref="A170:O170"/>
    <mergeCell ref="A171:K171"/>
    <mergeCell ref="A172:H172"/>
    <mergeCell ref="A180:H180"/>
    <mergeCell ref="M180:N180"/>
    <mergeCell ref="A181:H181"/>
    <mergeCell ref="A182:H182"/>
    <mergeCell ref="M182:N182"/>
    <mergeCell ref="A177:H177"/>
    <mergeCell ref="M177:N177"/>
    <mergeCell ref="A179:H179"/>
    <mergeCell ref="M179:N179"/>
    <mergeCell ref="A176:H176"/>
    <mergeCell ref="M176:N176"/>
    <mergeCell ref="A178:H178"/>
    <mergeCell ref="A173:H173"/>
    <mergeCell ref="M173:N173"/>
    <mergeCell ref="A174:H174"/>
    <mergeCell ref="M174:N174"/>
    <mergeCell ref="A175:H175"/>
    <mergeCell ref="M175:N175"/>
    <mergeCell ref="D84:D86"/>
    <mergeCell ref="D87:D89"/>
    <mergeCell ref="L87:L89"/>
    <mergeCell ref="L45:L46"/>
    <mergeCell ref="D54:D55"/>
    <mergeCell ref="E54:E55"/>
    <mergeCell ref="E89:H89"/>
    <mergeCell ref="L16:L17"/>
    <mergeCell ref="L19:L20"/>
    <mergeCell ref="L84:L85"/>
    <mergeCell ref="D79:D80"/>
    <mergeCell ref="D81:D83"/>
    <mergeCell ref="L82:L83"/>
    <mergeCell ref="D75:D76"/>
    <mergeCell ref="L75:L76"/>
    <mergeCell ref="D77:D78"/>
    <mergeCell ref="L77:L78"/>
    <mergeCell ref="C67:O67"/>
    <mergeCell ref="D69:D71"/>
    <mergeCell ref="L70:L71"/>
    <mergeCell ref="D72:D73"/>
    <mergeCell ref="L72:L73"/>
    <mergeCell ref="G62:G63"/>
    <mergeCell ref="M64:O64"/>
  </mergeCells>
  <pageMargins left="0.70866141732283472" right="0" top="0.35433070866141736" bottom="0.55118110236220474" header="0.31496062992125984" footer="0.31496062992125984"/>
  <pageSetup paperSize="9" scale="80" orientation="portrait" r:id="rId1"/>
  <rowBreaks count="3" manualBreakCount="3">
    <brk id="46" max="15" man="1"/>
    <brk id="120" max="15" man="1"/>
    <brk id="156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55"/>
  <sheetViews>
    <sheetView zoomScaleNormal="100" zoomScaleSheetLayoutView="80" workbookViewId="0">
      <selection activeCell="X8" sqref="X8"/>
    </sheetView>
  </sheetViews>
  <sheetFormatPr defaultRowHeight="12.75" x14ac:dyDescent="0.2"/>
  <cols>
    <col min="1" max="4" width="2.42578125" style="1620" customWidth="1"/>
    <col min="5" max="5" width="34.7109375" style="1495" customWidth="1"/>
    <col min="6" max="6" width="3.5703125" style="1561" customWidth="1"/>
    <col min="7" max="7" width="2.85546875" style="1901" customWidth="1"/>
    <col min="8" max="8" width="3" style="1561" customWidth="1"/>
    <col min="9" max="9" width="12.140625" style="1819" customWidth="1"/>
    <col min="10" max="10" width="10.28515625" style="1922" customWidth="1"/>
    <col min="11" max="12" width="10" style="1838" customWidth="1"/>
    <col min="13" max="15" width="10.42578125" style="1838" customWidth="1"/>
    <col min="16" max="16" width="9" style="1838" customWidth="1"/>
    <col min="17" max="17" width="10.42578125" style="1495" customWidth="1"/>
    <col min="18" max="18" width="10.28515625" style="1495" customWidth="1"/>
    <col min="19" max="19" width="22.85546875" style="1495" customWidth="1"/>
    <col min="20" max="20" width="6.140625" style="1495" customWidth="1"/>
    <col min="21" max="21" width="6.85546875" style="1561" customWidth="1"/>
    <col min="22" max="22" width="5.85546875" style="1512" customWidth="1"/>
    <col min="23" max="23" width="9.140625" style="1492" hidden="1" customWidth="1"/>
    <col min="24" max="16384" width="9.140625" style="1492"/>
  </cols>
  <sheetData>
    <row r="1" spans="1:22" s="2905" customFormat="1" ht="15.75" x14ac:dyDescent="0.2">
      <c r="A1" s="2901"/>
      <c r="B1" s="2901"/>
      <c r="C1" s="2901"/>
      <c r="D1" s="2901"/>
      <c r="E1" s="2902"/>
      <c r="F1" s="2903"/>
      <c r="G1" s="2904"/>
      <c r="H1" s="2903"/>
      <c r="I1" s="2903"/>
      <c r="J1" s="2903"/>
      <c r="K1" s="2902"/>
      <c r="L1" s="2902"/>
      <c r="M1" s="2902"/>
      <c r="N1" s="2902"/>
      <c r="O1" s="2902"/>
      <c r="P1" s="2902"/>
      <c r="Q1" s="2902"/>
      <c r="R1" s="2902"/>
      <c r="S1" s="3666" t="s">
        <v>515</v>
      </c>
      <c r="T1" s="3666"/>
      <c r="U1" s="3666"/>
      <c r="V1" s="3666"/>
    </row>
    <row r="2" spans="1:22" s="2905" customFormat="1" ht="15.75" x14ac:dyDescent="0.2">
      <c r="A2" s="3737" t="s">
        <v>328</v>
      </c>
      <c r="B2" s="3737"/>
      <c r="C2" s="3737"/>
      <c r="D2" s="3737"/>
      <c r="E2" s="3737"/>
      <c r="F2" s="3737"/>
      <c r="G2" s="3737"/>
      <c r="H2" s="3737"/>
      <c r="I2" s="3737"/>
      <c r="J2" s="3737"/>
      <c r="K2" s="3737"/>
      <c r="L2" s="3737"/>
      <c r="M2" s="3737"/>
      <c r="N2" s="3737"/>
      <c r="O2" s="3737"/>
      <c r="P2" s="3737"/>
      <c r="Q2" s="3737"/>
      <c r="R2" s="3737"/>
      <c r="S2" s="3737"/>
      <c r="T2" s="3737"/>
      <c r="U2" s="3737"/>
      <c r="V2" s="3737"/>
    </row>
    <row r="3" spans="1:22" s="2905" customFormat="1" ht="15.75" x14ac:dyDescent="0.2">
      <c r="A3" s="3738" t="s">
        <v>39</v>
      </c>
      <c r="B3" s="3738"/>
      <c r="C3" s="3738"/>
      <c r="D3" s="3738"/>
      <c r="E3" s="3738"/>
      <c r="F3" s="3738"/>
      <c r="G3" s="3738"/>
      <c r="H3" s="3738"/>
      <c r="I3" s="3738"/>
      <c r="J3" s="3738"/>
      <c r="K3" s="3738"/>
      <c r="L3" s="3738"/>
      <c r="M3" s="3738"/>
      <c r="N3" s="3738"/>
      <c r="O3" s="3738"/>
      <c r="P3" s="3738"/>
      <c r="Q3" s="3738"/>
      <c r="R3" s="3738"/>
      <c r="S3" s="3738"/>
      <c r="T3" s="3738"/>
      <c r="U3" s="3738"/>
      <c r="V3" s="3738"/>
    </row>
    <row r="4" spans="1:22" s="2905" customFormat="1" ht="15.75" x14ac:dyDescent="0.2">
      <c r="A4" s="3739" t="s">
        <v>516</v>
      </c>
      <c r="B4" s="3739"/>
      <c r="C4" s="3739"/>
      <c r="D4" s="3739"/>
      <c r="E4" s="3739"/>
      <c r="F4" s="3739"/>
      <c r="G4" s="3739"/>
      <c r="H4" s="3739"/>
      <c r="I4" s="3739"/>
      <c r="J4" s="3739"/>
      <c r="K4" s="3739"/>
      <c r="L4" s="3739"/>
      <c r="M4" s="3739"/>
      <c r="N4" s="3739"/>
      <c r="O4" s="3739"/>
      <c r="P4" s="3739"/>
      <c r="Q4" s="3739"/>
      <c r="R4" s="3739"/>
      <c r="S4" s="3739"/>
      <c r="T4" s="3739"/>
      <c r="U4" s="3739"/>
      <c r="V4" s="3739"/>
    </row>
    <row r="5" spans="1:22" ht="13.5" thickBot="1" x14ac:dyDescent="0.25">
      <c r="A5" s="2046"/>
      <c r="B5" s="2046"/>
      <c r="C5" s="3650" t="s">
        <v>292</v>
      </c>
      <c r="D5" s="3650"/>
      <c r="E5" s="3650"/>
      <c r="F5" s="3650"/>
      <c r="G5" s="3650"/>
      <c r="H5" s="3650"/>
      <c r="I5" s="3650"/>
      <c r="J5" s="3650"/>
      <c r="K5" s="3650"/>
      <c r="L5" s="3650"/>
      <c r="M5" s="3650"/>
      <c r="N5" s="3650"/>
      <c r="O5" s="3650"/>
      <c r="P5" s="3650"/>
      <c r="Q5" s="3650"/>
      <c r="R5" s="3650"/>
      <c r="S5" s="3650"/>
      <c r="T5" s="3650"/>
      <c r="U5" s="3650"/>
      <c r="V5" s="3650"/>
    </row>
    <row r="6" spans="1:22" ht="61.5" customHeight="1" x14ac:dyDescent="0.2">
      <c r="A6" s="3651" t="s">
        <v>12</v>
      </c>
      <c r="B6" s="3654" t="s">
        <v>13</v>
      </c>
      <c r="C6" s="3654" t="s">
        <v>14</v>
      </c>
      <c r="D6" s="3740" t="s">
        <v>65</v>
      </c>
      <c r="E6" s="3657" t="s">
        <v>31</v>
      </c>
      <c r="F6" s="3660" t="s">
        <v>15</v>
      </c>
      <c r="G6" s="3641" t="s">
        <v>91</v>
      </c>
      <c r="H6" s="3644" t="s">
        <v>16</v>
      </c>
      <c r="I6" s="3404" t="s">
        <v>154</v>
      </c>
      <c r="J6" s="3404" t="s">
        <v>17</v>
      </c>
      <c r="K6" s="1962" t="s">
        <v>421</v>
      </c>
      <c r="L6" s="1962" t="s">
        <v>422</v>
      </c>
      <c r="M6" s="3672" t="s">
        <v>329</v>
      </c>
      <c r="N6" s="3673"/>
      <c r="O6" s="3673"/>
      <c r="P6" s="3674"/>
      <c r="Q6" s="3675" t="s">
        <v>229</v>
      </c>
      <c r="R6" s="3675" t="s">
        <v>330</v>
      </c>
      <c r="S6" s="3633" t="s">
        <v>72</v>
      </c>
      <c r="T6" s="3634"/>
      <c r="U6" s="3634"/>
      <c r="V6" s="3635"/>
    </row>
    <row r="7" spans="1:22" ht="12.75" customHeight="1" x14ac:dyDescent="0.2">
      <c r="A7" s="3652"/>
      <c r="B7" s="3655"/>
      <c r="C7" s="3655"/>
      <c r="D7" s="3741"/>
      <c r="E7" s="3658"/>
      <c r="F7" s="3661"/>
      <c r="G7" s="3642"/>
      <c r="H7" s="3645"/>
      <c r="I7" s="3405"/>
      <c r="J7" s="3405"/>
      <c r="K7" s="3405" t="s">
        <v>18</v>
      </c>
      <c r="L7" s="3734"/>
      <c r="M7" s="3743" t="s">
        <v>18</v>
      </c>
      <c r="N7" s="3745" t="s">
        <v>19</v>
      </c>
      <c r="O7" s="3745"/>
      <c r="P7" s="3746" t="s">
        <v>42</v>
      </c>
      <c r="Q7" s="3676"/>
      <c r="R7" s="3676"/>
      <c r="S7" s="3636" t="s">
        <v>31</v>
      </c>
      <c r="T7" s="3638" t="s">
        <v>293</v>
      </c>
      <c r="U7" s="3639"/>
      <c r="V7" s="3640"/>
    </row>
    <row r="8" spans="1:22" ht="116.25" customHeight="1" thickBot="1" x14ac:dyDescent="0.25">
      <c r="A8" s="3653"/>
      <c r="B8" s="3656"/>
      <c r="C8" s="3656"/>
      <c r="D8" s="3742"/>
      <c r="E8" s="3659"/>
      <c r="F8" s="3662"/>
      <c r="G8" s="3643"/>
      <c r="H8" s="3646"/>
      <c r="I8" s="3406"/>
      <c r="J8" s="3406"/>
      <c r="K8" s="3406"/>
      <c r="L8" s="3748"/>
      <c r="M8" s="3744"/>
      <c r="N8" s="2575" t="s">
        <v>18</v>
      </c>
      <c r="O8" s="2576" t="s">
        <v>32</v>
      </c>
      <c r="P8" s="3747"/>
      <c r="Q8" s="3677"/>
      <c r="R8" s="3677"/>
      <c r="S8" s="3637"/>
      <c r="T8" s="1600" t="s">
        <v>107</v>
      </c>
      <c r="U8" s="1600" t="s">
        <v>230</v>
      </c>
      <c r="V8" s="1601" t="s">
        <v>331</v>
      </c>
    </row>
    <row r="9" spans="1:22" ht="13.5" thickBot="1" x14ac:dyDescent="0.25">
      <c r="A9" s="3615" t="s">
        <v>364</v>
      </c>
      <c r="B9" s="3616"/>
      <c r="C9" s="3616"/>
      <c r="D9" s="3616"/>
      <c r="E9" s="3616"/>
      <c r="F9" s="3616"/>
      <c r="G9" s="3616"/>
      <c r="H9" s="3616"/>
      <c r="I9" s="3616"/>
      <c r="J9" s="3616"/>
      <c r="K9" s="3616"/>
      <c r="L9" s="3616"/>
      <c r="M9" s="3616"/>
      <c r="N9" s="3616"/>
      <c r="O9" s="3616"/>
      <c r="P9" s="3616"/>
      <c r="Q9" s="3616"/>
      <c r="R9" s="3616"/>
      <c r="S9" s="3616"/>
      <c r="T9" s="3616"/>
      <c r="U9" s="3616"/>
      <c r="V9" s="3617"/>
    </row>
    <row r="10" spans="1:22" ht="13.5" thickBot="1" x14ac:dyDescent="0.25">
      <c r="A10" s="3618" t="s">
        <v>40</v>
      </c>
      <c r="B10" s="3619"/>
      <c r="C10" s="3619"/>
      <c r="D10" s="3619"/>
      <c r="E10" s="3619"/>
      <c r="F10" s="3619"/>
      <c r="G10" s="3619"/>
      <c r="H10" s="3619"/>
      <c r="I10" s="3619"/>
      <c r="J10" s="3619"/>
      <c r="K10" s="3619"/>
      <c r="L10" s="3619"/>
      <c r="M10" s="3619"/>
      <c r="N10" s="3619"/>
      <c r="O10" s="3619"/>
      <c r="P10" s="3619"/>
      <c r="Q10" s="3619"/>
      <c r="R10" s="3619"/>
      <c r="S10" s="3619"/>
      <c r="T10" s="3619"/>
      <c r="U10" s="3619"/>
      <c r="V10" s="3620"/>
    </row>
    <row r="11" spans="1:22" ht="13.5" thickBot="1" x14ac:dyDescent="0.25">
      <c r="A11" s="2062" t="s">
        <v>20</v>
      </c>
      <c r="B11" s="3621" t="s">
        <v>51</v>
      </c>
      <c r="C11" s="3622"/>
      <c r="D11" s="3622"/>
      <c r="E11" s="3622"/>
      <c r="F11" s="3622"/>
      <c r="G11" s="3622"/>
      <c r="H11" s="3622"/>
      <c r="I11" s="3622"/>
      <c r="J11" s="3622"/>
      <c r="K11" s="3622"/>
      <c r="L11" s="3622"/>
      <c r="M11" s="3622"/>
      <c r="N11" s="3622"/>
      <c r="O11" s="3622"/>
      <c r="P11" s="3622"/>
      <c r="Q11" s="3622"/>
      <c r="R11" s="3622"/>
      <c r="S11" s="3622"/>
      <c r="T11" s="3622"/>
      <c r="U11" s="3622"/>
      <c r="V11" s="3623"/>
    </row>
    <row r="12" spans="1:22" ht="13.5" thickBot="1" x14ac:dyDescent="0.25">
      <c r="A12" s="218" t="s">
        <v>20</v>
      </c>
      <c r="B12" s="97" t="s">
        <v>20</v>
      </c>
      <c r="C12" s="3624" t="s">
        <v>401</v>
      </c>
      <c r="D12" s="3625"/>
      <c r="E12" s="3625"/>
      <c r="F12" s="3625"/>
      <c r="G12" s="3625"/>
      <c r="H12" s="3625"/>
      <c r="I12" s="3625"/>
      <c r="J12" s="3444"/>
      <c r="K12" s="3444"/>
      <c r="L12" s="3444"/>
      <c r="M12" s="3444"/>
      <c r="N12" s="3444"/>
      <c r="O12" s="3444"/>
      <c r="P12" s="3444"/>
      <c r="Q12" s="3444"/>
      <c r="R12" s="3444"/>
      <c r="S12" s="3444"/>
      <c r="T12" s="3444"/>
      <c r="U12" s="3444"/>
      <c r="V12" s="3445"/>
    </row>
    <row r="13" spans="1:22" x14ac:dyDescent="0.2">
      <c r="A13" s="25" t="s">
        <v>20</v>
      </c>
      <c r="B13" s="16" t="s">
        <v>20</v>
      </c>
      <c r="C13" s="3009" t="s">
        <v>20</v>
      </c>
      <c r="D13" s="3730"/>
      <c r="E13" s="3626" t="s">
        <v>104</v>
      </c>
      <c r="F13" s="3628"/>
      <c r="G13" s="3000"/>
      <c r="H13" s="3752"/>
      <c r="I13" s="1323"/>
      <c r="J13" s="1323"/>
      <c r="K13" s="1839"/>
      <c r="L13" s="1835"/>
      <c r="M13" s="1513"/>
      <c r="N13" s="1297"/>
      <c r="O13" s="1297"/>
      <c r="P13" s="1298"/>
      <c r="Q13" s="1405"/>
      <c r="R13" s="1446"/>
      <c r="S13" s="1515"/>
      <c r="T13" s="1610"/>
      <c r="U13" s="1516"/>
      <c r="V13" s="1598"/>
    </row>
    <row r="14" spans="1:22" x14ac:dyDescent="0.2">
      <c r="A14" s="26"/>
      <c r="B14" s="27"/>
      <c r="C14" s="2953"/>
      <c r="D14" s="3731"/>
      <c r="E14" s="3627"/>
      <c r="F14" s="3611"/>
      <c r="G14" s="3001"/>
      <c r="H14" s="3602"/>
      <c r="I14" s="1254"/>
      <c r="J14" s="1254"/>
      <c r="K14" s="1308"/>
      <c r="L14" s="2147"/>
      <c r="M14" s="1360"/>
      <c r="N14" s="1365"/>
      <c r="O14" s="1365"/>
      <c r="P14" s="2592"/>
      <c r="Q14" s="1517"/>
      <c r="R14" s="1517"/>
      <c r="S14" s="2793"/>
      <c r="T14" s="1864"/>
      <c r="U14" s="1512"/>
      <c r="V14" s="1872"/>
    </row>
    <row r="15" spans="1:22" s="1581" customFormat="1" ht="14.25" customHeight="1" x14ac:dyDescent="0.2">
      <c r="A15" s="26"/>
      <c r="B15" s="2767"/>
      <c r="C15" s="154"/>
      <c r="D15" s="1926" t="s">
        <v>20</v>
      </c>
      <c r="E15" s="3562" t="s">
        <v>393</v>
      </c>
      <c r="F15" s="1748"/>
      <c r="G15" s="1900" t="s">
        <v>21</v>
      </c>
      <c r="H15" s="2778" t="s">
        <v>43</v>
      </c>
      <c r="I15" s="3734" t="s">
        <v>360</v>
      </c>
      <c r="J15" s="1749" t="s">
        <v>22</v>
      </c>
      <c r="K15" s="1339">
        <v>9468431</v>
      </c>
      <c r="L15" s="1647">
        <v>20806911</v>
      </c>
      <c r="M15" s="1999">
        <f>N15</f>
        <v>9933400</v>
      </c>
      <c r="N15" s="1384">
        <f>9845000+88400</f>
        <v>9933400</v>
      </c>
      <c r="O15" s="1384">
        <f>7034200+67500</f>
        <v>7101700</v>
      </c>
      <c r="P15" s="1750"/>
      <c r="Q15" s="1749">
        <f>M15</f>
        <v>9933400</v>
      </c>
      <c r="R15" s="1795">
        <f>Q15</f>
        <v>9933400</v>
      </c>
      <c r="S15" s="2805" t="s">
        <v>355</v>
      </c>
      <c r="T15" s="1751" t="s">
        <v>239</v>
      </c>
      <c r="U15" s="1751" t="s">
        <v>240</v>
      </c>
      <c r="V15" s="1752" t="s">
        <v>356</v>
      </c>
    </row>
    <row r="16" spans="1:22" s="1581" customFormat="1" ht="14.25" customHeight="1" x14ac:dyDescent="0.2">
      <c r="A16" s="26"/>
      <c r="B16" s="2767"/>
      <c r="C16" s="154"/>
      <c r="D16" s="1926"/>
      <c r="E16" s="3562"/>
      <c r="F16" s="1748"/>
      <c r="G16" s="1900"/>
      <c r="H16" s="2778"/>
      <c r="I16" s="3734"/>
      <c r="J16" s="1749" t="s">
        <v>231</v>
      </c>
      <c r="K16" s="1348"/>
      <c r="L16" s="1996">
        <v>8431</v>
      </c>
      <c r="M16" s="1652"/>
      <c r="N16" s="1384"/>
      <c r="O16" s="1384"/>
      <c r="P16" s="1750"/>
      <c r="Q16" s="1749"/>
      <c r="R16" s="1795"/>
      <c r="S16" s="2806"/>
      <c r="T16" s="1530"/>
      <c r="U16" s="2795"/>
      <c r="V16" s="1755"/>
    </row>
    <row r="17" spans="1:27" s="1581" customFormat="1" ht="15" customHeight="1" x14ac:dyDescent="0.2">
      <c r="A17" s="26"/>
      <c r="B17" s="27"/>
      <c r="C17" s="154"/>
      <c r="D17" s="1926"/>
      <c r="E17" s="3562"/>
      <c r="F17" s="1748"/>
      <c r="G17" s="1900"/>
      <c r="H17" s="2778"/>
      <c r="I17" s="3734"/>
      <c r="J17" s="1326" t="s">
        <v>25</v>
      </c>
      <c r="K17" s="1840">
        <v>6167239</v>
      </c>
      <c r="L17" s="2164">
        <f>31558537-14347</f>
        <v>31544190</v>
      </c>
      <c r="M17" s="1652">
        <f>+N17+P17</f>
        <v>6274600</v>
      </c>
      <c r="N17" s="1384">
        <v>6252580</v>
      </c>
      <c r="O17" s="1384">
        <v>4582830</v>
      </c>
      <c r="P17" s="1647">
        <v>22020</v>
      </c>
      <c r="Q17" s="1749">
        <f t="shared" ref="Q17:Q18" si="0">M17</f>
        <v>6274600</v>
      </c>
      <c r="R17" s="1795">
        <f t="shared" ref="R17:R18" si="1">Q17</f>
        <v>6274600</v>
      </c>
      <c r="S17" s="1754" t="s">
        <v>247</v>
      </c>
      <c r="T17" s="1530" t="s">
        <v>357</v>
      </c>
      <c r="U17" s="2795" t="s">
        <v>243</v>
      </c>
      <c r="V17" s="1755" t="s">
        <v>358</v>
      </c>
    </row>
    <row r="18" spans="1:27" s="1581" customFormat="1" ht="14.25" customHeight="1" x14ac:dyDescent="0.2">
      <c r="A18" s="26"/>
      <c r="B18" s="27"/>
      <c r="C18" s="154"/>
      <c r="D18" s="1926"/>
      <c r="E18" s="3562"/>
      <c r="F18" s="1748"/>
      <c r="G18" s="1900"/>
      <c r="H18" s="2778"/>
      <c r="I18" s="1756"/>
      <c r="J18" s="1330" t="s">
        <v>93</v>
      </c>
      <c r="K18" s="1250">
        <v>3096152</v>
      </c>
      <c r="L18" s="2164">
        <v>5453919</v>
      </c>
      <c r="M18" s="1384">
        <f>+N18+P18</f>
        <v>3483200</v>
      </c>
      <c r="N18" s="1384">
        <v>3461400</v>
      </c>
      <c r="O18" s="1384">
        <v>480900</v>
      </c>
      <c r="P18" s="1385">
        <v>21800</v>
      </c>
      <c r="Q18" s="1749">
        <f t="shared" si="0"/>
        <v>3483200</v>
      </c>
      <c r="R18" s="1795">
        <f t="shared" si="1"/>
        <v>3483200</v>
      </c>
      <c r="S18" s="3732" t="s">
        <v>295</v>
      </c>
      <c r="T18" s="1757">
        <v>12</v>
      </c>
      <c r="U18" s="1757">
        <v>14</v>
      </c>
      <c r="V18" s="1758">
        <v>16</v>
      </c>
    </row>
    <row r="19" spans="1:27" s="1581" customFormat="1" ht="14.25" customHeight="1" x14ac:dyDescent="0.2">
      <c r="A19" s="26"/>
      <c r="B19" s="27"/>
      <c r="C19" s="154"/>
      <c r="D19" s="1926"/>
      <c r="E19" s="2774"/>
      <c r="F19" s="1748"/>
      <c r="G19" s="1900"/>
      <c r="H19" s="2778"/>
      <c r="I19" s="1756"/>
      <c r="J19" s="1358" t="s">
        <v>93</v>
      </c>
      <c r="K19" s="1999"/>
      <c r="L19" s="2163">
        <v>681245</v>
      </c>
      <c r="M19" s="1652"/>
      <c r="N19" s="1384"/>
      <c r="O19" s="1384"/>
      <c r="P19" s="1385"/>
      <c r="Q19" s="1749"/>
      <c r="R19" s="1795"/>
      <c r="S19" s="3733"/>
      <c r="T19" s="1530"/>
      <c r="U19" s="1530"/>
      <c r="V19" s="1994"/>
    </row>
    <row r="20" spans="1:27" s="1581" customFormat="1" ht="15" customHeight="1" x14ac:dyDescent="0.2">
      <c r="A20" s="26"/>
      <c r="B20" s="27"/>
      <c r="C20" s="154"/>
      <c r="D20" s="1926"/>
      <c r="E20" s="1636"/>
      <c r="F20" s="1748"/>
      <c r="G20" s="1900"/>
      <c r="H20" s="2778"/>
      <c r="I20" s="1756"/>
      <c r="J20" s="1358" t="s">
        <v>359</v>
      </c>
      <c r="K20" s="1840">
        <v>393168</v>
      </c>
      <c r="L20" s="2124"/>
      <c r="M20" s="1652"/>
      <c r="N20" s="1851"/>
      <c r="O20" s="1851"/>
      <c r="P20" s="1750"/>
      <c r="Q20" s="1749"/>
      <c r="R20" s="1795"/>
      <c r="S20" s="3733"/>
      <c r="T20" s="1759"/>
      <c r="U20" s="1759"/>
      <c r="V20" s="1760"/>
    </row>
    <row r="21" spans="1:27" s="1581" customFormat="1" ht="14.25" customHeight="1" thickBot="1" x14ac:dyDescent="0.25">
      <c r="A21" s="26"/>
      <c r="B21" s="27"/>
      <c r="C21" s="2769"/>
      <c r="D21" s="2804"/>
      <c r="E21" s="1761"/>
      <c r="F21" s="1585"/>
      <c r="G21" s="2760"/>
      <c r="H21" s="2778"/>
      <c r="I21" s="1756"/>
      <c r="J21" s="1282" t="s">
        <v>23</v>
      </c>
      <c r="K21" s="1424">
        <f>SUM(K15:K20)</f>
        <v>19124990</v>
      </c>
      <c r="L21" s="2124"/>
      <c r="M21" s="1418">
        <f>SUM(M15:M20)</f>
        <v>19691200</v>
      </c>
      <c r="N21" s="1280">
        <f t="shared" ref="N21:Q21" si="2">SUM(N15:N20)</f>
        <v>19647380</v>
      </c>
      <c r="O21" s="1280">
        <f t="shared" si="2"/>
        <v>12165430</v>
      </c>
      <c r="P21" s="1281">
        <f t="shared" si="2"/>
        <v>43820</v>
      </c>
      <c r="Q21" s="1282">
        <f t="shared" si="2"/>
        <v>19691200</v>
      </c>
      <c r="R21" s="1281">
        <f>SUM(R15:R20)</f>
        <v>19691200</v>
      </c>
      <c r="S21" s="1762" t="s">
        <v>248</v>
      </c>
      <c r="T21" s="1812">
        <v>420</v>
      </c>
      <c r="U21" s="1812">
        <v>460</v>
      </c>
      <c r="V21" s="1655">
        <v>500</v>
      </c>
      <c r="X21" s="1763"/>
      <c r="Y21" s="1763"/>
      <c r="Z21" s="1763"/>
      <c r="AA21" s="1763"/>
    </row>
    <row r="22" spans="1:27" x14ac:dyDescent="0.2">
      <c r="A22" s="3073"/>
      <c r="B22" s="27"/>
      <c r="C22" s="2952"/>
      <c r="D22" s="3726" t="s">
        <v>24</v>
      </c>
      <c r="E22" s="3604" t="s">
        <v>440</v>
      </c>
      <c r="F22" s="3609"/>
      <c r="G22" s="2963"/>
      <c r="H22" s="3612"/>
      <c r="I22" s="1756"/>
      <c r="J22" s="1326" t="s">
        <v>22</v>
      </c>
      <c r="K22" s="1766">
        <v>1487459</v>
      </c>
      <c r="L22" s="2124"/>
      <c r="M22" s="2240">
        <f>+N22+P22</f>
        <v>1449900</v>
      </c>
      <c r="N22" s="2239">
        <f>1436300+13600</f>
        <v>1449900</v>
      </c>
      <c r="O22" s="2239">
        <f>1001500+10400</f>
        <v>1011900</v>
      </c>
      <c r="P22" s="1654"/>
      <c r="Q22" s="1839">
        <f>M22</f>
        <v>1449900</v>
      </c>
      <c r="R22" s="1837">
        <f>M22</f>
        <v>1449900</v>
      </c>
      <c r="S22" s="3753" t="s">
        <v>296</v>
      </c>
      <c r="T22" s="3749">
        <v>7</v>
      </c>
      <c r="U22" s="3749">
        <v>6</v>
      </c>
      <c r="V22" s="3756">
        <v>5</v>
      </c>
    </row>
    <row r="23" spans="1:27" x14ac:dyDescent="0.2">
      <c r="A23" s="3073"/>
      <c r="B23" s="27"/>
      <c r="C23" s="2952"/>
      <c r="D23" s="3726"/>
      <c r="E23" s="3604"/>
      <c r="F23" s="3610"/>
      <c r="G23" s="2971"/>
      <c r="H23" s="3613"/>
      <c r="I23" s="1756"/>
      <c r="J23" s="1326" t="s">
        <v>25</v>
      </c>
      <c r="K23" s="1767">
        <v>1765497</v>
      </c>
      <c r="L23" s="2124"/>
      <c r="M23" s="1652">
        <f>+N23+P23</f>
        <v>1640200</v>
      </c>
      <c r="N23" s="1384">
        <v>1639550</v>
      </c>
      <c r="O23" s="1384">
        <v>1202660</v>
      </c>
      <c r="P23" s="1647">
        <v>650</v>
      </c>
      <c r="Q23" s="1893">
        <f t="shared" ref="Q23:Q24" si="3">M23</f>
        <v>1640200</v>
      </c>
      <c r="R23" s="1969">
        <f t="shared" ref="R23:R24" si="4">M23</f>
        <v>1640200</v>
      </c>
      <c r="S23" s="3438"/>
      <c r="T23" s="3750"/>
      <c r="U23" s="3750"/>
      <c r="V23" s="3757"/>
    </row>
    <row r="24" spans="1:27" x14ac:dyDescent="0.2">
      <c r="A24" s="3073"/>
      <c r="B24" s="27"/>
      <c r="C24" s="2953"/>
      <c r="D24" s="3726"/>
      <c r="E24" s="3604"/>
      <c r="F24" s="3610"/>
      <c r="G24" s="2971"/>
      <c r="H24" s="3613"/>
      <c r="I24" s="1756"/>
      <c r="J24" s="1367" t="s">
        <v>93</v>
      </c>
      <c r="K24" s="1767">
        <v>567162</v>
      </c>
      <c r="L24" s="2124"/>
      <c r="M24" s="1384">
        <f t="shared" ref="M24" si="5">+N24+P24</f>
        <v>576200</v>
      </c>
      <c r="N24" s="1384">
        <v>576200</v>
      </c>
      <c r="O24" s="1384">
        <v>115900</v>
      </c>
      <c r="P24" s="1750"/>
      <c r="Q24" s="1894">
        <f t="shared" si="3"/>
        <v>576200</v>
      </c>
      <c r="R24" s="1840">
        <f t="shared" si="4"/>
        <v>576200</v>
      </c>
      <c r="S24" s="3754"/>
      <c r="T24" s="3751"/>
      <c r="U24" s="3751"/>
      <c r="V24" s="3758"/>
    </row>
    <row r="25" spans="1:27" ht="12.75" customHeight="1" x14ac:dyDescent="0.2">
      <c r="A25" s="3073"/>
      <c r="B25" s="27"/>
      <c r="C25" s="2953"/>
      <c r="D25" s="3728"/>
      <c r="E25" s="3428"/>
      <c r="F25" s="3611"/>
      <c r="G25" s="3001"/>
      <c r="H25" s="3614"/>
      <c r="I25" s="1756"/>
      <c r="J25" s="1367" t="s">
        <v>359</v>
      </c>
      <c r="K25" s="1767">
        <v>91890</v>
      </c>
      <c r="L25" s="2124"/>
      <c r="M25" s="1753"/>
      <c r="N25" s="1236"/>
      <c r="O25" s="1236"/>
      <c r="P25" s="2147"/>
      <c r="Q25" s="1841"/>
      <c r="R25" s="1749"/>
      <c r="S25" s="2794" t="s">
        <v>297</v>
      </c>
      <c r="T25" s="1815">
        <v>1090</v>
      </c>
      <c r="U25" s="1815">
        <v>890</v>
      </c>
      <c r="V25" s="1764">
        <v>720</v>
      </c>
    </row>
    <row r="26" spans="1:27" ht="13.5" thickBot="1" x14ac:dyDescent="0.25">
      <c r="A26" s="2765"/>
      <c r="B26" s="27"/>
      <c r="C26" s="2766"/>
      <c r="D26" s="2799"/>
      <c r="E26" s="2774"/>
      <c r="F26" s="1585"/>
      <c r="G26" s="2760"/>
      <c r="H26" s="2778"/>
      <c r="I26" s="1756"/>
      <c r="J26" s="1282" t="s">
        <v>23</v>
      </c>
      <c r="K26" s="1311">
        <f>SUM(K22:K25)</f>
        <v>3912008</v>
      </c>
      <c r="L26" s="2124"/>
      <c r="M26" s="1418">
        <f>SUM(M22:M25)</f>
        <v>3666300</v>
      </c>
      <c r="N26" s="1311">
        <f t="shared" ref="N26:P26" si="6">SUM(N22:N25)</f>
        <v>3665650</v>
      </c>
      <c r="O26" s="1279">
        <f t="shared" si="6"/>
        <v>2330460</v>
      </c>
      <c r="P26" s="1281">
        <f t="shared" si="6"/>
        <v>650</v>
      </c>
      <c r="Q26" s="1311">
        <f>SUM(Q22:Q25)</f>
        <v>3666300</v>
      </c>
      <c r="R26" s="1282">
        <f>SUM(R22:R25)</f>
        <v>3666300</v>
      </c>
      <c r="S26" s="1765" t="s">
        <v>249</v>
      </c>
      <c r="T26" s="1659">
        <v>990</v>
      </c>
      <c r="U26" s="1659">
        <v>970</v>
      </c>
      <c r="V26" s="1660">
        <v>940</v>
      </c>
    </row>
    <row r="27" spans="1:27" ht="27" customHeight="1" x14ac:dyDescent="0.2">
      <c r="A27" s="3017"/>
      <c r="B27" s="2767"/>
      <c r="C27" s="3018"/>
      <c r="D27" s="3726" t="s">
        <v>26</v>
      </c>
      <c r="E27" s="3604" t="s">
        <v>394</v>
      </c>
      <c r="F27" s="3609"/>
      <c r="G27" s="3023"/>
      <c r="H27" s="3669"/>
      <c r="I27" s="1756"/>
      <c r="J27" s="1323" t="s">
        <v>22</v>
      </c>
      <c r="K27" s="1766">
        <v>4602410</v>
      </c>
      <c r="L27" s="2124"/>
      <c r="M27" s="2239">
        <f>+N27+P27</f>
        <v>4965900</v>
      </c>
      <c r="N27" s="2239">
        <f>4963800+2100</f>
        <v>4965900</v>
      </c>
      <c r="O27" s="2239">
        <f>3237000+1600</f>
        <v>3238600</v>
      </c>
      <c r="P27" s="1276"/>
      <c r="Q27" s="1839">
        <f>M27</f>
        <v>4965900</v>
      </c>
      <c r="R27" s="1291">
        <f>M27</f>
        <v>4965900</v>
      </c>
      <c r="S27" s="1690" t="s">
        <v>355</v>
      </c>
      <c r="T27" s="1691">
        <v>32</v>
      </c>
      <c r="U27" s="1691">
        <v>32</v>
      </c>
      <c r="V27" s="1692">
        <v>32</v>
      </c>
    </row>
    <row r="28" spans="1:27" ht="14.25" customHeight="1" x14ac:dyDescent="0.2">
      <c r="A28" s="3017"/>
      <c r="B28" s="2767"/>
      <c r="C28" s="3018"/>
      <c r="D28" s="3726"/>
      <c r="E28" s="3604"/>
      <c r="F28" s="3610"/>
      <c r="G28" s="3028"/>
      <c r="H28" s="3755"/>
      <c r="I28" s="1756"/>
      <c r="J28" s="1749" t="s">
        <v>25</v>
      </c>
      <c r="K28" s="1767">
        <v>21767820</v>
      </c>
      <c r="L28" s="2124"/>
      <c r="M28" s="1652">
        <f>+N28+P28</f>
        <v>21781200</v>
      </c>
      <c r="N28" s="1384">
        <v>21774150</v>
      </c>
      <c r="O28" s="1384">
        <v>16294510</v>
      </c>
      <c r="P28" s="1385">
        <v>7050</v>
      </c>
      <c r="Q28" s="1893">
        <f t="shared" ref="Q28:Q30" si="7">M28</f>
        <v>21781200</v>
      </c>
      <c r="R28" s="1969">
        <f t="shared" ref="R28:R30" si="8">M28</f>
        <v>21781200</v>
      </c>
      <c r="S28" s="1681" t="s">
        <v>361</v>
      </c>
      <c r="T28" s="1768">
        <v>16470</v>
      </c>
      <c r="U28" s="1768">
        <v>16480</v>
      </c>
      <c r="V28" s="1769">
        <v>16480</v>
      </c>
    </row>
    <row r="29" spans="1:27" ht="14.25" customHeight="1" x14ac:dyDescent="0.2">
      <c r="A29" s="3017"/>
      <c r="B29" s="2767"/>
      <c r="C29" s="3018"/>
      <c r="D29" s="3726"/>
      <c r="E29" s="3604"/>
      <c r="F29" s="3610"/>
      <c r="G29" s="3028"/>
      <c r="H29" s="3755"/>
      <c r="I29" s="1756"/>
      <c r="J29" s="1749" t="s">
        <v>25</v>
      </c>
      <c r="K29" s="1767">
        <v>632375</v>
      </c>
      <c r="L29" s="2124"/>
      <c r="M29" s="1652">
        <f t="shared" ref="M29:M30" si="9">+N29+P29</f>
        <v>744700</v>
      </c>
      <c r="N29" s="1384">
        <v>744700</v>
      </c>
      <c r="O29" s="1384">
        <v>450270</v>
      </c>
      <c r="P29" s="1385"/>
      <c r="Q29" s="1308">
        <f t="shared" si="7"/>
        <v>744700</v>
      </c>
      <c r="R29" s="1260">
        <f t="shared" si="8"/>
        <v>744700</v>
      </c>
      <c r="S29" s="1770" t="s">
        <v>362</v>
      </c>
      <c r="T29" s="1658">
        <v>4</v>
      </c>
      <c r="U29" s="1658">
        <v>4</v>
      </c>
      <c r="V29" s="1732">
        <v>4</v>
      </c>
    </row>
    <row r="30" spans="1:27" ht="14.25" customHeight="1" x14ac:dyDescent="0.2">
      <c r="A30" s="3017"/>
      <c r="B30" s="2767"/>
      <c r="C30" s="3018"/>
      <c r="D30" s="3726"/>
      <c r="E30" s="3604"/>
      <c r="F30" s="3610"/>
      <c r="G30" s="3028"/>
      <c r="H30" s="3755"/>
      <c r="I30" s="1756"/>
      <c r="J30" s="1330" t="s">
        <v>93</v>
      </c>
      <c r="K30" s="1767">
        <v>944508</v>
      </c>
      <c r="L30" s="2124"/>
      <c r="M30" s="1384">
        <f t="shared" si="9"/>
        <v>1214200</v>
      </c>
      <c r="N30" s="1384">
        <v>1214200</v>
      </c>
      <c r="O30" s="1384">
        <v>322900</v>
      </c>
      <c r="P30" s="1385"/>
      <c r="Q30" s="1893">
        <f t="shared" si="7"/>
        <v>1214200</v>
      </c>
      <c r="R30" s="1969">
        <f t="shared" si="8"/>
        <v>1214200</v>
      </c>
      <c r="S30" s="1770" t="s">
        <v>361</v>
      </c>
      <c r="T30" s="1615">
        <v>620</v>
      </c>
      <c r="U30" s="1615">
        <v>630</v>
      </c>
      <c r="V30" s="1616">
        <v>650</v>
      </c>
    </row>
    <row r="31" spans="1:27" ht="14.25" customHeight="1" x14ac:dyDescent="0.2">
      <c r="A31" s="2765"/>
      <c r="B31" s="2767"/>
      <c r="C31" s="2768"/>
      <c r="D31" s="3728"/>
      <c r="E31" s="3428"/>
      <c r="F31" s="3611"/>
      <c r="G31" s="3249"/>
      <c r="H31" s="3670"/>
      <c r="I31" s="1756"/>
      <c r="J31" s="1358" t="s">
        <v>359</v>
      </c>
      <c r="K31" s="1767">
        <v>105709</v>
      </c>
      <c r="L31" s="2124"/>
      <c r="M31" s="1652"/>
      <c r="N31" s="1851"/>
      <c r="O31" s="1851"/>
      <c r="P31" s="1750"/>
      <c r="Q31" s="1894"/>
      <c r="R31" s="1260"/>
      <c r="S31" s="1771"/>
      <c r="T31" s="1523"/>
      <c r="U31" s="1512"/>
      <c r="V31" s="1872"/>
    </row>
    <row r="32" spans="1:27" ht="14.25" customHeight="1" thickBot="1" x14ac:dyDescent="0.25">
      <c r="A32" s="2765"/>
      <c r="B32" s="2767"/>
      <c r="C32" s="2768"/>
      <c r="D32" s="2799"/>
      <c r="E32" s="2775"/>
      <c r="F32" s="1585"/>
      <c r="G32" s="2777"/>
      <c r="H32" s="1928"/>
      <c r="I32" s="1756"/>
      <c r="J32" s="1282" t="s">
        <v>23</v>
      </c>
      <c r="K32" s="1550">
        <f>SUM(K27:K31)</f>
        <v>28052822</v>
      </c>
      <c r="L32" s="2124"/>
      <c r="M32" s="1528">
        <f>SUM(M27:M31)</f>
        <v>28706000</v>
      </c>
      <c r="N32" s="1772">
        <f>SUM(N27:N31)</f>
        <v>28698950</v>
      </c>
      <c r="O32" s="1772">
        <f>SUM(O27:O31)</f>
        <v>20306280</v>
      </c>
      <c r="P32" s="1398">
        <f t="shared" ref="P32" si="10">SUM(P27:P31)</f>
        <v>7050</v>
      </c>
      <c r="Q32" s="1311">
        <f>SUM(Q27:Q31)</f>
        <v>28706000</v>
      </c>
      <c r="R32" s="1282">
        <f>SUM(R27:R31)</f>
        <v>28706000</v>
      </c>
      <c r="S32" s="1688"/>
      <c r="T32" s="1773"/>
      <c r="U32" s="1773"/>
      <c r="V32" s="1774"/>
    </row>
    <row r="33" spans="1:26" ht="25.5" x14ac:dyDescent="0.2">
      <c r="A33" s="3019"/>
      <c r="B33" s="3020"/>
      <c r="C33" s="2953"/>
      <c r="D33" s="3726" t="s">
        <v>28</v>
      </c>
      <c r="E33" s="3604" t="s">
        <v>441</v>
      </c>
      <c r="F33" s="3605"/>
      <c r="G33" s="3023"/>
      <c r="H33" s="3612"/>
      <c r="I33" s="1756"/>
      <c r="J33" s="1326" t="s">
        <v>22</v>
      </c>
      <c r="K33" s="1766">
        <v>4432229</v>
      </c>
      <c r="L33" s="2124"/>
      <c r="M33" s="2239">
        <f>+N33+P33</f>
        <v>4589500</v>
      </c>
      <c r="N33" s="2239">
        <v>4589500</v>
      </c>
      <c r="O33" s="2239">
        <v>3409200</v>
      </c>
      <c r="P33" s="1276"/>
      <c r="Q33" s="2745">
        <f>M33</f>
        <v>4589500</v>
      </c>
      <c r="R33" s="1779">
        <f>M33</f>
        <v>4589500</v>
      </c>
      <c r="S33" s="1690" t="s">
        <v>469</v>
      </c>
      <c r="T33" s="1691">
        <v>6</v>
      </c>
      <c r="U33" s="1691">
        <v>6</v>
      </c>
      <c r="V33" s="1692">
        <v>6</v>
      </c>
    </row>
    <row r="34" spans="1:26" x14ac:dyDescent="0.2">
      <c r="A34" s="3017"/>
      <c r="B34" s="3021"/>
      <c r="C34" s="2953"/>
      <c r="D34" s="3727"/>
      <c r="E34" s="3439"/>
      <c r="F34" s="3605"/>
      <c r="G34" s="3023"/>
      <c r="H34" s="3612"/>
      <c r="I34" s="1756"/>
      <c r="J34" s="1358" t="s">
        <v>25</v>
      </c>
      <c r="K34" s="1767">
        <v>67820</v>
      </c>
      <c r="L34" s="2124"/>
      <c r="M34" s="1890">
        <f>+N34+P34</f>
        <v>142400</v>
      </c>
      <c r="N34" s="1384">
        <v>142400</v>
      </c>
      <c r="O34" s="1384">
        <v>51750</v>
      </c>
      <c r="P34" s="1385"/>
      <c r="Q34" s="1331">
        <f>M34</f>
        <v>142400</v>
      </c>
      <c r="R34" s="1267">
        <f>M34</f>
        <v>142400</v>
      </c>
      <c r="S34" s="1681" t="s">
        <v>248</v>
      </c>
      <c r="T34" s="1658">
        <v>6300</v>
      </c>
      <c r="U34" s="1658">
        <v>5350</v>
      </c>
      <c r="V34" s="1732">
        <v>5400</v>
      </c>
    </row>
    <row r="35" spans="1:26" ht="17.25" customHeight="1" x14ac:dyDescent="0.2">
      <c r="A35" s="3017"/>
      <c r="B35" s="3021"/>
      <c r="C35" s="2953"/>
      <c r="D35" s="3727"/>
      <c r="E35" s="3439"/>
      <c r="F35" s="3605"/>
      <c r="G35" s="3023"/>
      <c r="H35" s="3612"/>
      <c r="I35" s="1756"/>
      <c r="J35" s="1330" t="s">
        <v>93</v>
      </c>
      <c r="K35" s="1775">
        <v>299322</v>
      </c>
      <c r="L35" s="2124"/>
      <c r="M35" s="1384">
        <f>+N35+P35</f>
        <v>318000</v>
      </c>
      <c r="N35" s="1384">
        <v>259560</v>
      </c>
      <c r="O35" s="1384">
        <v>3600</v>
      </c>
      <c r="P35" s="1385">
        <v>58440</v>
      </c>
      <c r="Q35" s="1359">
        <f>M35</f>
        <v>318000</v>
      </c>
      <c r="R35" s="1359">
        <f>M35</f>
        <v>318000</v>
      </c>
      <c r="S35" s="3563" t="s">
        <v>267</v>
      </c>
      <c r="T35" s="1607">
        <v>90</v>
      </c>
      <c r="U35" s="1607">
        <v>90</v>
      </c>
      <c r="V35" s="1532">
        <v>90</v>
      </c>
      <c r="X35" s="3583"/>
      <c r="Y35" s="3583"/>
      <c r="Z35" s="3583"/>
    </row>
    <row r="36" spans="1:26" x14ac:dyDescent="0.2">
      <c r="A36" s="3735"/>
      <c r="B36" s="3736"/>
      <c r="C36" s="2953"/>
      <c r="D36" s="3728"/>
      <c r="E36" s="3428"/>
      <c r="F36" s="3729"/>
      <c r="G36" s="3249"/>
      <c r="H36" s="3614"/>
      <c r="I36" s="1756"/>
      <c r="J36" s="1358" t="s">
        <v>359</v>
      </c>
      <c r="K36" s="1767">
        <v>70876</v>
      </c>
      <c r="L36" s="2124"/>
      <c r="M36" s="1652"/>
      <c r="N36" s="1384"/>
      <c r="O36" s="1384"/>
      <c r="P36" s="1385"/>
      <c r="Q36" s="1795"/>
      <c r="R36" s="1749"/>
      <c r="S36" s="3512"/>
      <c r="T36" s="1776"/>
      <c r="U36" s="1776"/>
      <c r="V36" s="1777"/>
      <c r="X36" s="3583"/>
      <c r="Y36" s="3583"/>
      <c r="Z36" s="3583"/>
    </row>
    <row r="37" spans="1:26" ht="13.5" thickBot="1" x14ac:dyDescent="0.25">
      <c r="A37" s="2765"/>
      <c r="B37" s="2767"/>
      <c r="C37" s="2768"/>
      <c r="D37" s="2799"/>
      <c r="E37" s="1778"/>
      <c r="F37" s="2776"/>
      <c r="G37" s="2777"/>
      <c r="H37" s="2778"/>
      <c r="I37" s="1756"/>
      <c r="J37" s="1282" t="s">
        <v>23</v>
      </c>
      <c r="K37" s="1311">
        <f>SUM(K33:K36)</f>
        <v>4870247</v>
      </c>
      <c r="L37" s="2124"/>
      <c r="M37" s="1418">
        <f>SUM(M33:M36)</f>
        <v>5049900</v>
      </c>
      <c r="N37" s="1280">
        <f>SUM(N33:N36)</f>
        <v>4991460</v>
      </c>
      <c r="O37" s="1280">
        <f>SUM(O33:O36)</f>
        <v>3464550</v>
      </c>
      <c r="P37" s="1281">
        <f t="shared" ref="P37" si="11">SUM(P33:P36)</f>
        <v>58440</v>
      </c>
      <c r="Q37" s="1281">
        <f>SUM(Q33:Q36)</f>
        <v>5049900</v>
      </c>
      <c r="R37" s="1281">
        <f>SUM(R33:R36)</f>
        <v>5049900</v>
      </c>
      <c r="S37" s="1688"/>
      <c r="T37" s="1773"/>
      <c r="U37" s="1773"/>
      <c r="V37" s="1774"/>
      <c r="X37" s="3584"/>
      <c r="Y37" s="3584"/>
      <c r="Z37" s="3584"/>
    </row>
    <row r="38" spans="1:26" s="1581" customFormat="1" x14ac:dyDescent="0.2">
      <c r="A38" s="3017"/>
      <c r="B38" s="3021"/>
      <c r="C38" s="2953"/>
      <c r="D38" s="3726" t="s">
        <v>29</v>
      </c>
      <c r="E38" s="3591" t="s">
        <v>143</v>
      </c>
      <c r="F38" s="3600"/>
      <c r="G38" s="2963"/>
      <c r="H38" s="3612"/>
      <c r="I38" s="1756"/>
      <c r="J38" s="1779" t="s">
        <v>22</v>
      </c>
      <c r="K38" s="1766">
        <v>217041</v>
      </c>
      <c r="L38" s="2124"/>
      <c r="M38" s="2240">
        <f>+N38+P38</f>
        <v>216300</v>
      </c>
      <c r="N38" s="2239">
        <v>216300</v>
      </c>
      <c r="O38" s="2239">
        <v>159300</v>
      </c>
      <c r="P38" s="1654"/>
      <c r="Q38" s="1786">
        <f>M38</f>
        <v>216300</v>
      </c>
      <c r="R38" s="1747">
        <f>M38</f>
        <v>216300</v>
      </c>
      <c r="S38" s="3570" t="s">
        <v>365</v>
      </c>
      <c r="T38" s="3697">
        <v>5450</v>
      </c>
      <c r="U38" s="3697">
        <v>5450</v>
      </c>
      <c r="V38" s="3671">
        <v>5450</v>
      </c>
      <c r="W38" s="1780"/>
      <c r="X38" s="3584"/>
      <c r="Y38" s="3584"/>
      <c r="Z38" s="3584"/>
    </row>
    <row r="39" spans="1:26" s="1581" customFormat="1" x14ac:dyDescent="0.2">
      <c r="A39" s="3017"/>
      <c r="B39" s="3021"/>
      <c r="C39" s="2953"/>
      <c r="D39" s="3726"/>
      <c r="E39" s="3591"/>
      <c r="F39" s="3667"/>
      <c r="G39" s="2971"/>
      <c r="H39" s="3613"/>
      <c r="I39" s="1756"/>
      <c r="J39" s="1358" t="s">
        <v>25</v>
      </c>
      <c r="K39" s="1767">
        <v>205946</v>
      </c>
      <c r="L39" s="2124"/>
      <c r="M39" s="1652">
        <f>+N39+P39</f>
        <v>206600</v>
      </c>
      <c r="N39" s="1642">
        <v>206600</v>
      </c>
      <c r="O39" s="1642">
        <v>157740</v>
      </c>
      <c r="P39" s="1647"/>
      <c r="Q39" s="1789">
        <f>M39</f>
        <v>206600</v>
      </c>
      <c r="R39" s="1383">
        <f>M39</f>
        <v>206600</v>
      </c>
      <c r="S39" s="3580"/>
      <c r="T39" s="3581"/>
      <c r="U39" s="3581"/>
      <c r="V39" s="3582"/>
    </row>
    <row r="40" spans="1:26" s="1581" customFormat="1" x14ac:dyDescent="0.2">
      <c r="A40" s="3017"/>
      <c r="B40" s="3021"/>
      <c r="C40" s="2953"/>
      <c r="D40" s="3728"/>
      <c r="E40" s="3593"/>
      <c r="F40" s="3430"/>
      <c r="G40" s="3001"/>
      <c r="H40" s="3614"/>
      <c r="I40" s="1756"/>
      <c r="J40" s="1231" t="s">
        <v>93</v>
      </c>
      <c r="K40" s="1767">
        <v>1158</v>
      </c>
      <c r="L40" s="2124"/>
      <c r="M40" s="1384">
        <f t="shared" ref="M40" si="12">+N40+P40</f>
        <v>3000</v>
      </c>
      <c r="N40" s="1384">
        <v>3000</v>
      </c>
      <c r="O40" s="1642">
        <v>0</v>
      </c>
      <c r="P40" s="1647"/>
      <c r="Q40" s="1789">
        <f>M40</f>
        <v>3000</v>
      </c>
      <c r="R40" s="1383">
        <f>M40</f>
        <v>3000</v>
      </c>
      <c r="S40" s="3580"/>
      <c r="T40" s="3581"/>
      <c r="U40" s="3581"/>
      <c r="V40" s="3582"/>
    </row>
    <row r="41" spans="1:26" s="1581" customFormat="1" x14ac:dyDescent="0.2">
      <c r="A41" s="2871"/>
      <c r="B41" s="2875"/>
      <c r="C41" s="2872"/>
      <c r="D41" s="2883"/>
      <c r="E41" s="1781"/>
      <c r="F41" s="1605"/>
      <c r="G41" s="2870"/>
      <c r="H41" s="1586"/>
      <c r="I41" s="1756"/>
      <c r="J41" s="1231" t="s">
        <v>359</v>
      </c>
      <c r="K41" s="1952">
        <v>33</v>
      </c>
      <c r="L41" s="2124"/>
      <c r="M41" s="1652"/>
      <c r="N41" s="1642"/>
      <c r="O41" s="1642"/>
      <c r="P41" s="1647"/>
      <c r="Q41" s="1783"/>
      <c r="R41" s="1783"/>
      <c r="S41" s="1784"/>
      <c r="T41" s="2879"/>
      <c r="U41" s="1529"/>
      <c r="V41" s="2880"/>
    </row>
    <row r="42" spans="1:26" s="1581" customFormat="1" x14ac:dyDescent="0.2">
      <c r="A42" s="2873"/>
      <c r="B42" s="2874"/>
      <c r="C42" s="2859"/>
      <c r="D42" s="2882"/>
      <c r="E42" s="2881"/>
      <c r="F42" s="2877"/>
      <c r="G42" s="2876"/>
      <c r="H42" s="2878"/>
      <c r="I42" s="2128"/>
      <c r="J42" s="1355" t="s">
        <v>23</v>
      </c>
      <c r="K42" s="1550">
        <f>SUM(K38:K41)</f>
        <v>424178</v>
      </c>
      <c r="L42" s="2125"/>
      <c r="M42" s="1396">
        <f>SUM(M38:M40)</f>
        <v>425900</v>
      </c>
      <c r="N42" s="2129">
        <f>SUM(N38:N40)</f>
        <v>425900</v>
      </c>
      <c r="O42" s="2129">
        <f>SUM(O38:O40)</f>
        <v>317040</v>
      </c>
      <c r="P42" s="1354"/>
      <c r="Q42" s="1354">
        <f>SUM(Q38:Q40)</f>
        <v>425900</v>
      </c>
      <c r="R42" s="1354">
        <f>SUM(R38:R40)</f>
        <v>425900</v>
      </c>
      <c r="S42" s="2886"/>
      <c r="T42" s="2583"/>
      <c r="U42" s="2601"/>
      <c r="V42" s="1996"/>
    </row>
    <row r="43" spans="1:26" s="1581" customFormat="1" x14ac:dyDescent="0.2">
      <c r="A43" s="184"/>
      <c r="B43" s="27"/>
      <c r="C43" s="185"/>
      <c r="D43" s="3727" t="s">
        <v>30</v>
      </c>
      <c r="E43" s="3592" t="s">
        <v>442</v>
      </c>
      <c r="F43" s="3594"/>
      <c r="G43" s="2963"/>
      <c r="H43" s="3669"/>
      <c r="I43" s="1756"/>
      <c r="J43" s="1326" t="s">
        <v>22</v>
      </c>
      <c r="K43" s="2587">
        <v>337958</v>
      </c>
      <c r="L43" s="2124"/>
      <c r="M43" s="1890">
        <f>+N43+P43</f>
        <v>347900</v>
      </c>
      <c r="N43" s="1890">
        <f>345500+2400</f>
        <v>347900</v>
      </c>
      <c r="O43" s="1890">
        <f>252500+1800</f>
        <v>254300</v>
      </c>
      <c r="P43" s="1787"/>
      <c r="Q43" s="1742">
        <f>M43</f>
        <v>347900</v>
      </c>
      <c r="R43" s="1787">
        <f>M43</f>
        <v>347900</v>
      </c>
      <c r="S43" s="1661" t="s">
        <v>366</v>
      </c>
      <c r="T43" s="2847">
        <f>SUM(T44:T46)</f>
        <v>160</v>
      </c>
      <c r="U43" s="2847">
        <f t="shared" ref="U43:V43" si="13">SUM(U44:U46)</f>
        <v>160</v>
      </c>
      <c r="V43" s="2720">
        <f t="shared" si="13"/>
        <v>160</v>
      </c>
    </row>
    <row r="44" spans="1:26" s="1581" customFormat="1" x14ac:dyDescent="0.2">
      <c r="A44" s="184"/>
      <c r="B44" s="27"/>
      <c r="C44" s="185"/>
      <c r="D44" s="3727"/>
      <c r="E44" s="3592"/>
      <c r="F44" s="3594"/>
      <c r="G44" s="2963"/>
      <c r="H44" s="3669"/>
      <c r="I44" s="1756"/>
      <c r="J44" s="1358" t="s">
        <v>25</v>
      </c>
      <c r="K44" s="1767">
        <v>101328</v>
      </c>
      <c r="L44" s="2124"/>
      <c r="M44" s="1652">
        <f>+N44+P44</f>
        <v>108400</v>
      </c>
      <c r="N44" s="1384">
        <v>108400</v>
      </c>
      <c r="O44" s="1384">
        <v>80280</v>
      </c>
      <c r="P44" s="1787"/>
      <c r="Q44" s="1742">
        <f>M44</f>
        <v>108400</v>
      </c>
      <c r="R44" s="1787">
        <f>M44</f>
        <v>108400</v>
      </c>
      <c r="S44" s="1788" t="s">
        <v>512</v>
      </c>
      <c r="T44" s="1645">
        <v>90</v>
      </c>
      <c r="U44" s="1645">
        <v>90</v>
      </c>
      <c r="V44" s="1648">
        <v>90</v>
      </c>
    </row>
    <row r="45" spans="1:26" s="1581" customFormat="1" x14ac:dyDescent="0.2">
      <c r="A45" s="184"/>
      <c r="B45" s="27"/>
      <c r="C45" s="185"/>
      <c r="D45" s="3727"/>
      <c r="E45" s="3592"/>
      <c r="F45" s="3594"/>
      <c r="G45" s="2963"/>
      <c r="H45" s="3669"/>
      <c r="I45" s="1756"/>
      <c r="J45" s="1231" t="s">
        <v>93</v>
      </c>
      <c r="K45" s="1767">
        <v>32814</v>
      </c>
      <c r="L45" s="2124"/>
      <c r="M45" s="1652">
        <f t="shared" ref="M45" si="14">+N45+P45</f>
        <v>37300</v>
      </c>
      <c r="N45" s="1384">
        <v>37300</v>
      </c>
      <c r="O45" s="1384">
        <v>6300</v>
      </c>
      <c r="P45" s="1789"/>
      <c r="Q45" s="1742">
        <f>M45</f>
        <v>37300</v>
      </c>
      <c r="R45" s="1787">
        <f>M45</f>
        <v>37300</v>
      </c>
      <c r="S45" s="1661" t="s">
        <v>482</v>
      </c>
      <c r="T45" s="1613">
        <v>30</v>
      </c>
      <c r="U45" s="1613">
        <v>30</v>
      </c>
      <c r="V45" s="1369">
        <v>30</v>
      </c>
    </row>
    <row r="46" spans="1:26" s="1581" customFormat="1" x14ac:dyDescent="0.2">
      <c r="A46" s="184"/>
      <c r="B46" s="27"/>
      <c r="C46" s="185"/>
      <c r="D46" s="3728"/>
      <c r="E46" s="3593"/>
      <c r="F46" s="3595"/>
      <c r="G46" s="3001"/>
      <c r="H46" s="3670"/>
      <c r="I46" s="1756"/>
      <c r="J46" s="1231" t="s">
        <v>359</v>
      </c>
      <c r="K46" s="1767">
        <v>4605</v>
      </c>
      <c r="L46" s="2124"/>
      <c r="M46" s="1526"/>
      <c r="N46" s="1414"/>
      <c r="O46" s="1414"/>
      <c r="P46" s="1783"/>
      <c r="Q46" s="1782"/>
      <c r="R46" s="1783"/>
      <c r="S46" s="1661" t="s">
        <v>513</v>
      </c>
      <c r="T46" s="1613">
        <v>40</v>
      </c>
      <c r="U46" s="1613">
        <v>40</v>
      </c>
      <c r="V46" s="1369">
        <v>40</v>
      </c>
    </row>
    <row r="47" spans="1:26" s="1581" customFormat="1" x14ac:dyDescent="0.2">
      <c r="A47" s="26"/>
      <c r="B47" s="27"/>
      <c r="C47" s="2884"/>
      <c r="D47" s="2799"/>
      <c r="E47" s="2783"/>
      <c r="F47" s="1645"/>
      <c r="G47" s="2828"/>
      <c r="H47" s="2885"/>
      <c r="I47" s="1756"/>
      <c r="J47" s="1355" t="s">
        <v>23</v>
      </c>
      <c r="K47" s="1395">
        <f>SUM(K43:K46)</f>
        <v>476705</v>
      </c>
      <c r="L47" s="2124"/>
      <c r="M47" s="1396">
        <f>SUM(M43:M46)</f>
        <v>493600</v>
      </c>
      <c r="N47" s="2129">
        <f t="shared" ref="N47:O47" si="15">SUM(N43:N46)</f>
        <v>493600</v>
      </c>
      <c r="O47" s="2129">
        <f t="shared" si="15"/>
        <v>340880</v>
      </c>
      <c r="P47" s="1354"/>
      <c r="Q47" s="1355">
        <f>SUM(Q43:Q46)</f>
        <v>493600</v>
      </c>
      <c r="R47" s="1354">
        <f>SUM(R43:R46)</f>
        <v>493600</v>
      </c>
      <c r="S47" s="2602"/>
      <c r="T47" s="1365"/>
      <c r="U47" s="1842"/>
      <c r="V47" s="2801"/>
    </row>
    <row r="48" spans="1:26" s="1581" customFormat="1" ht="29.25" customHeight="1" x14ac:dyDescent="0.2">
      <c r="A48" s="184"/>
      <c r="B48" s="27"/>
      <c r="C48" s="154"/>
      <c r="D48" s="3763" t="s">
        <v>55</v>
      </c>
      <c r="E48" s="3762" t="s">
        <v>191</v>
      </c>
      <c r="F48" s="3600"/>
      <c r="G48" s="2963"/>
      <c r="H48" s="3612"/>
      <c r="I48" s="1756"/>
      <c r="J48" s="1224" t="s">
        <v>22</v>
      </c>
      <c r="K48" s="1348">
        <v>117789</v>
      </c>
      <c r="L48" s="2124"/>
      <c r="M48" s="1753">
        <f>+N48+P48</f>
        <v>113000</v>
      </c>
      <c r="N48" s="1890">
        <v>113000</v>
      </c>
      <c r="O48" s="1890">
        <v>81400</v>
      </c>
      <c r="P48" s="2164"/>
      <c r="Q48" s="1742">
        <f>M48</f>
        <v>113000</v>
      </c>
      <c r="R48" s="1787">
        <f>M48</f>
        <v>113000</v>
      </c>
      <c r="S48" s="1793" t="s">
        <v>117</v>
      </c>
      <c r="T48" s="2126">
        <v>260</v>
      </c>
      <c r="U48" s="2126">
        <v>270</v>
      </c>
      <c r="V48" s="2127">
        <v>280</v>
      </c>
    </row>
    <row r="49" spans="1:24" s="1581" customFormat="1" ht="12.75" customHeight="1" x14ac:dyDescent="0.2">
      <c r="A49" s="184"/>
      <c r="B49" s="27"/>
      <c r="C49" s="154"/>
      <c r="D49" s="3764"/>
      <c r="E49" s="3762"/>
      <c r="F49" s="3430"/>
      <c r="G49" s="3001"/>
      <c r="H49" s="3614"/>
      <c r="I49" s="1756"/>
      <c r="J49" s="1790" t="s">
        <v>93</v>
      </c>
      <c r="K49" s="1339">
        <v>67163</v>
      </c>
      <c r="L49" s="2124"/>
      <c r="M49" s="1640">
        <f>+N49+P49</f>
        <v>32000</v>
      </c>
      <c r="N49" s="1851">
        <v>32000</v>
      </c>
      <c r="O49" s="1851"/>
      <c r="P49" s="2147"/>
      <c r="Q49" s="1260">
        <f>M49</f>
        <v>32000</v>
      </c>
      <c r="R49" s="1261">
        <f>M49</f>
        <v>32000</v>
      </c>
      <c r="S49" s="1791" t="s">
        <v>367</v>
      </c>
      <c r="T49" s="1850">
        <v>760</v>
      </c>
      <c r="U49" s="1850">
        <v>760</v>
      </c>
      <c r="V49" s="1792">
        <v>760</v>
      </c>
    </row>
    <row r="50" spans="1:24" s="1581" customFormat="1" x14ac:dyDescent="0.2">
      <c r="A50" s="184"/>
      <c r="B50" s="27"/>
      <c r="C50" s="154"/>
      <c r="D50" s="3764"/>
      <c r="E50" s="3762"/>
      <c r="F50" s="3430"/>
      <c r="G50" s="3001"/>
      <c r="H50" s="3614"/>
      <c r="I50" s="1756"/>
      <c r="J50" s="1790" t="s">
        <v>359</v>
      </c>
      <c r="K50" s="1339">
        <v>14964</v>
      </c>
      <c r="L50" s="2124"/>
      <c r="M50" s="1526"/>
      <c r="N50" s="1414"/>
      <c r="O50" s="1414"/>
      <c r="P50" s="1342"/>
      <c r="Q50" s="1749"/>
      <c r="R50" s="1795"/>
      <c r="S50" s="1793"/>
      <c r="T50" s="1530"/>
      <c r="U50" s="1530"/>
      <c r="V50" s="1255"/>
    </row>
    <row r="51" spans="1:24" s="1581" customFormat="1" x14ac:dyDescent="0.2">
      <c r="A51" s="184"/>
      <c r="B51" s="27"/>
      <c r="C51" s="154"/>
      <c r="D51" s="1927"/>
      <c r="E51" s="3762"/>
      <c r="F51" s="1605"/>
      <c r="G51" s="220"/>
      <c r="H51" s="1586"/>
      <c r="I51" s="1756"/>
      <c r="J51" s="1794" t="s">
        <v>231</v>
      </c>
      <c r="K51" s="1230">
        <v>8431</v>
      </c>
      <c r="L51" s="2125"/>
      <c r="M51" s="1526"/>
      <c r="N51" s="1527"/>
      <c r="O51" s="1414"/>
      <c r="P51" s="1376"/>
      <c r="Q51" s="1749"/>
      <c r="R51" s="1795"/>
      <c r="S51" s="1784"/>
      <c r="T51" s="1530"/>
      <c r="U51" s="1530"/>
      <c r="V51" s="1255"/>
    </row>
    <row r="52" spans="1:24" s="1581" customFormat="1" ht="13.5" thickBot="1" x14ac:dyDescent="0.25">
      <c r="A52" s="184"/>
      <c r="B52" s="27"/>
      <c r="C52" s="154"/>
      <c r="D52" s="1927"/>
      <c r="E52" s="3762"/>
      <c r="F52" s="1605"/>
      <c r="G52" s="1929"/>
      <c r="H52" s="1586"/>
      <c r="I52" s="2802"/>
      <c r="J52" s="1273" t="s">
        <v>23</v>
      </c>
      <c r="K52" s="1273">
        <f>SUM(K48:K51)</f>
        <v>208347</v>
      </c>
      <c r="L52" s="1312">
        <f>SUM(L15:L51)</f>
        <v>58494696</v>
      </c>
      <c r="M52" s="1418">
        <f>SUM(M48:M50)</f>
        <v>145000</v>
      </c>
      <c r="N52" s="1311">
        <f>SUM(N48:N50)</f>
        <v>145000</v>
      </c>
      <c r="O52" s="1279">
        <f>SUM(O48:O50)</f>
        <v>81400</v>
      </c>
      <c r="P52" s="1281"/>
      <c r="Q52" s="1282">
        <f>SUM(Q48:Q50)</f>
        <v>145000</v>
      </c>
      <c r="R52" s="1281">
        <f>SUM(R48:R50)</f>
        <v>145000</v>
      </c>
      <c r="S52" s="1617"/>
      <c r="T52" s="1940"/>
      <c r="U52" s="1940"/>
      <c r="V52" s="1941"/>
    </row>
    <row r="53" spans="1:24" ht="29.25" customHeight="1" x14ac:dyDescent="0.2">
      <c r="A53" s="3585"/>
      <c r="B53" s="3586"/>
      <c r="C53" s="3587"/>
      <c r="D53" s="3769" t="s">
        <v>232</v>
      </c>
      <c r="E53" s="3765" t="s">
        <v>379</v>
      </c>
      <c r="F53" s="3766" t="s">
        <v>123</v>
      </c>
      <c r="G53" s="3576"/>
      <c r="H53" s="3574"/>
      <c r="I53" s="3668"/>
      <c r="J53" s="1254" t="s">
        <v>25</v>
      </c>
      <c r="K53" s="1269">
        <v>38664</v>
      </c>
      <c r="L53" s="2147">
        <v>0</v>
      </c>
      <c r="M53" s="2130">
        <f>+N53+P53</f>
        <v>72600</v>
      </c>
      <c r="N53" s="2800">
        <v>72600</v>
      </c>
      <c r="O53" s="2800">
        <v>55400</v>
      </c>
      <c r="P53" s="1255"/>
      <c r="Q53" s="1254">
        <f>M53</f>
        <v>72600</v>
      </c>
      <c r="R53" s="1255">
        <f>Q53</f>
        <v>72600</v>
      </c>
      <c r="S53" s="1937" t="s">
        <v>470</v>
      </c>
      <c r="T53" s="1938">
        <v>2</v>
      </c>
      <c r="U53" s="1938">
        <v>3</v>
      </c>
      <c r="V53" s="1939">
        <v>3</v>
      </c>
    </row>
    <row r="54" spans="1:24" ht="30" customHeight="1" thickBot="1" x14ac:dyDescent="0.25">
      <c r="A54" s="3155"/>
      <c r="B54" s="3159"/>
      <c r="C54" s="3588"/>
      <c r="D54" s="3768"/>
      <c r="E54" s="3590"/>
      <c r="F54" s="3508"/>
      <c r="G54" s="3261"/>
      <c r="H54" s="3575"/>
      <c r="I54" s="3668"/>
      <c r="J54" s="1254"/>
      <c r="K54" s="1269"/>
      <c r="L54" s="2147"/>
      <c r="M54" s="2577"/>
      <c r="N54" s="1325"/>
      <c r="O54" s="1325"/>
      <c r="P54" s="1255"/>
      <c r="Q54" s="1254"/>
      <c r="R54" s="1325"/>
      <c r="S54" s="2789" t="s">
        <v>378</v>
      </c>
      <c r="T54" s="1796">
        <v>40</v>
      </c>
      <c r="U54" s="1796">
        <v>50</v>
      </c>
      <c r="V54" s="1797">
        <v>50</v>
      </c>
    </row>
    <row r="55" spans="1:24" ht="79.5" customHeight="1" thickBot="1" x14ac:dyDescent="0.25">
      <c r="A55" s="2755"/>
      <c r="B55" s="2753"/>
      <c r="C55" s="2781"/>
      <c r="D55" s="2798" t="s">
        <v>21</v>
      </c>
      <c r="E55" s="1920" t="s">
        <v>395</v>
      </c>
      <c r="F55" s="2792"/>
      <c r="G55" s="2754"/>
      <c r="H55" s="2785"/>
      <c r="I55" s="2807"/>
      <c r="J55" s="1942" t="s">
        <v>25</v>
      </c>
      <c r="K55" s="1943">
        <v>110846</v>
      </c>
      <c r="L55" s="1951">
        <v>0</v>
      </c>
      <c r="M55" s="1944">
        <f>+N55+P55</f>
        <v>111000</v>
      </c>
      <c r="N55" s="1945">
        <v>111000</v>
      </c>
      <c r="O55" s="1945">
        <v>84710</v>
      </c>
      <c r="P55" s="1946"/>
      <c r="Q55" s="1947">
        <f>M55</f>
        <v>111000</v>
      </c>
      <c r="R55" s="1948">
        <f>M55</f>
        <v>111000</v>
      </c>
      <c r="S55" s="1949" t="s">
        <v>484</v>
      </c>
      <c r="T55" s="1950">
        <v>84</v>
      </c>
      <c r="U55" s="1950">
        <v>84</v>
      </c>
      <c r="V55" s="1951">
        <v>84</v>
      </c>
    </row>
    <row r="56" spans="1:24" ht="30.75" customHeight="1" x14ac:dyDescent="0.2">
      <c r="A56" s="2755"/>
      <c r="B56" s="2753"/>
      <c r="C56" s="2781"/>
      <c r="D56" s="1934" t="s">
        <v>9</v>
      </c>
      <c r="E56" s="2180" t="s">
        <v>263</v>
      </c>
      <c r="F56" s="2782"/>
      <c r="G56" s="2754"/>
      <c r="H56" s="2785"/>
      <c r="I56" s="2807"/>
      <c r="J56" s="1254" t="s">
        <v>25</v>
      </c>
      <c r="K56" s="1269">
        <v>30523</v>
      </c>
      <c r="L56" s="2147">
        <v>0</v>
      </c>
      <c r="M56" s="2130">
        <f>+N56+P56</f>
        <v>30700</v>
      </c>
      <c r="N56" s="2779">
        <v>30700</v>
      </c>
      <c r="O56" s="2779">
        <v>23440</v>
      </c>
      <c r="P56" s="2147"/>
      <c r="Q56" s="1260">
        <v>30700</v>
      </c>
      <c r="R56" s="1308">
        <v>30700</v>
      </c>
      <c r="S56" s="2793" t="s">
        <v>299</v>
      </c>
      <c r="T56" s="1864">
        <v>17</v>
      </c>
      <c r="U56" s="1864">
        <v>17</v>
      </c>
      <c r="V56" s="1872">
        <v>17</v>
      </c>
    </row>
    <row r="57" spans="1:24" ht="41.25" customHeight="1" x14ac:dyDescent="0.2">
      <c r="A57" s="2755"/>
      <c r="B57" s="2753"/>
      <c r="C57" s="2756"/>
      <c r="D57" s="3767" t="s">
        <v>402</v>
      </c>
      <c r="E57" s="3579" t="s">
        <v>383</v>
      </c>
      <c r="F57" s="3572"/>
      <c r="G57" s="3573"/>
      <c r="H57" s="3577"/>
      <c r="I57" s="3668"/>
      <c r="J57" s="1618" t="s">
        <v>22</v>
      </c>
      <c r="K57" s="1709">
        <v>306997</v>
      </c>
      <c r="L57" s="2163">
        <v>543390</v>
      </c>
      <c r="M57" s="2578">
        <v>631500</v>
      </c>
      <c r="N57" s="1414">
        <v>631500</v>
      </c>
      <c r="O57" s="2579"/>
      <c r="P57" s="2163"/>
      <c r="Q57" s="1344">
        <v>481600</v>
      </c>
      <c r="R57" s="1344">
        <v>461600</v>
      </c>
      <c r="S57" s="2215" t="s">
        <v>471</v>
      </c>
      <c r="T57" s="2233">
        <v>13</v>
      </c>
      <c r="U57" s="1868">
        <v>2</v>
      </c>
      <c r="V57" s="1892">
        <v>1</v>
      </c>
    </row>
    <row r="58" spans="1:24" ht="42" customHeight="1" x14ac:dyDescent="0.2">
      <c r="A58" s="2755"/>
      <c r="B58" s="2753"/>
      <c r="C58" s="2756"/>
      <c r="D58" s="3768"/>
      <c r="E58" s="3507"/>
      <c r="F58" s="3572"/>
      <c r="G58" s="3543"/>
      <c r="H58" s="3578"/>
      <c r="I58" s="3668"/>
      <c r="J58" s="1254"/>
      <c r="K58" s="1269"/>
      <c r="L58" s="2147"/>
      <c r="M58" s="1250"/>
      <c r="N58" s="1236"/>
      <c r="O58" s="2580"/>
      <c r="P58" s="1261"/>
      <c r="Q58" s="1261"/>
      <c r="R58" s="1261"/>
      <c r="S58" s="1716" t="s">
        <v>472</v>
      </c>
      <c r="T58" s="1578">
        <v>180</v>
      </c>
      <c r="U58" s="1578">
        <v>35</v>
      </c>
      <c r="V58" s="1579">
        <v>20</v>
      </c>
    </row>
    <row r="59" spans="1:24" ht="54" customHeight="1" thickBot="1" x14ac:dyDescent="0.25">
      <c r="A59" s="2755"/>
      <c r="B59" s="2753"/>
      <c r="C59" s="2756"/>
      <c r="D59" s="3768"/>
      <c r="E59" s="3507"/>
      <c r="F59" s="3572"/>
      <c r="G59" s="3543"/>
      <c r="H59" s="3578"/>
      <c r="I59" s="3668"/>
      <c r="J59" s="1254"/>
      <c r="K59" s="1269"/>
      <c r="L59" s="2147"/>
      <c r="M59" s="1250"/>
      <c r="N59" s="1236"/>
      <c r="O59" s="2580"/>
      <c r="P59" s="1261"/>
      <c r="Q59" s="1261"/>
      <c r="R59" s="1261"/>
      <c r="S59" s="2072" t="s">
        <v>485</v>
      </c>
      <c r="T59" s="1796">
        <v>370</v>
      </c>
      <c r="U59" s="1796">
        <v>370</v>
      </c>
      <c r="V59" s="1797">
        <v>370</v>
      </c>
    </row>
    <row r="60" spans="1:24" ht="28.5" customHeight="1" thickBot="1" x14ac:dyDescent="0.25">
      <c r="A60" s="2755"/>
      <c r="B60" s="2753"/>
      <c r="C60" s="131"/>
      <c r="D60" s="2798" t="s">
        <v>403</v>
      </c>
      <c r="E60" s="2788" t="s">
        <v>387</v>
      </c>
      <c r="F60" s="1918"/>
      <c r="G60" s="2754"/>
      <c r="H60" s="2020"/>
      <c r="I60" s="2807"/>
      <c r="J60" s="1779" t="s">
        <v>22</v>
      </c>
      <c r="K60" s="1725"/>
      <c r="L60" s="1835"/>
      <c r="M60" s="2581">
        <f>+N60+P60</f>
        <v>62700</v>
      </c>
      <c r="N60" s="2114">
        <v>62700</v>
      </c>
      <c r="O60" s="2239"/>
      <c r="P60" s="2582"/>
      <c r="Q60" s="1292">
        <v>90700</v>
      </c>
      <c r="R60" s="1292">
        <v>90700</v>
      </c>
      <c r="S60" s="2017" t="s">
        <v>388</v>
      </c>
      <c r="T60" s="2018">
        <v>93</v>
      </c>
      <c r="U60" s="2018">
        <v>93</v>
      </c>
      <c r="V60" s="2019">
        <v>93</v>
      </c>
    </row>
    <row r="61" spans="1:24" ht="66.75" customHeight="1" thickBot="1" x14ac:dyDescent="0.25">
      <c r="A61" s="2755"/>
      <c r="B61" s="2753"/>
      <c r="C61" s="131"/>
      <c r="D61" s="2803" t="s">
        <v>404</v>
      </c>
      <c r="E61" s="2791" t="s">
        <v>436</v>
      </c>
      <c r="F61" s="1918"/>
      <c r="G61" s="2754"/>
      <c r="H61" s="2020"/>
      <c r="I61" s="2807"/>
      <c r="J61" s="1323" t="s">
        <v>22</v>
      </c>
      <c r="K61" s="1717"/>
      <c r="L61" s="1835"/>
      <c r="M61" s="2114">
        <f>+N61</f>
        <v>307500</v>
      </c>
      <c r="N61" s="2114">
        <v>307500</v>
      </c>
      <c r="O61" s="2114">
        <v>52200</v>
      </c>
      <c r="P61" s="1835"/>
      <c r="Q61" s="1292">
        <v>300000</v>
      </c>
      <c r="R61" s="1292">
        <v>300000</v>
      </c>
      <c r="S61" s="2750" t="s">
        <v>480</v>
      </c>
      <c r="T61" s="1436">
        <v>1247</v>
      </c>
      <c r="U61" s="1717">
        <v>1100</v>
      </c>
      <c r="V61" s="1437">
        <v>1000</v>
      </c>
    </row>
    <row r="62" spans="1:24" ht="16.5" customHeight="1" x14ac:dyDescent="0.2">
      <c r="A62" s="2831"/>
      <c r="B62" s="2833"/>
      <c r="C62" s="131"/>
      <c r="D62" s="2851" t="s">
        <v>405</v>
      </c>
      <c r="E62" s="3509" t="s">
        <v>434</v>
      </c>
      <c r="F62" s="2840"/>
      <c r="G62" s="2836"/>
      <c r="H62" s="2234"/>
      <c r="I62" s="2850"/>
      <c r="J62" s="1323" t="s">
        <v>25</v>
      </c>
      <c r="K62" s="1717"/>
      <c r="L62" s="1835">
        <v>14347</v>
      </c>
      <c r="M62" s="2114">
        <v>40500</v>
      </c>
      <c r="N62" s="2114">
        <v>8650</v>
      </c>
      <c r="O62" s="2114">
        <v>5303</v>
      </c>
      <c r="P62" s="1835">
        <v>31810</v>
      </c>
      <c r="Q62" s="1299">
        <f>M62</f>
        <v>40500</v>
      </c>
      <c r="R62" s="1338">
        <f>Q62</f>
        <v>40500</v>
      </c>
      <c r="S62" s="3500" t="s">
        <v>435</v>
      </c>
      <c r="T62" s="2115">
        <v>1</v>
      </c>
      <c r="U62" s="2115">
        <v>1</v>
      </c>
      <c r="V62" s="2116">
        <v>1</v>
      </c>
    </row>
    <row r="63" spans="1:24" ht="16.5" customHeight="1" x14ac:dyDescent="0.2">
      <c r="A63" s="2844"/>
      <c r="B63" s="2845"/>
      <c r="C63" s="2866"/>
      <c r="D63" s="1934"/>
      <c r="E63" s="3510"/>
      <c r="F63" s="2887"/>
      <c r="G63" s="2842"/>
      <c r="H63" s="2888"/>
      <c r="I63" s="2889"/>
      <c r="J63" s="1326"/>
      <c r="K63" s="1720"/>
      <c r="L63" s="2164"/>
      <c r="M63" s="1894"/>
      <c r="N63" s="1890"/>
      <c r="O63" s="1890"/>
      <c r="P63" s="2164"/>
      <c r="Q63" s="1367"/>
      <c r="R63" s="2601"/>
      <c r="S63" s="3538"/>
      <c r="T63" s="2890">
        <v>50</v>
      </c>
      <c r="U63" s="2890">
        <v>50</v>
      </c>
      <c r="V63" s="2891">
        <v>50</v>
      </c>
    </row>
    <row r="64" spans="1:24" ht="44.25" customHeight="1" x14ac:dyDescent="0.2">
      <c r="A64" s="2764"/>
      <c r="B64" s="2767"/>
      <c r="C64" s="2766"/>
      <c r="D64" s="2854" t="s">
        <v>408</v>
      </c>
      <c r="E64" s="1935" t="s">
        <v>205</v>
      </c>
      <c r="F64" s="1936" t="s">
        <v>129</v>
      </c>
      <c r="G64" s="2777"/>
      <c r="H64" s="2778"/>
      <c r="I64" s="2802"/>
      <c r="J64" s="1254" t="s">
        <v>25</v>
      </c>
      <c r="K64" s="1250">
        <v>14742</v>
      </c>
      <c r="L64" s="2147">
        <v>8963</v>
      </c>
      <c r="M64" s="1240"/>
      <c r="N64" s="2843"/>
      <c r="O64" s="2843"/>
      <c r="P64" s="2147"/>
      <c r="Q64" s="1330"/>
      <c r="R64" s="1529"/>
      <c r="S64" s="1854"/>
      <c r="T64" s="1864"/>
      <c r="U64" s="1864"/>
      <c r="V64" s="1872"/>
      <c r="X64" s="1801"/>
    </row>
    <row r="65" spans="1:24" s="1581" customFormat="1" ht="13.5" customHeight="1" thickBot="1" x14ac:dyDescent="0.25">
      <c r="A65" s="535"/>
      <c r="B65" s="28"/>
      <c r="C65" s="782"/>
      <c r="D65" s="2216"/>
      <c r="E65" s="1930"/>
      <c r="F65" s="1930"/>
      <c r="G65" s="1931"/>
      <c r="H65" s="2108"/>
      <c r="I65" s="3695" t="s">
        <v>218</v>
      </c>
      <c r="J65" s="3696"/>
      <c r="K65" s="2218">
        <f>SUM(K53:K64)+K52+K47+K42+K37+K32+K26+K21</f>
        <v>57571069</v>
      </c>
      <c r="L65" s="2218">
        <f>SUM(L53:L64)+L52</f>
        <v>59061396</v>
      </c>
      <c r="M65" s="2218">
        <f>SUM(M53:M64)+M52+M47+M42+M37+M32+M21+M26</f>
        <v>59434400</v>
      </c>
      <c r="N65" s="2567">
        <f t="shared" ref="N65:R65" si="16">SUM(N53:N64)+N52+N47+N42+N37+N32+N21+N26</f>
        <v>59292590</v>
      </c>
      <c r="O65" s="2567">
        <f t="shared" si="16"/>
        <v>39227093</v>
      </c>
      <c r="P65" s="2108">
        <f t="shared" si="16"/>
        <v>141770</v>
      </c>
      <c r="Q65" s="2218">
        <f>SUM(Q53:Q64)+Q52+Q47+Q42+Q37+Q32+Q21+Q26</f>
        <v>59305000</v>
      </c>
      <c r="R65" s="2218">
        <f t="shared" si="16"/>
        <v>59285000</v>
      </c>
      <c r="S65" s="2790"/>
      <c r="T65" s="2219"/>
      <c r="U65" s="2219"/>
      <c r="V65" s="2220"/>
      <c r="X65" s="2210"/>
    </row>
    <row r="66" spans="1:24" ht="19.5" customHeight="1" x14ac:dyDescent="0.2">
      <c r="A66" s="2033" t="s">
        <v>20</v>
      </c>
      <c r="B66" s="2039" t="s">
        <v>20</v>
      </c>
      <c r="C66" s="751" t="s">
        <v>24</v>
      </c>
      <c r="D66" s="2056"/>
      <c r="E66" s="1899" t="s">
        <v>425</v>
      </c>
      <c r="F66" s="1861"/>
      <c r="G66" s="1865"/>
      <c r="H66" s="1876"/>
      <c r="I66" s="2112"/>
      <c r="J66" s="1254"/>
      <c r="K66" s="1269"/>
      <c r="L66" s="2113"/>
      <c r="M66" s="2130"/>
      <c r="N66" s="2718"/>
      <c r="O66" s="2718"/>
      <c r="P66" s="2147"/>
      <c r="Q66" s="1308"/>
      <c r="R66" s="1260"/>
      <c r="S66" s="1854"/>
      <c r="T66" s="1864"/>
      <c r="U66" s="1864"/>
      <c r="V66" s="1872"/>
    </row>
    <row r="67" spans="1:24" ht="54" customHeight="1" x14ac:dyDescent="0.2">
      <c r="A67" s="2037"/>
      <c r="B67" s="2040"/>
      <c r="C67" s="2042"/>
      <c r="D67" s="2664" t="s">
        <v>20</v>
      </c>
      <c r="E67" s="2645" t="s">
        <v>151</v>
      </c>
      <c r="F67" s="2663"/>
      <c r="G67" s="2639" t="s">
        <v>21</v>
      </c>
      <c r="H67" s="2666">
        <v>2</v>
      </c>
      <c r="I67" s="2662" t="s">
        <v>368</v>
      </c>
      <c r="J67" s="1618" t="s">
        <v>25</v>
      </c>
      <c r="K67" s="1709">
        <v>41190</v>
      </c>
      <c r="L67" s="2047">
        <v>45982</v>
      </c>
      <c r="M67" s="1526">
        <f>+N67+P67</f>
        <v>84700</v>
      </c>
      <c r="N67" s="1414">
        <v>84700</v>
      </c>
      <c r="O67" s="1414">
        <v>31440</v>
      </c>
      <c r="P67" s="2163"/>
      <c r="Q67" s="1393">
        <f>M67</f>
        <v>84700</v>
      </c>
      <c r="R67" s="1231">
        <f>Q67</f>
        <v>84700</v>
      </c>
      <c r="S67" s="1880" t="s">
        <v>486</v>
      </c>
      <c r="T67" s="1881">
        <v>2377</v>
      </c>
      <c r="U67" s="1881">
        <v>2377</v>
      </c>
      <c r="V67" s="1882">
        <v>2377</v>
      </c>
    </row>
    <row r="68" spans="1:24" ht="42.75" customHeight="1" x14ac:dyDescent="0.2">
      <c r="A68" s="2487"/>
      <c r="B68" s="2486"/>
      <c r="C68" s="2482"/>
      <c r="D68" s="1888" t="s">
        <v>24</v>
      </c>
      <c r="E68" s="1920" t="s">
        <v>45</v>
      </c>
      <c r="F68" s="2495"/>
      <c r="G68" s="2484" t="s">
        <v>21</v>
      </c>
      <c r="H68" s="2510">
        <v>2</v>
      </c>
      <c r="I68" s="2509" t="s">
        <v>160</v>
      </c>
      <c r="J68" s="1883" t="s">
        <v>22</v>
      </c>
      <c r="K68" s="1527">
        <v>39591</v>
      </c>
      <c r="L68" s="2163">
        <v>39591</v>
      </c>
      <c r="M68" s="1891">
        <v>40000</v>
      </c>
      <c r="N68" s="1612">
        <v>40000</v>
      </c>
      <c r="O68" s="1612"/>
      <c r="P68" s="1347"/>
      <c r="Q68" s="1393">
        <v>40000</v>
      </c>
      <c r="R68" s="1231">
        <v>40000</v>
      </c>
      <c r="S68" s="1885" t="s">
        <v>300</v>
      </c>
      <c r="T68" s="1757">
        <v>180</v>
      </c>
      <c r="U68" s="1886">
        <v>180</v>
      </c>
      <c r="V68" s="1764">
        <v>180</v>
      </c>
    </row>
    <row r="69" spans="1:24" ht="16.5" customHeight="1" x14ac:dyDescent="0.2">
      <c r="A69" s="2491"/>
      <c r="B69" s="2492"/>
      <c r="C69" s="2494"/>
      <c r="D69" s="3573" t="s">
        <v>26</v>
      </c>
      <c r="E69" s="3510" t="s">
        <v>259</v>
      </c>
      <c r="F69" s="3572"/>
      <c r="G69" s="3573"/>
      <c r="H69" s="3574"/>
      <c r="I69" s="1889"/>
      <c r="J69" s="1618" t="s">
        <v>22</v>
      </c>
      <c r="K69" s="1709">
        <v>14481</v>
      </c>
      <c r="L69" s="2163">
        <v>14481</v>
      </c>
      <c r="M69" s="1230">
        <v>20000</v>
      </c>
      <c r="N69" s="1544">
        <v>20000</v>
      </c>
      <c r="O69" s="1544"/>
      <c r="P69" s="2163"/>
      <c r="Q69" s="1799">
        <v>20000</v>
      </c>
      <c r="R69" s="1522">
        <v>20000</v>
      </c>
      <c r="S69" s="1800" t="s">
        <v>371</v>
      </c>
      <c r="T69" s="1868">
        <v>20</v>
      </c>
      <c r="U69" s="1868">
        <v>20</v>
      </c>
      <c r="V69" s="1892">
        <v>20</v>
      </c>
    </row>
    <row r="70" spans="1:24" ht="28.5" customHeight="1" x14ac:dyDescent="0.2">
      <c r="A70" s="2631"/>
      <c r="B70" s="2626"/>
      <c r="C70" s="2641"/>
      <c r="D70" s="3573"/>
      <c r="E70" s="3510"/>
      <c r="F70" s="3572"/>
      <c r="G70" s="3543"/>
      <c r="H70" s="3575"/>
      <c r="I70" s="1889"/>
      <c r="J70" s="1326"/>
      <c r="K70" s="1452"/>
      <c r="L70" s="2164"/>
      <c r="M70" s="1348"/>
      <c r="N70" s="2583"/>
      <c r="O70" s="2584"/>
      <c r="P70" s="1787"/>
      <c r="Q70" s="1720"/>
      <c r="R70" s="1450"/>
      <c r="S70" s="1656" t="s">
        <v>487</v>
      </c>
      <c r="T70" s="1868">
        <v>1560</v>
      </c>
      <c r="U70" s="1868">
        <v>1560</v>
      </c>
      <c r="V70" s="1892">
        <v>1560</v>
      </c>
    </row>
    <row r="71" spans="1:24" ht="30" customHeight="1" x14ac:dyDescent="0.2">
      <c r="A71" s="2027"/>
      <c r="B71" s="2029"/>
      <c r="C71" s="2028"/>
      <c r="D71" s="1896" t="s">
        <v>28</v>
      </c>
      <c r="E71" s="1768" t="s">
        <v>262</v>
      </c>
      <c r="F71" s="1605"/>
      <c r="G71" s="1847"/>
      <c r="H71" s="2051"/>
      <c r="I71" s="1889"/>
      <c r="J71" s="1477" t="s">
        <v>22</v>
      </c>
      <c r="K71" s="1894">
        <v>8689</v>
      </c>
      <c r="L71" s="1385">
        <v>8689</v>
      </c>
      <c r="M71" s="1652">
        <f>+N71+P71</f>
        <v>8700</v>
      </c>
      <c r="N71" s="1384">
        <v>8700</v>
      </c>
      <c r="O71" s="1384"/>
      <c r="P71" s="1385"/>
      <c r="Q71" s="1953">
        <v>8700</v>
      </c>
      <c r="R71" s="1358">
        <v>8700</v>
      </c>
      <c r="S71" s="1885" t="s">
        <v>140</v>
      </c>
      <c r="T71" s="1850">
        <v>3500</v>
      </c>
      <c r="U71" s="1850">
        <v>4000</v>
      </c>
      <c r="V71" s="1792">
        <v>4500</v>
      </c>
    </row>
    <row r="72" spans="1:24" ht="28.5" customHeight="1" x14ac:dyDescent="0.2">
      <c r="A72" s="2032"/>
      <c r="B72" s="2029"/>
      <c r="C72" s="2025"/>
      <c r="D72" s="1896" t="s">
        <v>29</v>
      </c>
      <c r="E72" s="2212" t="s">
        <v>376</v>
      </c>
      <c r="F72" s="1605"/>
      <c r="G72" s="1847"/>
      <c r="H72" s="2051"/>
      <c r="I72" s="1889"/>
      <c r="J72" s="1730" t="s">
        <v>22</v>
      </c>
      <c r="K72" s="1894"/>
      <c r="L72" s="2117"/>
      <c r="M72" s="2130">
        <f>+N72+P72</f>
        <v>21000</v>
      </c>
      <c r="N72" s="1236">
        <v>21000</v>
      </c>
      <c r="O72" s="1236"/>
      <c r="P72" s="2147"/>
      <c r="Q72" s="1529"/>
      <c r="R72" s="1330"/>
      <c r="S72" s="2221" t="s">
        <v>377</v>
      </c>
      <c r="T72" s="1751">
        <v>2000</v>
      </c>
      <c r="U72" s="2222"/>
      <c r="V72" s="1750"/>
    </row>
    <row r="73" spans="1:24" ht="34.5" customHeight="1" x14ac:dyDescent="0.2">
      <c r="A73" s="2027"/>
      <c r="B73" s="2029"/>
      <c r="C73" s="2028"/>
      <c r="D73" s="1911" t="s">
        <v>30</v>
      </c>
      <c r="E73" s="1912" t="s">
        <v>374</v>
      </c>
      <c r="F73" s="1870" t="s">
        <v>398</v>
      </c>
      <c r="G73" s="1847"/>
      <c r="H73" s="2051"/>
      <c r="I73" s="1857"/>
      <c r="J73" s="1923" t="s">
        <v>22</v>
      </c>
      <c r="K73" s="1893"/>
      <c r="L73" s="1385"/>
      <c r="M73" s="1652">
        <v>10000</v>
      </c>
      <c r="N73" s="1384">
        <v>10000</v>
      </c>
      <c r="O73" s="1384"/>
      <c r="P73" s="1385"/>
      <c r="Q73" s="1393"/>
      <c r="R73" s="1231"/>
      <c r="S73" s="1885" t="s">
        <v>375</v>
      </c>
      <c r="T73" s="1757">
        <v>1</v>
      </c>
      <c r="U73" s="1886"/>
      <c r="V73" s="1764"/>
    </row>
    <row r="74" spans="1:24" ht="21" customHeight="1" x14ac:dyDescent="0.2">
      <c r="A74" s="2034"/>
      <c r="B74" s="2040"/>
      <c r="C74" s="2059"/>
      <c r="D74" s="2050" t="s">
        <v>55</v>
      </c>
      <c r="E74" s="3536" t="s">
        <v>369</v>
      </c>
      <c r="F74" s="1862"/>
      <c r="G74" s="1867"/>
      <c r="H74" s="2089"/>
      <c r="I74" s="1889"/>
      <c r="J74" s="1749" t="s">
        <v>25</v>
      </c>
      <c r="K74" s="1269">
        <v>84185</v>
      </c>
      <c r="L74" s="2048">
        <v>256568</v>
      </c>
      <c r="M74" s="1236"/>
      <c r="N74" s="1236"/>
      <c r="O74" s="1236"/>
      <c r="P74" s="2147"/>
      <c r="Q74" s="1684"/>
      <c r="R74" s="1520"/>
      <c r="S74" s="1800"/>
      <c r="T74" s="1607"/>
      <c r="U74" s="1607"/>
      <c r="V74" s="1532"/>
    </row>
    <row r="75" spans="1:24" ht="13.5" thickBot="1" x14ac:dyDescent="0.25">
      <c r="A75" s="2030"/>
      <c r="B75" s="2031"/>
      <c r="C75" s="2024"/>
      <c r="D75" s="1897"/>
      <c r="E75" s="3761"/>
      <c r="F75" s="1898"/>
      <c r="G75" s="1846"/>
      <c r="H75" s="2092"/>
      <c r="I75" s="1895"/>
      <c r="J75" s="1434" t="s">
        <v>23</v>
      </c>
      <c r="K75" s="1311">
        <f t="shared" ref="K75:R75" si="17">SUM(K67:K74)</f>
        <v>188136</v>
      </c>
      <c r="L75" s="1312">
        <f t="shared" si="17"/>
        <v>365311</v>
      </c>
      <c r="M75" s="1273">
        <f t="shared" si="17"/>
        <v>184400</v>
      </c>
      <c r="N75" s="1279">
        <f t="shared" si="17"/>
        <v>184400</v>
      </c>
      <c r="O75" s="1279">
        <f t="shared" si="17"/>
        <v>31440</v>
      </c>
      <c r="P75" s="1281">
        <f t="shared" si="17"/>
        <v>0</v>
      </c>
      <c r="Q75" s="1311">
        <f t="shared" si="17"/>
        <v>153400</v>
      </c>
      <c r="R75" s="1282">
        <f t="shared" si="17"/>
        <v>153400</v>
      </c>
      <c r="S75" s="1536"/>
      <c r="T75" s="1537"/>
      <c r="U75" s="1538"/>
      <c r="V75" s="1524"/>
    </row>
    <row r="76" spans="1:24" ht="30" customHeight="1" x14ac:dyDescent="0.2">
      <c r="A76" s="2033" t="s">
        <v>20</v>
      </c>
      <c r="B76" s="2039" t="s">
        <v>20</v>
      </c>
      <c r="C76" s="751" t="s">
        <v>26</v>
      </c>
      <c r="D76" s="2050"/>
      <c r="E76" s="3561" t="s">
        <v>370</v>
      </c>
      <c r="F76" s="1862"/>
      <c r="G76" s="1867"/>
      <c r="H76" s="2089"/>
      <c r="I76" s="1856"/>
      <c r="J76" s="1291" t="s">
        <v>22</v>
      </c>
      <c r="K76" s="1569">
        <v>2896</v>
      </c>
      <c r="L76" s="1835">
        <v>2896</v>
      </c>
      <c r="M76" s="2581">
        <v>2900</v>
      </c>
      <c r="N76" s="2558">
        <v>2900</v>
      </c>
      <c r="O76" s="2558"/>
      <c r="P76" s="2001"/>
      <c r="Q76" s="1410">
        <f>M76</f>
        <v>2900</v>
      </c>
      <c r="R76" s="1438">
        <f>M76</f>
        <v>2900</v>
      </c>
      <c r="S76" s="2217" t="s">
        <v>373</v>
      </c>
      <c r="T76" s="1436">
        <v>10</v>
      </c>
      <c r="U76" s="1610">
        <v>10</v>
      </c>
      <c r="V76" s="1598">
        <v>10</v>
      </c>
    </row>
    <row r="77" spans="1:24" ht="30.75" customHeight="1" x14ac:dyDescent="0.2">
      <c r="A77" s="2223"/>
      <c r="B77" s="2224"/>
      <c r="C77" s="2225"/>
      <c r="D77" s="2228"/>
      <c r="E77" s="3562"/>
      <c r="F77" s="2229"/>
      <c r="G77" s="2228"/>
      <c r="H77" s="2226"/>
      <c r="I77" s="2227"/>
      <c r="J77" s="1260"/>
      <c r="K77" s="1269"/>
      <c r="L77" s="2147"/>
      <c r="M77" s="1250"/>
      <c r="N77" s="2552"/>
      <c r="O77" s="2552"/>
      <c r="P77" s="1308"/>
      <c r="Q77" s="1241"/>
      <c r="R77" s="1677"/>
      <c r="S77" s="1880" t="s">
        <v>443</v>
      </c>
      <c r="T77" s="1878">
        <v>860</v>
      </c>
      <c r="U77" s="1878">
        <v>860</v>
      </c>
      <c r="V77" s="1879">
        <v>860</v>
      </c>
    </row>
    <row r="78" spans="1:24" ht="27.75" customHeight="1" x14ac:dyDescent="0.2">
      <c r="A78" s="2223"/>
      <c r="B78" s="2224"/>
      <c r="C78" s="2225"/>
      <c r="D78" s="2228"/>
      <c r="E78" s="1636"/>
      <c r="F78" s="2229"/>
      <c r="G78" s="2228"/>
      <c r="H78" s="2226"/>
      <c r="I78" s="2227"/>
      <c r="J78" s="1260"/>
      <c r="K78" s="1269"/>
      <c r="L78" s="2147"/>
      <c r="M78" s="1250"/>
      <c r="N78" s="2552"/>
      <c r="O78" s="2552"/>
      <c r="P78" s="1308"/>
      <c r="Q78" s="1241"/>
      <c r="R78" s="1677"/>
      <c r="S78" s="3563" t="s">
        <v>488</v>
      </c>
      <c r="T78" s="1607">
        <v>40</v>
      </c>
      <c r="U78" s="1607">
        <v>40</v>
      </c>
      <c r="V78" s="1532">
        <v>40</v>
      </c>
    </row>
    <row r="79" spans="1:24" ht="15" customHeight="1" thickBot="1" x14ac:dyDescent="0.25">
      <c r="A79" s="2038"/>
      <c r="B79" s="817"/>
      <c r="C79" s="2043"/>
      <c r="D79" s="1866"/>
      <c r="E79" s="1875"/>
      <c r="F79" s="1863"/>
      <c r="G79" s="1866"/>
      <c r="H79" s="1877"/>
      <c r="I79" s="1853"/>
      <c r="J79" s="1434" t="s">
        <v>23</v>
      </c>
      <c r="K79" s="1317">
        <f>K76</f>
        <v>2896</v>
      </c>
      <c r="L79" s="1312">
        <f>SUM(L76)</f>
        <v>2896</v>
      </c>
      <c r="M79" s="1273">
        <f>M76</f>
        <v>2900</v>
      </c>
      <c r="N79" s="1279">
        <f t="shared" ref="N79:R79" si="18">N76</f>
        <v>2900</v>
      </c>
      <c r="O79" s="1279">
        <f t="shared" si="18"/>
        <v>0</v>
      </c>
      <c r="P79" s="1311">
        <f t="shared" si="18"/>
        <v>0</v>
      </c>
      <c r="Q79" s="1286">
        <f>Q76</f>
        <v>2900</v>
      </c>
      <c r="R79" s="1319">
        <f t="shared" si="18"/>
        <v>2900</v>
      </c>
      <c r="S79" s="3501"/>
      <c r="T79" s="2230"/>
      <c r="U79" s="2231"/>
      <c r="V79" s="1599"/>
    </row>
    <row r="80" spans="1:24" s="1581" customFormat="1" ht="15.75" customHeight="1" x14ac:dyDescent="0.2">
      <c r="A80" s="218" t="s">
        <v>20</v>
      </c>
      <c r="B80" s="3564" t="s">
        <v>20</v>
      </c>
      <c r="C80" s="2912" t="s">
        <v>28</v>
      </c>
      <c r="D80" s="3759"/>
      <c r="E80" s="3566" t="s">
        <v>372</v>
      </c>
      <c r="F80" s="3558"/>
      <c r="G80" s="2959" t="s">
        <v>21</v>
      </c>
      <c r="H80" s="3568">
        <v>2</v>
      </c>
      <c r="I80" s="3775" t="s">
        <v>160</v>
      </c>
      <c r="J80" s="1921" t="s">
        <v>22</v>
      </c>
      <c r="K80" s="1837">
        <v>18941</v>
      </c>
      <c r="L80" s="1835">
        <v>18941</v>
      </c>
      <c r="M80" s="2311">
        <v>46800</v>
      </c>
      <c r="N80" s="1382">
        <v>46800</v>
      </c>
      <c r="O80" s="1297"/>
      <c r="P80" s="1298"/>
      <c r="Q80" s="1839">
        <f>N80</f>
        <v>46800</v>
      </c>
      <c r="R80" s="1291">
        <f>N80</f>
        <v>46800</v>
      </c>
      <c r="S80" s="1971" t="s">
        <v>261</v>
      </c>
      <c r="T80" s="1972">
        <v>20</v>
      </c>
      <c r="U80" s="1972">
        <v>20</v>
      </c>
      <c r="V80" s="1973">
        <v>20</v>
      </c>
    </row>
    <row r="81" spans="1:22" s="1581" customFormat="1" ht="28.5" customHeight="1" thickBot="1" x14ac:dyDescent="0.25">
      <c r="A81" s="2030"/>
      <c r="B81" s="3565"/>
      <c r="C81" s="2913"/>
      <c r="D81" s="3760"/>
      <c r="E81" s="3567"/>
      <c r="F81" s="3559"/>
      <c r="G81" s="2960"/>
      <c r="H81" s="3569"/>
      <c r="I81" s="3776"/>
      <c r="J81" s="1434" t="s">
        <v>23</v>
      </c>
      <c r="K81" s="1273">
        <f>SUM(K80)</f>
        <v>18941</v>
      </c>
      <c r="L81" s="1312">
        <f>SUM(L80)</f>
        <v>18941</v>
      </c>
      <c r="M81" s="1273">
        <f>SUM(M80)</f>
        <v>46800</v>
      </c>
      <c r="N81" s="1279">
        <f>SUM(N80)</f>
        <v>46800</v>
      </c>
      <c r="O81" s="1311"/>
      <c r="P81" s="1312"/>
      <c r="Q81" s="1273">
        <f>SUM(Q80)</f>
        <v>46800</v>
      </c>
      <c r="R81" s="1282">
        <f>SUM(R80)</f>
        <v>46800</v>
      </c>
      <c r="S81" s="1744" t="s">
        <v>119</v>
      </c>
      <c r="T81" s="1745">
        <v>36</v>
      </c>
      <c r="U81" s="1745">
        <v>36</v>
      </c>
      <c r="V81" s="1746">
        <v>36</v>
      </c>
    </row>
    <row r="82" spans="1:22" ht="42.75" customHeight="1" x14ac:dyDescent="0.2">
      <c r="A82" s="3555" t="s">
        <v>20</v>
      </c>
      <c r="B82" s="219" t="s">
        <v>20</v>
      </c>
      <c r="C82" s="2912" t="s">
        <v>29</v>
      </c>
      <c r="D82" s="3770"/>
      <c r="E82" s="3556" t="s">
        <v>272</v>
      </c>
      <c r="F82" s="3558" t="s">
        <v>133</v>
      </c>
      <c r="G82" s="3000" t="s">
        <v>21</v>
      </c>
      <c r="H82" s="3448">
        <v>2</v>
      </c>
      <c r="I82" s="3775" t="s">
        <v>160</v>
      </c>
      <c r="J82" s="1534" t="s">
        <v>22</v>
      </c>
      <c r="K82" s="1995">
        <v>127027</v>
      </c>
      <c r="L82" s="1276">
        <v>96744</v>
      </c>
      <c r="M82" s="1837">
        <v>95100</v>
      </c>
      <c r="N82" s="2239">
        <v>95100</v>
      </c>
      <c r="O82" s="2239"/>
      <c r="P82" s="1276"/>
      <c r="Q82" s="1291">
        <v>85600</v>
      </c>
      <c r="R82" s="1307"/>
      <c r="S82" s="3570" t="s">
        <v>214</v>
      </c>
      <c r="T82" s="1539">
        <v>24</v>
      </c>
      <c r="U82" s="1832">
        <v>16</v>
      </c>
      <c r="V82" s="1834"/>
    </row>
    <row r="83" spans="1:22" ht="13.5" thickBot="1" x14ac:dyDescent="0.25">
      <c r="A83" s="3024"/>
      <c r="B83" s="2031"/>
      <c r="C83" s="2913"/>
      <c r="D83" s="3771"/>
      <c r="E83" s="3557"/>
      <c r="F83" s="3559"/>
      <c r="G83" s="3560"/>
      <c r="H83" s="3449"/>
      <c r="I83" s="3776"/>
      <c r="J83" s="1535" t="s">
        <v>23</v>
      </c>
      <c r="K83" s="1311">
        <f>SUM(K82)</f>
        <v>127027</v>
      </c>
      <c r="L83" s="1312">
        <f>SUM(L82)</f>
        <v>96744</v>
      </c>
      <c r="M83" s="1273">
        <f>SUM(M82)</f>
        <v>95100</v>
      </c>
      <c r="N83" s="1279">
        <f>SUM(N82)</f>
        <v>95100</v>
      </c>
      <c r="O83" s="1311"/>
      <c r="P83" s="1312"/>
      <c r="Q83" s="1282">
        <f>SUM(Q82)</f>
        <v>85600</v>
      </c>
      <c r="R83" s="1281"/>
      <c r="S83" s="3571"/>
      <c r="T83" s="1537"/>
      <c r="U83" s="1538"/>
      <c r="V83" s="1524"/>
    </row>
    <row r="84" spans="1:22" ht="13.5" thickBot="1" x14ac:dyDescent="0.25">
      <c r="A84" s="15" t="s">
        <v>20</v>
      </c>
      <c r="B84" s="14" t="s">
        <v>20</v>
      </c>
      <c r="C84" s="3481" t="s">
        <v>27</v>
      </c>
      <c r="D84" s="3481"/>
      <c r="E84" s="3481"/>
      <c r="F84" s="3481"/>
      <c r="G84" s="3481"/>
      <c r="H84" s="3481"/>
      <c r="I84" s="3481"/>
      <c r="J84" s="3481"/>
      <c r="K84" s="1606">
        <f t="shared" ref="K84:R84" si="19">K83+K81+K79+K75+K65</f>
        <v>57908069</v>
      </c>
      <c r="L84" s="1432">
        <f t="shared" si="19"/>
        <v>59545288</v>
      </c>
      <c r="M84" s="1606">
        <f t="shared" si="19"/>
        <v>59763600</v>
      </c>
      <c r="N84" s="1430">
        <f t="shared" si="19"/>
        <v>59621790</v>
      </c>
      <c r="O84" s="1430">
        <f t="shared" si="19"/>
        <v>39258533</v>
      </c>
      <c r="P84" s="2188">
        <f t="shared" si="19"/>
        <v>141770</v>
      </c>
      <c r="Q84" s="1333">
        <f t="shared" si="19"/>
        <v>59593700</v>
      </c>
      <c r="R84" s="1333">
        <f t="shared" si="19"/>
        <v>59488100</v>
      </c>
      <c r="S84" s="1606"/>
      <c r="T84" s="3450"/>
      <c r="U84" s="3450"/>
      <c r="V84" s="3451"/>
    </row>
    <row r="85" spans="1:22" ht="13.5" thickBot="1" x14ac:dyDescent="0.25">
      <c r="A85" s="15" t="s">
        <v>20</v>
      </c>
      <c r="B85" s="3551" t="s">
        <v>10</v>
      </c>
      <c r="C85" s="3486"/>
      <c r="D85" s="3486"/>
      <c r="E85" s="3486"/>
      <c r="F85" s="3486"/>
      <c r="G85" s="3486"/>
      <c r="H85" s="3486"/>
      <c r="I85" s="3486"/>
      <c r="J85" s="3486"/>
      <c r="K85" s="1991">
        <f>K84</f>
        <v>57908069</v>
      </c>
      <c r="L85" s="1998">
        <f>L84</f>
        <v>59545288</v>
      </c>
      <c r="M85" s="2554">
        <f t="shared" ref="M85:R85" si="20">M84</f>
        <v>59763600</v>
      </c>
      <c r="N85" s="2190">
        <f t="shared" si="20"/>
        <v>59621790</v>
      </c>
      <c r="O85" s="2190">
        <f t="shared" si="20"/>
        <v>39258533</v>
      </c>
      <c r="P85" s="2189">
        <f t="shared" si="20"/>
        <v>141770</v>
      </c>
      <c r="Q85" s="1337">
        <f t="shared" si="20"/>
        <v>59593700</v>
      </c>
      <c r="R85" s="1337">
        <f t="shared" si="20"/>
        <v>59488100</v>
      </c>
      <c r="S85" s="3552"/>
      <c r="T85" s="3553"/>
      <c r="U85" s="3553"/>
      <c r="V85" s="3554"/>
    </row>
    <row r="86" spans="1:22" ht="13.5" thickBot="1" x14ac:dyDescent="0.25">
      <c r="A86" s="2036" t="s">
        <v>24</v>
      </c>
      <c r="B86" s="3772" t="s">
        <v>56</v>
      </c>
      <c r="C86" s="3773"/>
      <c r="D86" s="3773"/>
      <c r="E86" s="3773"/>
      <c r="F86" s="3773"/>
      <c r="G86" s="3773"/>
      <c r="H86" s="3773"/>
      <c r="I86" s="3773"/>
      <c r="J86" s="3773"/>
      <c r="K86" s="3773"/>
      <c r="L86" s="3773"/>
      <c r="M86" s="3773"/>
      <c r="N86" s="3773"/>
      <c r="O86" s="3773"/>
      <c r="P86" s="3773"/>
      <c r="Q86" s="3773"/>
      <c r="R86" s="3773"/>
      <c r="S86" s="3773"/>
      <c r="T86" s="3773"/>
      <c r="U86" s="3773"/>
      <c r="V86" s="3774"/>
    </row>
    <row r="87" spans="1:22" ht="13.5" thickBot="1" x14ac:dyDescent="0.25">
      <c r="A87" s="23" t="s">
        <v>24</v>
      </c>
      <c r="B87" s="17" t="s">
        <v>20</v>
      </c>
      <c r="C87" s="3443" t="s">
        <v>47</v>
      </c>
      <c r="D87" s="3444"/>
      <c r="E87" s="3444"/>
      <c r="F87" s="3444"/>
      <c r="G87" s="3444"/>
      <c r="H87" s="3444"/>
      <c r="I87" s="3444"/>
      <c r="J87" s="3444"/>
      <c r="K87" s="3444"/>
      <c r="L87" s="3444"/>
      <c r="M87" s="3444"/>
      <c r="N87" s="3444"/>
      <c r="O87" s="3444"/>
      <c r="P87" s="3444"/>
      <c r="Q87" s="3444"/>
      <c r="R87" s="3444"/>
      <c r="S87" s="3444"/>
      <c r="T87" s="3444"/>
      <c r="U87" s="3444"/>
      <c r="V87" s="3445"/>
    </row>
    <row r="88" spans="1:22" ht="27" customHeight="1" x14ac:dyDescent="0.2">
      <c r="A88" s="2829" t="s">
        <v>24</v>
      </c>
      <c r="B88" s="2832" t="s">
        <v>20</v>
      </c>
      <c r="C88" s="2826" t="s">
        <v>20</v>
      </c>
      <c r="D88" s="2721"/>
      <c r="E88" s="2722" t="s">
        <v>473</v>
      </c>
      <c r="F88" s="2723"/>
      <c r="G88" s="2757"/>
      <c r="H88" s="2709"/>
      <c r="I88" s="2201"/>
      <c r="J88" s="2201"/>
      <c r="K88" s="2724"/>
      <c r="L88" s="2725"/>
      <c r="M88" s="2311"/>
      <c r="N88" s="2603"/>
      <c r="O88" s="2603"/>
      <c r="P88" s="2597"/>
      <c r="Q88" s="2726"/>
      <c r="R88" s="2727"/>
      <c r="S88" s="2712"/>
      <c r="T88" s="2713"/>
      <c r="U88" s="2714"/>
      <c r="V88" s="2524"/>
    </row>
    <row r="89" spans="1:22" ht="30.75" customHeight="1" x14ac:dyDescent="0.2">
      <c r="A89" s="2489"/>
      <c r="B89" s="2492"/>
      <c r="C89" s="2485"/>
      <c r="D89" s="1625" t="s">
        <v>20</v>
      </c>
      <c r="E89" s="3421" t="s">
        <v>489</v>
      </c>
      <c r="F89" s="2563" t="s">
        <v>4</v>
      </c>
      <c r="G89" s="2670" t="s">
        <v>21</v>
      </c>
      <c r="H89" s="1562">
        <v>5</v>
      </c>
      <c r="I89" s="3664" t="s">
        <v>351</v>
      </c>
      <c r="J89" s="1351" t="s">
        <v>22</v>
      </c>
      <c r="K89" s="1269"/>
      <c r="L89" s="2077"/>
      <c r="M89" s="1517">
        <v>12200</v>
      </c>
      <c r="N89" s="1613"/>
      <c r="O89" s="1613"/>
      <c r="P89" s="2193">
        <v>12200</v>
      </c>
      <c r="Q89" s="2685"/>
      <c r="R89" s="1330"/>
      <c r="S89" s="2678" t="s">
        <v>340</v>
      </c>
      <c r="T89" s="2683">
        <v>1</v>
      </c>
      <c r="U89" s="2683"/>
      <c r="V89" s="2720"/>
    </row>
    <row r="90" spans="1:22" ht="17.25" customHeight="1" x14ac:dyDescent="0.2">
      <c r="A90" s="2489"/>
      <c r="B90" s="2492"/>
      <c r="C90" s="2485"/>
      <c r="D90" s="1625"/>
      <c r="E90" s="3421"/>
      <c r="F90" s="1585"/>
      <c r="G90" s="2488"/>
      <c r="H90" s="1562"/>
      <c r="I90" s="3664"/>
      <c r="J90" s="1549" t="s">
        <v>170</v>
      </c>
      <c r="K90" s="1707"/>
      <c r="L90" s="2076"/>
      <c r="M90" s="1884"/>
      <c r="N90" s="1375"/>
      <c r="O90" s="1375"/>
      <c r="P90" s="1341"/>
      <c r="Q90" s="1477">
        <v>21600</v>
      </c>
      <c r="R90" s="1358">
        <v>31600</v>
      </c>
      <c r="S90" s="3446" t="s">
        <v>341</v>
      </c>
      <c r="T90" s="2505"/>
      <c r="U90" s="2505">
        <v>50</v>
      </c>
      <c r="V90" s="1597">
        <v>100</v>
      </c>
    </row>
    <row r="91" spans="1:22" x14ac:dyDescent="0.2">
      <c r="A91" s="2636"/>
      <c r="B91" s="2626"/>
      <c r="C91" s="2638"/>
      <c r="D91" s="1844"/>
      <c r="E91" s="3422"/>
      <c r="F91" s="2506"/>
      <c r="G91" s="2483"/>
      <c r="H91" s="1595"/>
      <c r="I91" s="3665"/>
      <c r="J91" s="1552" t="s">
        <v>23</v>
      </c>
      <c r="K91" s="2000"/>
      <c r="L91" s="1550"/>
      <c r="M91" s="1352">
        <f>SUM(M89:M90)</f>
        <v>12200</v>
      </c>
      <c r="N91" s="1353"/>
      <c r="O91" s="1353"/>
      <c r="P91" s="1395">
        <f>SUM(P89:P90)</f>
        <v>12200</v>
      </c>
      <c r="Q91" s="1355">
        <f>SUM(Q89:Q90)</f>
        <v>21600</v>
      </c>
      <c r="R91" s="1355">
        <f>SUM(R89:R90)</f>
        <v>31600</v>
      </c>
      <c r="S91" s="3447"/>
      <c r="T91" s="1365"/>
      <c r="U91" s="1842"/>
      <c r="V91" s="1350"/>
    </row>
    <row r="92" spans="1:22" ht="15.75" customHeight="1" x14ac:dyDescent="0.2">
      <c r="A92" s="2636"/>
      <c r="B92" s="2626"/>
      <c r="C92" s="2637"/>
      <c r="D92" s="1624" t="s">
        <v>24</v>
      </c>
      <c r="E92" s="3420" t="s">
        <v>347</v>
      </c>
      <c r="F92" s="2562" t="s">
        <v>4</v>
      </c>
      <c r="G92" s="2484" t="s">
        <v>21</v>
      </c>
      <c r="H92" s="1594">
        <v>5</v>
      </c>
      <c r="I92" s="3663" t="s">
        <v>339</v>
      </c>
      <c r="J92" s="1963"/>
      <c r="K92" s="1650"/>
      <c r="L92" s="1775"/>
      <c r="M92" s="1891"/>
      <c r="N92" s="1612"/>
      <c r="O92" s="1612"/>
      <c r="P92" s="1346"/>
      <c r="Q92" s="2194"/>
      <c r="R92" s="1731"/>
      <c r="S92" s="3440"/>
      <c r="T92" s="1658"/>
      <c r="U92" s="1658"/>
      <c r="V92" s="1732"/>
    </row>
    <row r="93" spans="1:22" ht="15.75" customHeight="1" x14ac:dyDescent="0.2">
      <c r="A93" s="2489"/>
      <c r="B93" s="2492"/>
      <c r="C93" s="2485"/>
      <c r="D93" s="1625"/>
      <c r="E93" s="3421"/>
      <c r="F93" s="1591"/>
      <c r="G93" s="2488"/>
      <c r="H93" s="1562"/>
      <c r="I93" s="3664"/>
      <c r="J93" s="1964"/>
      <c r="K93" s="1269"/>
      <c r="L93" s="2077"/>
      <c r="M93" s="1517"/>
      <c r="N93" s="1613"/>
      <c r="O93" s="1613"/>
      <c r="P93" s="2193"/>
      <c r="Q93" s="2195"/>
      <c r="R93" s="1733"/>
      <c r="S93" s="3424"/>
      <c r="T93" s="1523"/>
      <c r="U93" s="1523"/>
      <c r="V93" s="1734"/>
    </row>
    <row r="94" spans="1:22" x14ac:dyDescent="0.2">
      <c r="A94" s="2489"/>
      <c r="B94" s="2492"/>
      <c r="C94" s="2482"/>
      <c r="D94" s="1625"/>
      <c r="E94" s="3421"/>
      <c r="F94" s="1591"/>
      <c r="G94" s="2488"/>
      <c r="H94" s="1562"/>
      <c r="I94" s="3664"/>
      <c r="J94" s="1596"/>
      <c r="K94" s="1669"/>
      <c r="L94" s="2078"/>
      <c r="M94" s="1242"/>
      <c r="N94" s="2698"/>
      <c r="O94" s="2698"/>
      <c r="P94" s="1257"/>
      <c r="Q94" s="1242"/>
      <c r="R94" s="1242"/>
      <c r="S94" s="1587"/>
      <c r="T94" s="1613"/>
      <c r="U94" s="2498"/>
      <c r="V94" s="1449"/>
    </row>
    <row r="95" spans="1:22" ht="26.25" customHeight="1" x14ac:dyDescent="0.2">
      <c r="A95" s="2489"/>
      <c r="B95" s="2492"/>
      <c r="C95" s="2485"/>
      <c r="D95" s="1625"/>
      <c r="E95" s="3421" t="s">
        <v>348</v>
      </c>
      <c r="F95" s="1592"/>
      <c r="G95" s="2488"/>
      <c r="H95" s="1562"/>
      <c r="I95" s="3664"/>
      <c r="J95" s="1477" t="s">
        <v>25</v>
      </c>
      <c r="K95" s="1641"/>
      <c r="L95" s="1767"/>
      <c r="M95" s="2585">
        <v>700</v>
      </c>
      <c r="N95" s="1375"/>
      <c r="O95" s="1341"/>
      <c r="P95" s="1767">
        <v>700</v>
      </c>
      <c r="Q95" s="2196">
        <v>84400</v>
      </c>
      <c r="R95" s="1735"/>
      <c r="S95" s="1736" t="s">
        <v>342</v>
      </c>
      <c r="T95" s="1711">
        <v>2</v>
      </c>
      <c r="U95" s="1711"/>
      <c r="V95" s="1732"/>
    </row>
    <row r="96" spans="1:22" ht="15.75" customHeight="1" x14ac:dyDescent="0.2">
      <c r="A96" s="2489"/>
      <c r="B96" s="2492"/>
      <c r="C96" s="2485"/>
      <c r="D96" s="1625"/>
      <c r="E96" s="3421"/>
      <c r="F96" s="1591"/>
      <c r="G96" s="2488"/>
      <c r="H96" s="1562"/>
      <c r="I96" s="3664"/>
      <c r="J96" s="1477" t="s">
        <v>6</v>
      </c>
      <c r="K96" s="1707"/>
      <c r="L96" s="2077"/>
      <c r="M96" s="2586">
        <v>3800</v>
      </c>
      <c r="N96" s="1365"/>
      <c r="O96" s="1349"/>
      <c r="P96" s="2587">
        <v>3800</v>
      </c>
      <c r="Q96" s="2508">
        <v>478200</v>
      </c>
      <c r="R96" s="1735"/>
      <c r="S96" s="2497" t="s">
        <v>475</v>
      </c>
      <c r="T96" s="1658"/>
      <c r="U96" s="1658">
        <v>100</v>
      </c>
      <c r="V96" s="1737"/>
    </row>
    <row r="97" spans="1:22" x14ac:dyDescent="0.2">
      <c r="A97" s="2489"/>
      <c r="B97" s="2492"/>
      <c r="C97" s="2482"/>
      <c r="D97" s="1625"/>
      <c r="E97" s="3421"/>
      <c r="F97" s="1591"/>
      <c r="G97" s="2488"/>
      <c r="H97" s="1562"/>
      <c r="I97" s="3664"/>
      <c r="J97" s="1555" t="s">
        <v>23</v>
      </c>
      <c r="K97" s="1743"/>
      <c r="L97" s="1785"/>
      <c r="M97" s="2005">
        <f>SUM(M95:M96)</f>
        <v>4500</v>
      </c>
      <c r="N97" s="1556"/>
      <c r="O97" s="1556"/>
      <c r="P97" s="2192">
        <f>SUM(P95:P96)</f>
        <v>4500</v>
      </c>
      <c r="Q97" s="1397">
        <f>SUM(Q95:Q96)</f>
        <v>562600</v>
      </c>
      <c r="R97" s="1397">
        <f>SUM(R95:R96)</f>
        <v>0</v>
      </c>
      <c r="S97" s="1587"/>
      <c r="T97" s="1613"/>
      <c r="U97" s="2498"/>
      <c r="V97" s="1449"/>
    </row>
    <row r="98" spans="1:22" ht="15.75" customHeight="1" x14ac:dyDescent="0.2">
      <c r="A98" s="2489"/>
      <c r="B98" s="2492"/>
      <c r="C98" s="2485"/>
      <c r="D98" s="1625"/>
      <c r="E98" s="3421" t="s">
        <v>349</v>
      </c>
      <c r="F98" s="1592"/>
      <c r="G98" s="2488"/>
      <c r="H98" s="1562"/>
      <c r="I98" s="3664"/>
      <c r="J98" s="1965" t="s">
        <v>22</v>
      </c>
      <c r="K98" s="1641"/>
      <c r="L98" s="1767"/>
      <c r="M98" s="1884"/>
      <c r="N98" s="1375"/>
      <c r="O98" s="1375"/>
      <c r="P98" s="1341"/>
      <c r="Q98" s="2197">
        <v>5000</v>
      </c>
      <c r="R98" s="1735">
        <v>122600</v>
      </c>
      <c r="S98" s="3699" t="s">
        <v>342</v>
      </c>
      <c r="T98" s="1658" t="s">
        <v>345</v>
      </c>
      <c r="U98" s="1658">
        <v>3</v>
      </c>
      <c r="V98" s="1732"/>
    </row>
    <row r="99" spans="1:22" ht="15.75" customHeight="1" x14ac:dyDescent="0.2">
      <c r="A99" s="2489"/>
      <c r="B99" s="2492"/>
      <c r="C99" s="2485"/>
      <c r="D99" s="1625"/>
      <c r="E99" s="3421"/>
      <c r="F99" s="1591"/>
      <c r="G99" s="2488"/>
      <c r="H99" s="1562"/>
      <c r="I99" s="3664"/>
      <c r="J99" s="1965" t="s">
        <v>25</v>
      </c>
      <c r="K99" s="1707"/>
      <c r="L99" s="2076"/>
      <c r="M99" s="1884"/>
      <c r="N99" s="1375"/>
      <c r="O99" s="1375"/>
      <c r="P99" s="1341"/>
      <c r="Q99" s="2197">
        <v>0</v>
      </c>
      <c r="R99" s="1735">
        <v>127600</v>
      </c>
      <c r="S99" s="3700"/>
      <c r="T99" s="1738"/>
      <c r="U99" s="1738"/>
      <c r="V99" s="1734"/>
    </row>
    <row r="100" spans="1:22" ht="15.75" customHeight="1" x14ac:dyDescent="0.2">
      <c r="A100" s="2489"/>
      <c r="B100" s="2492"/>
      <c r="C100" s="2485"/>
      <c r="D100" s="1625"/>
      <c r="E100" s="3421"/>
      <c r="F100" s="1591"/>
      <c r="G100" s="2488"/>
      <c r="H100" s="1562"/>
      <c r="I100" s="3664"/>
      <c r="J100" s="1964" t="s">
        <v>6</v>
      </c>
      <c r="K100" s="1269"/>
      <c r="L100" s="2077"/>
      <c r="M100" s="1360"/>
      <c r="N100" s="1613"/>
      <c r="O100" s="1613"/>
      <c r="P100" s="2555"/>
      <c r="Q100" s="2195">
        <v>0</v>
      </c>
      <c r="R100" s="1739">
        <v>595900</v>
      </c>
      <c r="S100" s="1740" t="s">
        <v>474</v>
      </c>
      <c r="T100" s="1658"/>
      <c r="U100" s="1658"/>
      <c r="V100" s="1732">
        <v>100</v>
      </c>
    </row>
    <row r="101" spans="1:22" x14ac:dyDescent="0.2">
      <c r="A101" s="2489"/>
      <c r="B101" s="2492"/>
      <c r="C101" s="2482"/>
      <c r="D101" s="2154"/>
      <c r="E101" s="3421"/>
      <c r="F101" s="1591"/>
      <c r="G101" s="2488"/>
      <c r="H101" s="1562"/>
      <c r="I101" s="3664"/>
      <c r="J101" s="1552" t="s">
        <v>23</v>
      </c>
      <c r="K101" s="2000"/>
      <c r="L101" s="1550"/>
      <c r="M101" s="1352"/>
      <c r="N101" s="1353"/>
      <c r="O101" s="1353"/>
      <c r="P101" s="1395"/>
      <c r="Q101" s="1355">
        <f>SUM(Q98:Q99)</f>
        <v>5000</v>
      </c>
      <c r="R101" s="1355">
        <f>SUM(R98:R100)</f>
        <v>846100</v>
      </c>
      <c r="S101" s="2132"/>
      <c r="T101" s="1365"/>
      <c r="U101" s="1842"/>
      <c r="V101" s="1409"/>
    </row>
    <row r="102" spans="1:22" ht="24" customHeight="1" x14ac:dyDescent="0.2">
      <c r="A102" s="2489"/>
      <c r="B102" s="2492"/>
      <c r="C102" s="2485"/>
      <c r="D102" s="1625"/>
      <c r="E102" s="3420" t="s">
        <v>490</v>
      </c>
      <c r="F102" s="1592"/>
      <c r="G102" s="2488"/>
      <c r="H102" s="1562"/>
      <c r="I102" s="3664"/>
      <c r="J102" s="1351" t="s">
        <v>22</v>
      </c>
      <c r="K102" s="1565"/>
      <c r="L102" s="2079"/>
      <c r="M102" s="1517"/>
      <c r="N102" s="1613"/>
      <c r="O102" s="1613"/>
      <c r="P102" s="2193"/>
      <c r="Q102" s="2508">
        <v>0</v>
      </c>
      <c r="R102" s="1239">
        <v>10000</v>
      </c>
      <c r="S102" s="3424" t="s">
        <v>342</v>
      </c>
      <c r="T102" s="1448"/>
      <c r="U102" s="1407"/>
      <c r="V102" s="1449">
        <v>5</v>
      </c>
    </row>
    <row r="103" spans="1:22" ht="17.25" customHeight="1" x14ac:dyDescent="0.2">
      <c r="A103" s="2489"/>
      <c r="B103" s="2492"/>
      <c r="C103" s="2482"/>
      <c r="D103" s="1625"/>
      <c r="E103" s="3421"/>
      <c r="F103" s="1591"/>
      <c r="G103" s="2488"/>
      <c r="H103" s="1562"/>
      <c r="I103" s="3665"/>
      <c r="J103" s="1555" t="s">
        <v>23</v>
      </c>
      <c r="K103" s="1743"/>
      <c r="L103" s="1785"/>
      <c r="M103" s="2005"/>
      <c r="N103" s="1556"/>
      <c r="O103" s="1556"/>
      <c r="P103" s="2192"/>
      <c r="Q103" s="1397">
        <f>SUM(Q102:Q102)</f>
        <v>0</v>
      </c>
      <c r="R103" s="1397">
        <f>SUM(R102:R102)</f>
        <v>10000</v>
      </c>
      <c r="S103" s="3424"/>
      <c r="T103" s="1613"/>
      <c r="U103" s="2498"/>
      <c r="V103" s="1449"/>
    </row>
    <row r="104" spans="1:22" ht="27.75" customHeight="1" x14ac:dyDescent="0.2">
      <c r="A104" s="2489"/>
      <c r="B104" s="2492"/>
      <c r="C104" s="1701"/>
      <c r="D104" s="2511" t="s">
        <v>26</v>
      </c>
      <c r="E104" s="3428" t="s">
        <v>444</v>
      </c>
      <c r="F104" s="1713" t="s">
        <v>4</v>
      </c>
      <c r="G104" s="2199" t="s">
        <v>21</v>
      </c>
      <c r="H104" s="2564">
        <v>5</v>
      </c>
      <c r="I104" s="3698" t="s">
        <v>351</v>
      </c>
      <c r="J104" s="2501" t="s">
        <v>22</v>
      </c>
      <c r="K104" s="1709"/>
      <c r="L104" s="2163"/>
      <c r="M104" s="1526">
        <v>30000</v>
      </c>
      <c r="N104" s="1414"/>
      <c r="O104" s="1414"/>
      <c r="P104" s="1952">
        <v>30000</v>
      </c>
      <c r="Q104" s="1522">
        <v>50000</v>
      </c>
      <c r="R104" s="1522"/>
      <c r="S104" s="2237" t="s">
        <v>491</v>
      </c>
      <c r="T104" s="1607">
        <v>1</v>
      </c>
      <c r="U104" s="1658"/>
      <c r="V104" s="1732"/>
    </row>
    <row r="105" spans="1:22" ht="16.5" customHeight="1" x14ac:dyDescent="0.2">
      <c r="A105" s="2489"/>
      <c r="B105" s="2492"/>
      <c r="C105" s="131"/>
      <c r="D105" s="1934"/>
      <c r="E105" s="3439"/>
      <c r="F105" s="1695"/>
      <c r="G105" s="2103"/>
      <c r="H105" s="1507"/>
      <c r="I105" s="3682"/>
      <c r="J105" s="1555" t="s">
        <v>23</v>
      </c>
      <c r="K105" s="2005"/>
      <c r="L105" s="1785"/>
      <c r="M105" s="1528">
        <f>M104</f>
        <v>30000</v>
      </c>
      <c r="N105" s="1785"/>
      <c r="O105" s="1785"/>
      <c r="P105" s="1785">
        <f>P104</f>
        <v>30000</v>
      </c>
      <c r="Q105" s="1397">
        <f>SUM(Q104)</f>
        <v>50000</v>
      </c>
      <c r="R105" s="1398"/>
      <c r="S105" s="1710" t="s">
        <v>448</v>
      </c>
      <c r="T105" s="1711"/>
      <c r="U105" s="2238">
        <v>1</v>
      </c>
      <c r="V105" s="1712"/>
    </row>
    <row r="106" spans="1:22" ht="32.25" customHeight="1" x14ac:dyDescent="0.2">
      <c r="A106" s="2489"/>
      <c r="B106" s="2492"/>
      <c r="C106" s="2485"/>
      <c r="D106" s="1624" t="s">
        <v>29</v>
      </c>
      <c r="E106" s="3420" t="s">
        <v>492</v>
      </c>
      <c r="F106" s="2562" t="s">
        <v>4</v>
      </c>
      <c r="G106" s="2484" t="s">
        <v>21</v>
      </c>
      <c r="H106" s="1594">
        <v>5</v>
      </c>
      <c r="I106" s="3663" t="s">
        <v>339</v>
      </c>
      <c r="J106" s="1343" t="s">
        <v>170</v>
      </c>
      <c r="K106" s="1650"/>
      <c r="L106" s="1775"/>
      <c r="M106" s="1891"/>
      <c r="N106" s="1612"/>
      <c r="O106" s="1612"/>
      <c r="P106" s="1346"/>
      <c r="Q106" s="2196">
        <v>0</v>
      </c>
      <c r="R106" s="1521">
        <v>31600</v>
      </c>
      <c r="S106" s="1736" t="s">
        <v>343</v>
      </c>
      <c r="T106" s="1664"/>
      <c r="U106" s="1566"/>
      <c r="V106" s="1551">
        <v>1</v>
      </c>
    </row>
    <row r="107" spans="1:22" ht="17.25" customHeight="1" x14ac:dyDescent="0.2">
      <c r="A107" s="2489"/>
      <c r="B107" s="2492"/>
      <c r="C107" s="2485"/>
      <c r="D107" s="1625"/>
      <c r="E107" s="3421"/>
      <c r="F107" s="1585"/>
      <c r="G107" s="2488"/>
      <c r="H107" s="1562"/>
      <c r="I107" s="3664"/>
      <c r="J107" s="1549" t="s">
        <v>22</v>
      </c>
      <c r="K107" s="1707"/>
      <c r="L107" s="2076"/>
      <c r="M107" s="1884"/>
      <c r="N107" s="1375"/>
      <c r="O107" s="1375"/>
      <c r="P107" s="1341"/>
      <c r="Q107" s="2508">
        <v>2200</v>
      </c>
      <c r="R107" s="1565">
        <v>0</v>
      </c>
      <c r="S107" s="3440" t="s">
        <v>344</v>
      </c>
      <c r="T107" s="1741"/>
      <c r="U107" s="1566"/>
      <c r="V107" s="1551">
        <v>1</v>
      </c>
    </row>
    <row r="108" spans="1:22" x14ac:dyDescent="0.2">
      <c r="A108" s="2489"/>
      <c r="B108" s="2492"/>
      <c r="C108" s="2482"/>
      <c r="D108" s="1844"/>
      <c r="E108" s="3422"/>
      <c r="F108" s="2506"/>
      <c r="G108" s="2483"/>
      <c r="H108" s="1595"/>
      <c r="I108" s="3665"/>
      <c r="J108" s="1552" t="s">
        <v>23</v>
      </c>
      <c r="K108" s="2000"/>
      <c r="L108" s="1550"/>
      <c r="M108" s="1352"/>
      <c r="N108" s="1353"/>
      <c r="O108" s="1353"/>
      <c r="P108" s="1395"/>
      <c r="Q108" s="1355">
        <f>SUM(Q106:Q107)</f>
        <v>2200</v>
      </c>
      <c r="R108" s="1355">
        <f>SUM(R106:R107)</f>
        <v>31600</v>
      </c>
      <c r="S108" s="3441"/>
      <c r="T108" s="1365"/>
      <c r="U108" s="1842"/>
      <c r="V108" s="1409"/>
    </row>
    <row r="109" spans="1:22" ht="21.75" customHeight="1" x14ac:dyDescent="0.2">
      <c r="A109" s="2489"/>
      <c r="B109" s="2492"/>
      <c r="C109" s="2485"/>
      <c r="D109" s="2153" t="s">
        <v>30</v>
      </c>
      <c r="E109" s="3421" t="s">
        <v>346</v>
      </c>
      <c r="F109" s="2563" t="s">
        <v>4</v>
      </c>
      <c r="G109" s="2488" t="s">
        <v>21</v>
      </c>
      <c r="H109" s="1562">
        <v>5</v>
      </c>
      <c r="I109" s="3664" t="s">
        <v>339</v>
      </c>
      <c r="J109" s="1966" t="s">
        <v>22</v>
      </c>
      <c r="K109" s="1565"/>
      <c r="L109" s="2079"/>
      <c r="M109" s="1517"/>
      <c r="N109" s="1613"/>
      <c r="O109" s="1613"/>
      <c r="P109" s="2193"/>
      <c r="Q109" s="2198">
        <v>45000</v>
      </c>
      <c r="R109" s="1843"/>
      <c r="S109" s="3424" t="s">
        <v>457</v>
      </c>
      <c r="T109" s="1525" t="s">
        <v>345</v>
      </c>
      <c r="U109" s="1525">
        <v>100</v>
      </c>
      <c r="V109" s="1682"/>
    </row>
    <row r="110" spans="1:22" ht="21.75" customHeight="1" x14ac:dyDescent="0.2">
      <c r="A110" s="2489"/>
      <c r="B110" s="2492"/>
      <c r="C110" s="2485"/>
      <c r="D110" s="2154"/>
      <c r="E110" s="3421"/>
      <c r="F110" s="1585"/>
      <c r="G110" s="2488"/>
      <c r="H110" s="1562"/>
      <c r="I110" s="3664"/>
      <c r="J110" s="1965" t="s">
        <v>6</v>
      </c>
      <c r="K110" s="1707"/>
      <c r="L110" s="2076"/>
      <c r="M110" s="1884"/>
      <c r="N110" s="1375"/>
      <c r="O110" s="1375"/>
      <c r="P110" s="1341"/>
      <c r="Q110" s="2195">
        <v>300000</v>
      </c>
      <c r="R110" s="1735"/>
      <c r="S110" s="3424"/>
      <c r="T110" s="1523"/>
      <c r="U110" s="1523"/>
      <c r="V110" s="1734"/>
    </row>
    <row r="111" spans="1:22" x14ac:dyDescent="0.2">
      <c r="A111" s="2489"/>
      <c r="B111" s="2492"/>
      <c r="C111" s="2485"/>
      <c r="D111" s="2155"/>
      <c r="E111" s="3422"/>
      <c r="F111" s="1585"/>
      <c r="G111" s="2488"/>
      <c r="H111" s="1562"/>
      <c r="I111" s="3664"/>
      <c r="J111" s="1555" t="s">
        <v>23</v>
      </c>
      <c r="K111" s="1743"/>
      <c r="L111" s="1785"/>
      <c r="M111" s="2005"/>
      <c r="N111" s="1556"/>
      <c r="O111" s="1556"/>
      <c r="P111" s="2192"/>
      <c r="Q111" s="1397">
        <f>SUM(Q109:Q110)</f>
        <v>345000</v>
      </c>
      <c r="R111" s="1397">
        <f>SUM(R109:R110)</f>
        <v>0</v>
      </c>
      <c r="S111" s="1587"/>
      <c r="T111" s="1613"/>
      <c r="U111" s="2498"/>
      <c r="V111" s="1449"/>
    </row>
    <row r="112" spans="1:22" s="1546" customFormat="1" ht="15" customHeight="1" x14ac:dyDescent="0.2">
      <c r="A112" s="2489"/>
      <c r="B112" s="2492"/>
      <c r="C112" s="2494"/>
      <c r="D112" s="1626" t="s">
        <v>55</v>
      </c>
      <c r="E112" s="3420" t="s">
        <v>458</v>
      </c>
      <c r="F112" s="2507" t="s">
        <v>4</v>
      </c>
      <c r="G112" s="2484" t="s">
        <v>21</v>
      </c>
      <c r="H112" s="1594">
        <v>5</v>
      </c>
      <c r="I112" s="3787" t="s">
        <v>339</v>
      </c>
      <c r="J112" s="1358" t="s">
        <v>22</v>
      </c>
      <c r="K112" s="1794">
        <v>266856</v>
      </c>
      <c r="L112" s="2002">
        <v>266856</v>
      </c>
      <c r="M112" s="1884"/>
      <c r="N112" s="1341"/>
      <c r="O112" s="1341"/>
      <c r="P112" s="1341"/>
      <c r="Q112" s="1343"/>
      <c r="R112" s="1344"/>
      <c r="S112" s="3446"/>
      <c r="T112" s="1544"/>
      <c r="U112" s="1393"/>
      <c r="V112" s="1545"/>
    </row>
    <row r="113" spans="1:22" s="1546" customFormat="1" ht="15" customHeight="1" x14ac:dyDescent="0.2">
      <c r="A113" s="2489"/>
      <c r="B113" s="2492"/>
      <c r="C113" s="2494"/>
      <c r="D113" s="1627"/>
      <c r="E113" s="3421"/>
      <c r="F113" s="1585"/>
      <c r="G113" s="2488"/>
      <c r="H113" s="1562"/>
      <c r="I113" s="3788"/>
      <c r="J113" s="1358" t="s">
        <v>53</v>
      </c>
      <c r="K113" s="1794"/>
      <c r="L113" s="2002">
        <v>158937</v>
      </c>
      <c r="M113" s="1891"/>
      <c r="N113" s="1346"/>
      <c r="O113" s="1346"/>
      <c r="P113" s="1346"/>
      <c r="Q113" s="1343"/>
      <c r="R113" s="1344"/>
      <c r="S113" s="3785"/>
      <c r="T113" s="2503"/>
      <c r="U113" s="1529"/>
      <c r="V113" s="1264"/>
    </row>
    <row r="114" spans="1:22" s="1546" customFormat="1" ht="15.75" customHeight="1" x14ac:dyDescent="0.2">
      <c r="A114" s="2489"/>
      <c r="B114" s="2492"/>
      <c r="C114" s="2494"/>
      <c r="D114" s="1627"/>
      <c r="E114" s="3421"/>
      <c r="F114" s="1585"/>
      <c r="G114" s="2488"/>
      <c r="H114" s="1562"/>
      <c r="I114" s="3788"/>
      <c r="J114" s="1231" t="s">
        <v>6</v>
      </c>
      <c r="K114" s="1230">
        <v>319422</v>
      </c>
      <c r="L114" s="2006">
        <v>319422</v>
      </c>
      <c r="M114" s="1891"/>
      <c r="N114" s="1346"/>
      <c r="O114" s="1346"/>
      <c r="P114" s="1346"/>
      <c r="Q114" s="1343"/>
      <c r="R114" s="1344"/>
      <c r="S114" s="3785"/>
      <c r="T114" s="2503"/>
      <c r="U114" s="1529"/>
      <c r="V114" s="1264"/>
    </row>
    <row r="115" spans="1:22" s="1546" customFormat="1" x14ac:dyDescent="0.2">
      <c r="A115" s="2489"/>
      <c r="B115" s="2492"/>
      <c r="C115" s="2494"/>
      <c r="D115" s="1628"/>
      <c r="E115" s="3422"/>
      <c r="F115" s="2506"/>
      <c r="G115" s="2483"/>
      <c r="H115" s="1595"/>
      <c r="I115" s="3789"/>
      <c r="J115" s="1355" t="s">
        <v>23</v>
      </c>
      <c r="K115" s="1352">
        <f>SUM(K112:K114)</f>
        <v>586278</v>
      </c>
      <c r="L115" s="1550">
        <f>SUM(L112:L114)</f>
        <v>745215</v>
      </c>
      <c r="M115" s="1352"/>
      <c r="N115" s="1353"/>
      <c r="O115" s="1353"/>
      <c r="P115" s="1395"/>
      <c r="Q115" s="1355"/>
      <c r="R115" s="1354"/>
      <c r="S115" s="1547"/>
      <c r="T115" s="2504"/>
      <c r="U115" s="1548"/>
      <c r="V115" s="1226"/>
    </row>
    <row r="116" spans="1:22" ht="19.5" customHeight="1" x14ac:dyDescent="0.2">
      <c r="A116" s="2830"/>
      <c r="B116" s="2833"/>
      <c r="C116" s="2827"/>
      <c r="D116" s="1624" t="s">
        <v>232</v>
      </c>
      <c r="E116" s="3420" t="s">
        <v>206</v>
      </c>
      <c r="F116" s="1553" t="s">
        <v>4</v>
      </c>
      <c r="G116" s="2825" t="s">
        <v>21</v>
      </c>
      <c r="H116" s="1594">
        <v>5</v>
      </c>
      <c r="I116" s="3663" t="s">
        <v>339</v>
      </c>
      <c r="J116" s="1343" t="s">
        <v>53</v>
      </c>
      <c r="K116" s="1650">
        <v>7183</v>
      </c>
      <c r="L116" s="1775">
        <v>7183</v>
      </c>
      <c r="M116" s="1891"/>
      <c r="N116" s="1612"/>
      <c r="O116" s="1612"/>
      <c r="P116" s="1346"/>
      <c r="Q116" s="1231"/>
      <c r="R116" s="1344"/>
      <c r="S116" s="3777"/>
      <c r="T116" s="1612"/>
      <c r="U116" s="1371"/>
      <c r="V116" s="1551"/>
    </row>
    <row r="117" spans="1:22" ht="19.5" customHeight="1" x14ac:dyDescent="0.2">
      <c r="A117" s="2830"/>
      <c r="B117" s="2833"/>
      <c r="C117" s="2827"/>
      <c r="D117" s="1625"/>
      <c r="E117" s="3421"/>
      <c r="F117" s="2849" t="s">
        <v>58</v>
      </c>
      <c r="G117" s="2828"/>
      <c r="H117" s="1562"/>
      <c r="I117" s="3664"/>
      <c r="J117" s="1549" t="s">
        <v>22</v>
      </c>
      <c r="K117" s="1707"/>
      <c r="L117" s="2076">
        <v>2259</v>
      </c>
      <c r="M117" s="1884"/>
      <c r="N117" s="1375"/>
      <c r="O117" s="1375"/>
      <c r="P117" s="1341"/>
      <c r="Q117" s="1358"/>
      <c r="R117" s="1359"/>
      <c r="S117" s="3778"/>
      <c r="T117" s="1554"/>
      <c r="U117" s="2838"/>
      <c r="V117" s="1449"/>
    </row>
    <row r="118" spans="1:22" x14ac:dyDescent="0.2">
      <c r="A118" s="2513"/>
      <c r="B118" s="2845"/>
      <c r="C118" s="2728"/>
      <c r="D118" s="1844"/>
      <c r="E118" s="3422"/>
      <c r="F118" s="2848"/>
      <c r="G118" s="2824"/>
      <c r="H118" s="1595"/>
      <c r="I118" s="3665"/>
      <c r="J118" s="1552" t="s">
        <v>23</v>
      </c>
      <c r="K118" s="2000">
        <f>SUM(K116:K117)</f>
        <v>7183</v>
      </c>
      <c r="L118" s="1550">
        <f>SUM(L116:L117)</f>
        <v>9442</v>
      </c>
      <c r="M118" s="1352"/>
      <c r="N118" s="1353"/>
      <c r="O118" s="1353"/>
      <c r="P118" s="1395"/>
      <c r="Q118" s="1355"/>
      <c r="R118" s="1354"/>
      <c r="S118" s="2729"/>
      <c r="T118" s="1365"/>
      <c r="U118" s="1842"/>
      <c r="V118" s="1409"/>
    </row>
    <row r="119" spans="1:22" ht="19.5" customHeight="1" x14ac:dyDescent="0.2">
      <c r="A119" s="2489"/>
      <c r="B119" s="2492"/>
      <c r="C119" s="2485"/>
      <c r="D119" s="1625" t="s">
        <v>21</v>
      </c>
      <c r="E119" s="3421" t="s">
        <v>418</v>
      </c>
      <c r="F119" s="2892" t="s">
        <v>4</v>
      </c>
      <c r="G119" s="2828" t="s">
        <v>21</v>
      </c>
      <c r="H119" s="1562">
        <v>5</v>
      </c>
      <c r="I119" s="3664"/>
      <c r="J119" s="1351" t="s">
        <v>22</v>
      </c>
      <c r="K119" s="1565"/>
      <c r="L119" s="2079">
        <v>3633</v>
      </c>
      <c r="M119" s="1517"/>
      <c r="N119" s="1613"/>
      <c r="O119" s="1613"/>
      <c r="P119" s="2193"/>
      <c r="Q119" s="1330"/>
      <c r="R119" s="1331"/>
      <c r="S119" s="1784"/>
      <c r="T119" s="1613"/>
      <c r="U119" s="2838"/>
      <c r="V119" s="1449"/>
    </row>
    <row r="120" spans="1:22" x14ac:dyDescent="0.2">
      <c r="A120" s="2489"/>
      <c r="B120" s="2492"/>
      <c r="C120" s="2482"/>
      <c r="D120" s="1625"/>
      <c r="E120" s="3421"/>
      <c r="F120" s="2507" t="s">
        <v>58</v>
      </c>
      <c r="G120" s="2488"/>
      <c r="H120" s="1562"/>
      <c r="I120" s="3664"/>
      <c r="J120" s="1555" t="s">
        <v>23</v>
      </c>
      <c r="K120" s="1743">
        <f>SUM(K119:K119)</f>
        <v>0</v>
      </c>
      <c r="L120" s="1785">
        <f>SUM(L119:L119)</f>
        <v>3633</v>
      </c>
      <c r="M120" s="2005"/>
      <c r="N120" s="1556"/>
      <c r="O120" s="1556"/>
      <c r="P120" s="2192"/>
      <c r="Q120" s="1397"/>
      <c r="R120" s="1398"/>
      <c r="S120" s="1557"/>
      <c r="T120" s="1613"/>
      <c r="U120" s="2498"/>
      <c r="V120" s="1449"/>
    </row>
    <row r="121" spans="1:22" ht="19.5" customHeight="1" x14ac:dyDescent="0.2">
      <c r="A121" s="2763"/>
      <c r="B121" s="2753"/>
      <c r="C121" s="2766"/>
      <c r="D121" s="1624" t="s">
        <v>9</v>
      </c>
      <c r="E121" s="3420" t="s">
        <v>419</v>
      </c>
      <c r="F121" s="1553" t="s">
        <v>4</v>
      </c>
      <c r="G121" s="2758" t="s">
        <v>21</v>
      </c>
      <c r="H121" s="1594">
        <v>5</v>
      </c>
      <c r="I121" s="3663"/>
      <c r="J121" s="1343" t="s">
        <v>22</v>
      </c>
      <c r="K121" s="1650"/>
      <c r="L121" s="1775">
        <v>8592</v>
      </c>
      <c r="M121" s="1891"/>
      <c r="N121" s="1612"/>
      <c r="O121" s="1612"/>
      <c r="P121" s="1346"/>
      <c r="Q121" s="1231"/>
      <c r="R121" s="1344"/>
      <c r="S121" s="2797"/>
      <c r="T121" s="1612"/>
      <c r="U121" s="1371"/>
      <c r="V121" s="1551"/>
    </row>
    <row r="122" spans="1:22" x14ac:dyDescent="0.2">
      <c r="A122" s="2830"/>
      <c r="B122" s="2833"/>
      <c r="C122" s="2823"/>
      <c r="D122" s="1844"/>
      <c r="E122" s="3422"/>
      <c r="F122" s="2773" t="s">
        <v>58</v>
      </c>
      <c r="G122" s="2771"/>
      <c r="H122" s="1595"/>
      <c r="I122" s="3665"/>
      <c r="J122" s="1552" t="s">
        <v>23</v>
      </c>
      <c r="K122" s="2000">
        <f>SUM(K121:K121)</f>
        <v>0</v>
      </c>
      <c r="L122" s="1550">
        <f>SUM(L121:L121)</f>
        <v>8592</v>
      </c>
      <c r="M122" s="1352"/>
      <c r="N122" s="1353"/>
      <c r="O122" s="1353"/>
      <c r="P122" s="1395"/>
      <c r="Q122" s="1355"/>
      <c r="R122" s="1354"/>
      <c r="S122" s="2729"/>
      <c r="T122" s="1365"/>
      <c r="U122" s="1842"/>
      <c r="V122" s="1409"/>
    </row>
    <row r="123" spans="1:22" ht="29.25" customHeight="1" x14ac:dyDescent="0.2">
      <c r="A123" s="2541"/>
      <c r="B123" s="2542"/>
      <c r="C123" s="2543"/>
      <c r="D123" s="2686" t="s">
        <v>402</v>
      </c>
      <c r="E123" s="3507" t="s">
        <v>476</v>
      </c>
      <c r="F123" s="1662" t="s">
        <v>4</v>
      </c>
      <c r="G123" s="2021" t="s">
        <v>21</v>
      </c>
      <c r="H123" s="2020">
        <v>5</v>
      </c>
      <c r="I123" s="3681" t="s">
        <v>449</v>
      </c>
      <c r="J123" s="1406" t="s">
        <v>22</v>
      </c>
      <c r="K123" s="1669"/>
      <c r="L123" s="2078"/>
      <c r="M123" s="1517"/>
      <c r="N123" s="2679"/>
      <c r="O123" s="1613"/>
      <c r="P123" s="2679"/>
      <c r="Q123" s="1239">
        <v>20000</v>
      </c>
      <c r="R123" s="1265">
        <v>120000</v>
      </c>
      <c r="S123" s="2677" t="s">
        <v>337</v>
      </c>
      <c r="T123" s="1525"/>
      <c r="U123" s="1525"/>
      <c r="V123" s="1872">
        <v>1</v>
      </c>
    </row>
    <row r="124" spans="1:22" x14ac:dyDescent="0.2">
      <c r="A124" s="2540"/>
      <c r="B124" s="2542"/>
      <c r="C124" s="2537"/>
      <c r="D124" s="1625"/>
      <c r="E124" s="3510"/>
      <c r="F124" s="2547"/>
      <c r="G124" s="2539"/>
      <c r="H124" s="1562"/>
      <c r="I124" s="3682"/>
      <c r="J124" s="1555" t="s">
        <v>23</v>
      </c>
      <c r="K124" s="1743">
        <f>SUM(K123:K123)</f>
        <v>0</v>
      </c>
      <c r="L124" s="1785">
        <f>SUM(L123:L123)</f>
        <v>0</v>
      </c>
      <c r="M124" s="2005"/>
      <c r="N124" s="1556"/>
      <c r="O124" s="1556"/>
      <c r="P124" s="2192"/>
      <c r="Q124" s="1397">
        <f>Q123</f>
        <v>20000</v>
      </c>
      <c r="R124" s="1397">
        <f>R123</f>
        <v>120000</v>
      </c>
      <c r="S124" s="1557"/>
      <c r="T124" s="1613"/>
      <c r="U124" s="2544"/>
      <c r="V124" s="1449"/>
    </row>
    <row r="125" spans="1:22" ht="12.75" customHeight="1" thickBot="1" x14ac:dyDescent="0.25">
      <c r="A125" s="2490"/>
      <c r="B125" s="2493"/>
      <c r="C125" s="2481"/>
      <c r="D125" s="2514"/>
      <c r="E125" s="3780" t="s">
        <v>218</v>
      </c>
      <c r="F125" s="3695"/>
      <c r="G125" s="3695"/>
      <c r="H125" s="3695"/>
      <c r="I125" s="3781"/>
      <c r="J125" s="3696"/>
      <c r="K125" s="1671">
        <f>K118+K115+K111+K108+K103+K101+K97+K91</f>
        <v>593461</v>
      </c>
      <c r="L125" s="1997">
        <f>L118+L115+L111+L108+L103+L101+L97+L91+L120+L122</f>
        <v>766882</v>
      </c>
      <c r="M125" s="2218">
        <f>M118+M115+M111+M108+M103+M101+M97+M91+M105</f>
        <v>46700</v>
      </c>
      <c r="N125" s="2567">
        <f>N118+N115+N111+N108+N103+N101+N97+N91</f>
        <v>0</v>
      </c>
      <c r="O125" s="2108">
        <f>O118+O115+O111+O108+O103+O101+O97+O91</f>
        <v>0</v>
      </c>
      <c r="P125" s="2588">
        <f>P118+P115+P111+P108+P103+P101+P97+P91+P105</f>
        <v>46700</v>
      </c>
      <c r="Q125" s="1672">
        <f>Q118+Q115+Q111+Q108+Q103+Q101+Q97+Q91+Q105+Q124</f>
        <v>1006400</v>
      </c>
      <c r="R125" s="1672">
        <f>R118+R115+R111+R108+R103+R101+R97+R91+R105+R124</f>
        <v>1039300</v>
      </c>
      <c r="S125" s="2515"/>
      <c r="T125" s="2516"/>
      <c r="U125" s="2517"/>
      <c r="V125" s="2518"/>
    </row>
    <row r="126" spans="1:22" ht="27" customHeight="1" x14ac:dyDescent="0.2">
      <c r="A126" s="2033" t="s">
        <v>24</v>
      </c>
      <c r="B126" s="2039" t="s">
        <v>20</v>
      </c>
      <c r="C126" s="2026" t="s">
        <v>24</v>
      </c>
      <c r="D126" s="1623"/>
      <c r="E126" s="1560" t="s">
        <v>477</v>
      </c>
      <c r="F126" s="1836" t="s">
        <v>58</v>
      </c>
      <c r="G126" s="1848" t="s">
        <v>21</v>
      </c>
      <c r="H126" s="1542">
        <v>5</v>
      </c>
      <c r="I126" s="1813" t="s">
        <v>157</v>
      </c>
      <c r="J126" s="1921"/>
      <c r="K126" s="1837"/>
      <c r="L126" s="2001"/>
      <c r="M126" s="1513"/>
      <c r="N126" s="1297"/>
      <c r="O126" s="1297"/>
      <c r="P126" s="2121"/>
      <c r="Q126" s="1299"/>
      <c r="R126" s="1338"/>
      <c r="S126" s="1543"/>
      <c r="T126" s="1833"/>
      <c r="U126" s="1307"/>
      <c r="V126" s="1598"/>
    </row>
    <row r="127" spans="1:22" ht="27.75" customHeight="1" x14ac:dyDescent="0.2">
      <c r="A127" s="2034"/>
      <c r="B127" s="2040"/>
      <c r="C127" s="2042"/>
      <c r="D127" s="1633" t="s">
        <v>20</v>
      </c>
      <c r="E127" s="3509" t="s">
        <v>514</v>
      </c>
      <c r="F127" s="1662" t="s">
        <v>4</v>
      </c>
      <c r="H127" s="1872"/>
      <c r="I127" s="1808"/>
      <c r="J127" s="1356" t="s">
        <v>22</v>
      </c>
      <c r="K127" s="1709">
        <v>8690</v>
      </c>
      <c r="L127" s="1952">
        <v>7190</v>
      </c>
      <c r="M127" s="1891">
        <v>2200</v>
      </c>
      <c r="N127" s="1612"/>
      <c r="O127" s="1612"/>
      <c r="P127" s="1346">
        <f>M127</f>
        <v>2200</v>
      </c>
      <c r="Q127" s="1651">
        <v>35800</v>
      </c>
      <c r="R127" s="1665">
        <v>552500</v>
      </c>
      <c r="S127" s="1646" t="s">
        <v>493</v>
      </c>
      <c r="T127" s="1664">
        <v>1</v>
      </c>
      <c r="U127" s="1664">
        <v>4</v>
      </c>
      <c r="V127" s="1551">
        <v>5</v>
      </c>
    </row>
    <row r="128" spans="1:22" ht="53.25" customHeight="1" x14ac:dyDescent="0.2">
      <c r="A128" s="2034"/>
      <c r="B128" s="2040"/>
      <c r="C128" s="2042"/>
      <c r="D128" s="1627"/>
      <c r="E128" s="3510"/>
      <c r="F128" s="1662"/>
      <c r="H128" s="1872"/>
      <c r="I128" s="1808"/>
      <c r="J128" s="1363"/>
      <c r="K128" s="1269"/>
      <c r="L128" s="2077"/>
      <c r="M128" s="1517"/>
      <c r="N128" s="1613"/>
      <c r="O128" s="1613"/>
      <c r="P128" s="2193"/>
      <c r="Q128" s="1239"/>
      <c r="R128" s="1265"/>
      <c r="S128" s="1820" t="s">
        <v>494</v>
      </c>
      <c r="T128" s="1448"/>
      <c r="U128" s="1448">
        <v>1</v>
      </c>
      <c r="V128" s="1449">
        <v>4</v>
      </c>
    </row>
    <row r="129" spans="1:27" ht="14.25" customHeight="1" x14ac:dyDescent="0.2">
      <c r="A129" s="2037"/>
      <c r="B129" s="2040"/>
      <c r="C129" s="3228"/>
      <c r="D129" s="3767" t="s">
        <v>24</v>
      </c>
      <c r="E129" s="3509" t="s">
        <v>162</v>
      </c>
      <c r="F129" s="1667" t="s">
        <v>4</v>
      </c>
      <c r="G129" s="3779" t="s">
        <v>21</v>
      </c>
      <c r="H129" s="2173">
        <v>5</v>
      </c>
      <c r="I129" s="3698" t="s">
        <v>449</v>
      </c>
      <c r="J129" s="1370" t="s">
        <v>22</v>
      </c>
      <c r="K129" s="1668"/>
      <c r="L129" s="1952">
        <v>23474</v>
      </c>
      <c r="M129" s="2589">
        <v>31600</v>
      </c>
      <c r="N129" s="2590">
        <v>3100</v>
      </c>
      <c r="O129" s="2590">
        <v>2400</v>
      </c>
      <c r="P129" s="2591">
        <v>28500</v>
      </c>
      <c r="Q129" s="1651"/>
      <c r="R129" s="1665"/>
      <c r="S129" s="3440" t="s">
        <v>350</v>
      </c>
      <c r="T129" s="1658">
        <v>100</v>
      </c>
      <c r="U129" s="1658"/>
      <c r="V129" s="1532"/>
    </row>
    <row r="130" spans="1:27" ht="14.25" customHeight="1" x14ac:dyDescent="0.2">
      <c r="A130" s="2037"/>
      <c r="B130" s="2040"/>
      <c r="C130" s="3228"/>
      <c r="D130" s="3768"/>
      <c r="E130" s="3507"/>
      <c r="F130" s="1662"/>
      <c r="G130" s="3543"/>
      <c r="H130" s="2051"/>
      <c r="I130" s="3681"/>
      <c r="J130" s="2123" t="s">
        <v>5</v>
      </c>
      <c r="K130" s="2022" t="s">
        <v>410</v>
      </c>
      <c r="L130" s="2023"/>
      <c r="M130" s="2118">
        <v>1500</v>
      </c>
      <c r="N130" s="2119"/>
      <c r="O130" s="2120"/>
      <c r="P130" s="2122">
        <v>1500</v>
      </c>
      <c r="Q130" s="1521"/>
      <c r="R130" s="1531"/>
      <c r="S130" s="3424"/>
      <c r="T130" s="1525"/>
      <c r="U130" s="1874"/>
      <c r="V130" s="1872"/>
    </row>
    <row r="131" spans="1:27" ht="27" customHeight="1" x14ac:dyDescent="0.2">
      <c r="A131" s="2673"/>
      <c r="B131" s="2675"/>
      <c r="C131" s="2682"/>
      <c r="D131" s="1934"/>
      <c r="E131" s="2180"/>
      <c r="F131" s="1845"/>
      <c r="G131" s="2177"/>
      <c r="H131" s="2203"/>
      <c r="I131" s="3682"/>
      <c r="J131" s="2169" t="s">
        <v>22</v>
      </c>
      <c r="K131" s="2202"/>
      <c r="L131" s="2076"/>
      <c r="M131" s="2118">
        <v>37500</v>
      </c>
      <c r="N131" s="2119"/>
      <c r="O131" s="2120"/>
      <c r="P131" s="2122">
        <v>37500</v>
      </c>
      <c r="Q131" s="1521"/>
      <c r="R131" s="1531"/>
      <c r="S131" s="2171"/>
      <c r="T131" s="1525"/>
      <c r="U131" s="2178"/>
      <c r="V131" s="1872"/>
    </row>
    <row r="132" spans="1:27" ht="15.75" customHeight="1" x14ac:dyDescent="0.2">
      <c r="A132" s="2673"/>
      <c r="B132" s="2675"/>
      <c r="C132" s="2676"/>
      <c r="D132" s="2659" t="s">
        <v>26</v>
      </c>
      <c r="E132" s="3545" t="s">
        <v>478</v>
      </c>
      <c r="F132" s="1695" t="s">
        <v>4</v>
      </c>
      <c r="G132" s="1906"/>
      <c r="H132" s="2502">
        <v>5</v>
      </c>
      <c r="I132" s="3786" t="s">
        <v>351</v>
      </c>
      <c r="J132" s="2512" t="s">
        <v>420</v>
      </c>
      <c r="K132" s="1269"/>
      <c r="L132" s="2163">
        <v>223048</v>
      </c>
      <c r="M132" s="2130">
        <v>1838000</v>
      </c>
      <c r="N132" s="1236"/>
      <c r="O132" s="1236"/>
      <c r="P132" s="2147">
        <v>1838000</v>
      </c>
      <c r="Q132" s="2525"/>
      <c r="R132" s="2526"/>
      <c r="S132" s="2496" t="s">
        <v>354</v>
      </c>
      <c r="T132" s="1448">
        <v>45</v>
      </c>
      <c r="U132" s="1448">
        <v>100</v>
      </c>
      <c r="V132" s="1872"/>
    </row>
    <row r="133" spans="1:27" ht="15.75" customHeight="1" x14ac:dyDescent="0.2">
      <c r="A133" s="2673"/>
      <c r="B133" s="2675"/>
      <c r="C133" s="2676"/>
      <c r="D133" s="2659"/>
      <c r="E133" s="3545"/>
      <c r="F133" s="1983"/>
      <c r="G133" s="1988"/>
      <c r="H133" s="2090"/>
      <c r="I133" s="3786"/>
      <c r="J133" s="2536" t="s">
        <v>22</v>
      </c>
      <c r="K133" s="1709"/>
      <c r="L133" s="2163"/>
      <c r="M133" s="1526">
        <v>600000</v>
      </c>
      <c r="N133" s="1414"/>
      <c r="O133" s="1952"/>
      <c r="P133" s="2163">
        <v>600000</v>
      </c>
      <c r="Q133" s="2004">
        <v>946900</v>
      </c>
      <c r="R133" s="1696"/>
      <c r="S133" s="1987"/>
      <c r="T133" s="1448"/>
      <c r="U133" s="1407"/>
      <c r="V133" s="1872"/>
    </row>
    <row r="134" spans="1:27" ht="15.75" customHeight="1" x14ac:dyDescent="0.2">
      <c r="A134" s="2673"/>
      <c r="B134" s="2675"/>
      <c r="C134" s="2676"/>
      <c r="D134" s="2659"/>
      <c r="E134" s="3545"/>
      <c r="F134" s="1695"/>
      <c r="G134" s="1976"/>
      <c r="H134" s="2090"/>
      <c r="I134" s="3786"/>
      <c r="J134" s="2545" t="s">
        <v>7</v>
      </c>
      <c r="K134" s="1709">
        <v>257936</v>
      </c>
      <c r="L134" s="2163">
        <v>135842</v>
      </c>
      <c r="M134" s="1526"/>
      <c r="N134" s="1414"/>
      <c r="O134" s="1952"/>
      <c r="P134" s="2163"/>
      <c r="Q134" s="2004"/>
      <c r="R134" s="1696"/>
      <c r="S134" s="1974"/>
      <c r="T134" s="1448"/>
      <c r="U134" s="1407"/>
      <c r="V134" s="1872"/>
    </row>
    <row r="135" spans="1:27" ht="30" customHeight="1" x14ac:dyDescent="0.2">
      <c r="A135" s="2037"/>
      <c r="B135" s="2040"/>
      <c r="C135" s="2042"/>
      <c r="D135" s="2661" t="s">
        <v>28</v>
      </c>
      <c r="E135" s="2689" t="s">
        <v>336</v>
      </c>
      <c r="F135" s="1667" t="s">
        <v>4</v>
      </c>
      <c r="G135" s="2559" t="s">
        <v>21</v>
      </c>
      <c r="H135" s="2560">
        <v>5</v>
      </c>
      <c r="I135" s="2667" t="s">
        <v>157</v>
      </c>
      <c r="J135" s="1370" t="s">
        <v>170</v>
      </c>
      <c r="K135" s="1668"/>
      <c r="L135" s="2152"/>
      <c r="M135" s="1891"/>
      <c r="N135" s="1371"/>
      <c r="O135" s="1612"/>
      <c r="P135" s="1371"/>
      <c r="Q135" s="1651">
        <v>125000</v>
      </c>
      <c r="R135" s="1665">
        <v>1300000</v>
      </c>
      <c r="S135" s="2648" t="s">
        <v>337</v>
      </c>
      <c r="T135" s="1658"/>
      <c r="U135" s="1658">
        <v>1</v>
      </c>
      <c r="V135" s="1532"/>
    </row>
    <row r="136" spans="1:27" ht="15" customHeight="1" thickBot="1" x14ac:dyDescent="0.25">
      <c r="A136" s="2035"/>
      <c r="B136" s="2041"/>
      <c r="C136" s="2043"/>
      <c r="D136" s="3782" t="s">
        <v>218</v>
      </c>
      <c r="E136" s="3783"/>
      <c r="F136" s="3783"/>
      <c r="G136" s="3783"/>
      <c r="H136" s="3783"/>
      <c r="I136" s="3783"/>
      <c r="J136" s="3784"/>
      <c r="K136" s="1670">
        <f t="shared" ref="K136:R136" si="21">SUM(K127:K135)</f>
        <v>266626</v>
      </c>
      <c r="L136" s="1997">
        <f t="shared" si="21"/>
        <v>389554</v>
      </c>
      <c r="M136" s="2218">
        <f>SUM(M127:M135)</f>
        <v>2510800</v>
      </c>
      <c r="N136" s="2567">
        <f t="shared" si="21"/>
        <v>3100</v>
      </c>
      <c r="O136" s="2567">
        <f t="shared" si="21"/>
        <v>2400</v>
      </c>
      <c r="P136" s="2108">
        <f>SUM(P127:P135)</f>
        <v>2507700</v>
      </c>
      <c r="Q136" s="1672">
        <f>SUM(Q127:Q135)</f>
        <v>1107700</v>
      </c>
      <c r="R136" s="1671">
        <f t="shared" si="21"/>
        <v>1852500</v>
      </c>
      <c r="S136" s="1810" t="s">
        <v>338</v>
      </c>
      <c r="T136" s="1609"/>
      <c r="U136" s="1673"/>
      <c r="V136" s="1599">
        <v>50</v>
      </c>
    </row>
    <row r="137" spans="1:27" ht="27" customHeight="1" x14ac:dyDescent="0.2">
      <c r="A137" s="2034" t="s">
        <v>24</v>
      </c>
      <c r="B137" s="2040" t="s">
        <v>20</v>
      </c>
      <c r="C137" s="2042" t="s">
        <v>26</v>
      </c>
      <c r="D137" s="1674"/>
      <c r="E137" s="1675" t="s">
        <v>46</v>
      </c>
      <c r="F137" s="1676"/>
      <c r="G137" s="1902"/>
      <c r="H137" s="1825"/>
      <c r="I137" s="1807"/>
      <c r="J137" s="1924"/>
      <c r="K137" s="1677"/>
      <c r="L137" s="2077"/>
      <c r="M137" s="1517"/>
      <c r="N137" s="2592"/>
      <c r="O137" s="1613"/>
      <c r="P137" s="1369"/>
      <c r="Q137" s="1446"/>
      <c r="R137" s="1514"/>
      <c r="S137" s="1515" t="s">
        <v>447</v>
      </c>
      <c r="T137" s="1608">
        <v>1</v>
      </c>
      <c r="U137" s="1678"/>
      <c r="V137" s="1598"/>
    </row>
    <row r="138" spans="1:27" ht="16.5" customHeight="1" x14ac:dyDescent="0.2">
      <c r="A138" s="2034"/>
      <c r="B138" s="2040"/>
      <c r="C138" s="2042"/>
      <c r="D138" s="1627" t="s">
        <v>20</v>
      </c>
      <c r="E138" s="3539" t="s">
        <v>446</v>
      </c>
      <c r="F138" s="1662" t="s">
        <v>4</v>
      </c>
      <c r="G138" s="1849" t="s">
        <v>21</v>
      </c>
      <c r="H138" s="1679">
        <v>5</v>
      </c>
      <c r="I138" s="3681" t="s">
        <v>157</v>
      </c>
      <c r="J138" s="1924" t="s">
        <v>22</v>
      </c>
      <c r="K138" s="1677"/>
      <c r="L138" s="2077"/>
      <c r="M138" s="2130">
        <v>4000</v>
      </c>
      <c r="N138" s="2580">
        <v>4000</v>
      </c>
      <c r="O138" s="1613"/>
      <c r="P138" s="1369"/>
      <c r="Q138" s="1680">
        <v>62100</v>
      </c>
      <c r="R138" s="1649">
        <v>50700</v>
      </c>
      <c r="S138" s="1681" t="s">
        <v>353</v>
      </c>
      <c r="T138" s="1525">
        <v>1</v>
      </c>
      <c r="U138" s="1525"/>
      <c r="V138" s="1682"/>
      <c r="X138" s="3442"/>
      <c r="Y138" s="3541"/>
      <c r="Z138" s="3541"/>
      <c r="AA138" s="3541"/>
    </row>
    <row r="139" spans="1:27" ht="28.5" customHeight="1" x14ac:dyDescent="0.2">
      <c r="A139" s="2037"/>
      <c r="B139" s="2040"/>
      <c r="C139" s="1683"/>
      <c r="D139" s="1627"/>
      <c r="E139" s="3539"/>
      <c r="F139" s="1662"/>
      <c r="G139" s="1849"/>
      <c r="H139" s="1679"/>
      <c r="I139" s="3681"/>
      <c r="J139" s="1477" t="s">
        <v>170</v>
      </c>
      <c r="K139" s="1684"/>
      <c r="L139" s="2076"/>
      <c r="M139" s="1884"/>
      <c r="N139" s="1387"/>
      <c r="O139" s="1375"/>
      <c r="P139" s="1342"/>
      <c r="Q139" s="1686">
        <v>35700</v>
      </c>
      <c r="R139" s="1565">
        <v>652800</v>
      </c>
      <c r="S139" s="1681" t="s">
        <v>343</v>
      </c>
      <c r="T139" s="1525"/>
      <c r="U139" s="1809">
        <v>1</v>
      </c>
      <c r="V139" s="1682"/>
      <c r="X139" s="3442"/>
      <c r="Y139" s="3541"/>
      <c r="Z139" s="3541"/>
      <c r="AA139" s="3541"/>
    </row>
    <row r="140" spans="1:27" ht="26.25" thickBot="1" x14ac:dyDescent="0.25">
      <c r="A140" s="2037"/>
      <c r="B140" s="2040"/>
      <c r="C140" s="1683"/>
      <c r="D140" s="1627"/>
      <c r="E140" s="3478"/>
      <c r="F140" s="1662"/>
      <c r="G140" s="1903"/>
      <c r="H140" s="1687"/>
      <c r="I140" s="3682"/>
      <c r="J140" s="1434" t="s">
        <v>23</v>
      </c>
      <c r="K140" s="1319"/>
      <c r="L140" s="1310"/>
      <c r="M140" s="1418">
        <f>SUM(M138:M139)</f>
        <v>4000</v>
      </c>
      <c r="N140" s="1280">
        <f>SUM(N138:N139)</f>
        <v>4000</v>
      </c>
      <c r="O140" s="1279"/>
      <c r="P140" s="1312">
        <f>SUM(P138:P139)</f>
        <v>0</v>
      </c>
      <c r="Q140" s="1287">
        <f>SUM(Q138:Q139)</f>
        <v>97800</v>
      </c>
      <c r="R140" s="1286">
        <f>SUM(R138:R139)</f>
        <v>703500</v>
      </c>
      <c r="S140" s="1688" t="s">
        <v>352</v>
      </c>
      <c r="T140" s="1609"/>
      <c r="U140" s="1673"/>
      <c r="V140" s="1599">
        <v>30</v>
      </c>
      <c r="X140" s="1811"/>
      <c r="Y140" s="1809"/>
      <c r="Z140" s="1809"/>
      <c r="AA140" s="1809"/>
    </row>
    <row r="141" spans="1:27" ht="15.75" customHeight="1" x14ac:dyDescent="0.2">
      <c r="A141" s="2034"/>
      <c r="B141" s="2040"/>
      <c r="C141" s="2042"/>
      <c r="D141" s="1626" t="s">
        <v>24</v>
      </c>
      <c r="E141" s="3521" t="s">
        <v>495</v>
      </c>
      <c r="F141" s="1667" t="s">
        <v>4</v>
      </c>
      <c r="G141" s="1904" t="s">
        <v>21</v>
      </c>
      <c r="H141" s="1689">
        <v>5</v>
      </c>
      <c r="I141" s="3698" t="s">
        <v>157</v>
      </c>
      <c r="J141" s="1924" t="s">
        <v>22</v>
      </c>
      <c r="K141" s="1677"/>
      <c r="L141" s="2077"/>
      <c r="M141" s="1517">
        <v>2200</v>
      </c>
      <c r="N141" s="2592"/>
      <c r="O141" s="1613"/>
      <c r="P141" s="1369">
        <f>M141</f>
        <v>2200</v>
      </c>
      <c r="Q141" s="1568"/>
      <c r="R141" s="1533">
        <v>50000</v>
      </c>
      <c r="S141" s="1690" t="s">
        <v>353</v>
      </c>
      <c r="T141" s="1691">
        <v>1</v>
      </c>
      <c r="U141" s="1691"/>
      <c r="V141" s="1692"/>
      <c r="X141" s="1604"/>
      <c r="Y141" s="1809"/>
      <c r="Z141" s="1809"/>
      <c r="AA141" s="1809"/>
    </row>
    <row r="142" spans="1:27" ht="29.25" customHeight="1" x14ac:dyDescent="0.2">
      <c r="A142" s="2037"/>
      <c r="B142" s="2040"/>
      <c r="C142" s="1683"/>
      <c r="D142" s="1627"/>
      <c r="E142" s="3539"/>
      <c r="F142" s="1662"/>
      <c r="G142" s="1849"/>
      <c r="H142" s="1679"/>
      <c r="I142" s="3681"/>
      <c r="J142" s="1477" t="s">
        <v>170</v>
      </c>
      <c r="K142" s="1684"/>
      <c r="L142" s="2076"/>
      <c r="M142" s="1884"/>
      <c r="N142" s="1387"/>
      <c r="O142" s="1375"/>
      <c r="P142" s="1342"/>
      <c r="Q142" s="1719">
        <v>31600</v>
      </c>
      <c r="R142" s="1565">
        <v>508400</v>
      </c>
      <c r="S142" s="1681" t="s">
        <v>343</v>
      </c>
      <c r="T142" s="1525"/>
      <c r="U142" s="1809">
        <v>1</v>
      </c>
      <c r="V142" s="1682"/>
      <c r="X142" s="1604"/>
      <c r="Y142" s="1809"/>
      <c r="Z142" s="1809"/>
      <c r="AA142" s="1809"/>
    </row>
    <row r="143" spans="1:27" ht="26.25" thickBot="1" x14ac:dyDescent="0.25">
      <c r="A143" s="2037"/>
      <c r="B143" s="2040"/>
      <c r="C143" s="1683"/>
      <c r="D143" s="1627"/>
      <c r="E143" s="3478"/>
      <c r="F143" s="1662"/>
      <c r="G143" s="1903"/>
      <c r="H143" s="1687"/>
      <c r="I143" s="3682"/>
      <c r="J143" s="1434" t="s">
        <v>23</v>
      </c>
      <c r="K143" s="1319"/>
      <c r="L143" s="1310"/>
      <c r="M143" s="1418">
        <f>SUM(M141:M142)</f>
        <v>2200</v>
      </c>
      <c r="N143" s="1280"/>
      <c r="O143" s="1279"/>
      <c r="P143" s="1312">
        <f>SUM(P141:P142)</f>
        <v>2200</v>
      </c>
      <c r="Q143" s="1287">
        <f>SUM(Q141:Q142)</f>
        <v>31600</v>
      </c>
      <c r="R143" s="1287">
        <f>SUM(R141:R142)</f>
        <v>558400</v>
      </c>
      <c r="S143" s="1688" t="s">
        <v>352</v>
      </c>
      <c r="T143" s="1609"/>
      <c r="U143" s="1673"/>
      <c r="V143" s="1599">
        <v>100</v>
      </c>
      <c r="X143" s="1604"/>
      <c r="Y143" s="1809"/>
      <c r="Z143" s="1809"/>
      <c r="AA143" s="1809"/>
    </row>
    <row r="144" spans="1:27" ht="30.75" customHeight="1" x14ac:dyDescent="0.2">
      <c r="A144" s="2830"/>
      <c r="B144" s="2833"/>
      <c r="C144" s="2834"/>
      <c r="D144" s="1626" t="s">
        <v>26</v>
      </c>
      <c r="E144" s="3521" t="s">
        <v>400</v>
      </c>
      <c r="F144" s="1667" t="s">
        <v>4</v>
      </c>
      <c r="G144" s="1904" t="s">
        <v>21</v>
      </c>
      <c r="H144" s="1689">
        <v>5</v>
      </c>
      <c r="I144" s="3698" t="s">
        <v>157</v>
      </c>
      <c r="J144" s="2852" t="s">
        <v>22</v>
      </c>
      <c r="K144" s="1677"/>
      <c r="L144" s="2077"/>
      <c r="M144" s="1517"/>
      <c r="N144" s="2592"/>
      <c r="O144" s="1613"/>
      <c r="P144" s="1369"/>
      <c r="Q144" s="1568"/>
      <c r="R144" s="1283">
        <v>2200</v>
      </c>
      <c r="S144" s="3542" t="s">
        <v>353</v>
      </c>
      <c r="T144" s="1691"/>
      <c r="U144" s="1691"/>
      <c r="V144" s="1692">
        <v>1</v>
      </c>
      <c r="X144" s="1811"/>
      <c r="Y144" s="1809"/>
      <c r="Z144" s="1809"/>
      <c r="AA144" s="1809"/>
    </row>
    <row r="145" spans="1:22" x14ac:dyDescent="0.2">
      <c r="A145" s="2844"/>
      <c r="B145" s="2845"/>
      <c r="C145" s="2893"/>
      <c r="D145" s="1628"/>
      <c r="E145" s="3478"/>
      <c r="F145" s="1845"/>
      <c r="G145" s="2842"/>
      <c r="H145" s="1687"/>
      <c r="I145" s="3682"/>
      <c r="J145" s="1552" t="s">
        <v>23</v>
      </c>
      <c r="K145" s="2731"/>
      <c r="L145" s="1550"/>
      <c r="M145" s="1396"/>
      <c r="N145" s="2129"/>
      <c r="O145" s="1353"/>
      <c r="P145" s="2732"/>
      <c r="Q145" s="2733"/>
      <c r="R145" s="2733">
        <f>SUM(R144)</f>
        <v>2200</v>
      </c>
      <c r="S145" s="3441"/>
      <c r="T145" s="1225"/>
      <c r="U145" s="1278"/>
      <c r="V145" s="1510"/>
    </row>
    <row r="146" spans="1:22" ht="20.25" customHeight="1" x14ac:dyDescent="0.2">
      <c r="A146" s="2763"/>
      <c r="B146" s="2753"/>
      <c r="C146" s="2756"/>
      <c r="D146" s="1627" t="s">
        <v>28</v>
      </c>
      <c r="E146" s="3539" t="s">
        <v>70</v>
      </c>
      <c r="F146" s="1693" t="s">
        <v>4</v>
      </c>
      <c r="G146" s="2754" t="s">
        <v>21</v>
      </c>
      <c r="H146" s="1694">
        <v>5</v>
      </c>
      <c r="I146" s="3681" t="s">
        <v>157</v>
      </c>
      <c r="J146" s="2853" t="s">
        <v>22</v>
      </c>
      <c r="K146" s="1649">
        <v>164475</v>
      </c>
      <c r="L146" s="2587">
        <v>164651</v>
      </c>
      <c r="M146" s="1753"/>
      <c r="N146" s="1887"/>
      <c r="O146" s="1890"/>
      <c r="P146" s="2164"/>
      <c r="Q146" s="1459"/>
      <c r="R146" s="1459"/>
      <c r="S146" s="3512"/>
      <c r="T146" s="1611"/>
      <c r="U146" s="1283"/>
      <c r="V146" s="1872"/>
    </row>
    <row r="147" spans="1:22" s="1546" customFormat="1" ht="20.25" customHeight="1" x14ac:dyDescent="0.2">
      <c r="A147" s="2763"/>
      <c r="B147" s="2753"/>
      <c r="C147" s="2756"/>
      <c r="D147" s="1627"/>
      <c r="E147" s="3539"/>
      <c r="F147" s="1695"/>
      <c r="G147" s="2754"/>
      <c r="H147" s="1679"/>
      <c r="I147" s="3681"/>
      <c r="J147" s="1967" t="s">
        <v>53</v>
      </c>
      <c r="K147" s="1565">
        <v>1680</v>
      </c>
      <c r="L147" s="2079">
        <v>1680</v>
      </c>
      <c r="M147" s="1884"/>
      <c r="N147" s="1387"/>
      <c r="O147" s="1375"/>
      <c r="P147" s="1342"/>
      <c r="Q147" s="1722"/>
      <c r="R147" s="1644"/>
      <c r="S147" s="3512"/>
      <c r="T147" s="1611"/>
      <c r="U147" s="1283"/>
      <c r="V147" s="1872"/>
    </row>
    <row r="148" spans="1:22" s="1546" customFormat="1" ht="18" customHeight="1" x14ac:dyDescent="0.2">
      <c r="A148" s="2763"/>
      <c r="B148" s="2753"/>
      <c r="C148" s="2756"/>
      <c r="D148" s="1627"/>
      <c r="E148" s="3539"/>
      <c r="F148" s="1695"/>
      <c r="G148" s="2754"/>
      <c r="H148" s="1679"/>
      <c r="I148" s="3681"/>
      <c r="J148" s="2796" t="s">
        <v>6</v>
      </c>
      <c r="K148" s="1641">
        <v>7443</v>
      </c>
      <c r="L148" s="1775">
        <v>7443</v>
      </c>
      <c r="M148" s="1891"/>
      <c r="N148" s="1389"/>
      <c r="O148" s="1612"/>
      <c r="P148" s="1347"/>
      <c r="Q148" s="1531"/>
      <c r="R148" s="1697"/>
      <c r="S148" s="3512"/>
      <c r="T148" s="1611"/>
      <c r="U148" s="1283"/>
      <c r="V148" s="1872"/>
    </row>
    <row r="149" spans="1:22" s="1546" customFormat="1" x14ac:dyDescent="0.2">
      <c r="A149" s="2830"/>
      <c r="B149" s="2833"/>
      <c r="C149" s="2846"/>
      <c r="D149" s="1628"/>
      <c r="E149" s="1698"/>
      <c r="F149" s="1699"/>
      <c r="G149" s="2786"/>
      <c r="H149" s="1687"/>
      <c r="I149" s="3682"/>
      <c r="J149" s="1552" t="s">
        <v>23</v>
      </c>
      <c r="K149" s="2731">
        <f>SUM(K146:K148)</f>
        <v>173598</v>
      </c>
      <c r="L149" s="1550">
        <f>SUM(L146:L148)</f>
        <v>173774</v>
      </c>
      <c r="M149" s="1396"/>
      <c r="N149" s="2129"/>
      <c r="O149" s="1353"/>
      <c r="P149" s="2732"/>
      <c r="Q149" s="2733"/>
      <c r="R149" s="2731"/>
      <c r="S149" s="3538"/>
      <c r="T149" s="1225"/>
      <c r="U149" s="1278"/>
      <c r="V149" s="1510"/>
    </row>
    <row r="150" spans="1:22" ht="25.5" customHeight="1" x14ac:dyDescent="0.2">
      <c r="A150" s="2034"/>
      <c r="B150" s="2040"/>
      <c r="C150" s="2042"/>
      <c r="D150" s="1627" t="s">
        <v>29</v>
      </c>
      <c r="E150" s="3539" t="s">
        <v>234</v>
      </c>
      <c r="F150" s="1662" t="s">
        <v>4</v>
      </c>
      <c r="G150" s="1849" t="s">
        <v>21</v>
      </c>
      <c r="H150" s="1679">
        <v>5</v>
      </c>
      <c r="I150" s="3681" t="s">
        <v>351</v>
      </c>
      <c r="J150" s="2685" t="s">
        <v>22</v>
      </c>
      <c r="K150" s="2730">
        <v>249623</v>
      </c>
      <c r="L150" s="2079">
        <v>323288</v>
      </c>
      <c r="M150" s="1517"/>
      <c r="N150" s="2592"/>
      <c r="O150" s="1613"/>
      <c r="P150" s="1369"/>
      <c r="Q150" s="1568"/>
      <c r="R150" s="1283"/>
      <c r="S150" s="2837"/>
      <c r="T150" s="1658"/>
      <c r="U150" s="1796"/>
      <c r="V150" s="1797"/>
    </row>
    <row r="151" spans="1:22" ht="18" customHeight="1" x14ac:dyDescent="0.2">
      <c r="A151" s="2034"/>
      <c r="B151" s="2040"/>
      <c r="C151" s="2042"/>
      <c r="D151" s="1627"/>
      <c r="E151" s="3539"/>
      <c r="F151" s="1662"/>
      <c r="G151" s="1849"/>
      <c r="H151" s="1679"/>
      <c r="I151" s="3681"/>
      <c r="J151" s="1555" t="s">
        <v>23</v>
      </c>
      <c r="K151" s="1379">
        <f>K150</f>
        <v>249623</v>
      </c>
      <c r="L151" s="1785">
        <f>SUM(L150)</f>
        <v>323288</v>
      </c>
      <c r="M151" s="2005"/>
      <c r="N151" s="1556"/>
      <c r="O151" s="2192"/>
      <c r="P151" s="2081"/>
      <c r="Q151" s="1390"/>
      <c r="R151" s="1378"/>
      <c r="S151" s="1681"/>
      <c r="T151" s="1864"/>
      <c r="U151" s="1283"/>
      <c r="V151" s="1872"/>
    </row>
    <row r="152" spans="1:22" ht="13.5" thickBot="1" x14ac:dyDescent="0.25">
      <c r="A152" s="2038"/>
      <c r="B152" s="2041"/>
      <c r="C152" s="2043"/>
      <c r="D152" s="1635"/>
      <c r="E152" s="1558"/>
      <c r="F152" s="1558"/>
      <c r="G152" s="1905"/>
      <c r="H152" s="1614"/>
      <c r="I152" s="3690" t="s">
        <v>218</v>
      </c>
      <c r="J152" s="3691"/>
      <c r="K152" s="1614">
        <f>K151+K149+K145+K143+K140</f>
        <v>423221</v>
      </c>
      <c r="L152" s="2080">
        <f>L151+L149+L145+L143+L140</f>
        <v>497062</v>
      </c>
      <c r="M152" s="2593">
        <f>M151+M149+M145+M143+M140</f>
        <v>6200</v>
      </c>
      <c r="N152" s="2594"/>
      <c r="O152" s="2595"/>
      <c r="P152" s="2080">
        <f t="shared" ref="P152" si="22">P151+P149+P145+P143+P140</f>
        <v>2200</v>
      </c>
      <c r="Q152" s="1614">
        <f>Q151+Q149+Q145+Q143+Q140</f>
        <v>129400</v>
      </c>
      <c r="R152" s="1564">
        <f>R151+R149+R145+R143+R140</f>
        <v>1264100</v>
      </c>
      <c r="S152" s="3678"/>
      <c r="T152" s="3679"/>
      <c r="U152" s="3679"/>
      <c r="V152" s="3680"/>
    </row>
    <row r="153" spans="1:22" ht="43.5" customHeight="1" x14ac:dyDescent="0.2">
      <c r="A153" s="2671" t="s">
        <v>24</v>
      </c>
      <c r="B153" s="2674" t="s">
        <v>20</v>
      </c>
      <c r="C153" s="1700" t="s">
        <v>28</v>
      </c>
      <c r="D153" s="2520"/>
      <c r="E153" s="2521" t="s">
        <v>433</v>
      </c>
      <c r="F153" s="1861"/>
      <c r="G153" s="1902" t="s">
        <v>21</v>
      </c>
      <c r="H153" s="2106">
        <v>2</v>
      </c>
      <c r="I153" s="2684" t="s">
        <v>160</v>
      </c>
      <c r="J153" s="2201"/>
      <c r="K153" s="1706"/>
      <c r="L153" s="1276"/>
      <c r="M153" s="2311"/>
      <c r="N153" s="2596"/>
      <c r="O153" s="2597"/>
      <c r="P153" s="2597"/>
      <c r="Q153" s="1277"/>
      <c r="R153" s="1277"/>
      <c r="S153" s="2522"/>
      <c r="T153" s="1275"/>
      <c r="U153" s="2523"/>
      <c r="V153" s="2524"/>
    </row>
    <row r="154" spans="1:22" ht="41.25" customHeight="1" x14ac:dyDescent="0.2">
      <c r="A154" s="2034"/>
      <c r="B154" s="2040"/>
      <c r="C154" s="1701"/>
      <c r="D154" s="1703" t="s">
        <v>20</v>
      </c>
      <c r="E154" s="2519" t="s">
        <v>437</v>
      </c>
      <c r="F154" s="2091"/>
      <c r="G154" s="2103"/>
      <c r="H154" s="1508"/>
      <c r="I154" s="1574"/>
      <c r="J154" s="2512" t="s">
        <v>22</v>
      </c>
      <c r="K154" s="1452">
        <v>28962</v>
      </c>
      <c r="L154" s="2164">
        <v>28962</v>
      </c>
      <c r="M154" s="2130">
        <f>+N154+P154</f>
        <v>20100</v>
      </c>
      <c r="N154" s="1236">
        <v>2700</v>
      </c>
      <c r="O154" s="1890"/>
      <c r="P154" s="2598">
        <v>17400</v>
      </c>
      <c r="Q154" s="1284"/>
      <c r="R154" s="1239"/>
      <c r="S154" s="1820" t="s">
        <v>497</v>
      </c>
      <c r="T154" s="1611">
        <v>3</v>
      </c>
      <c r="U154" s="1283"/>
      <c r="V154" s="1816"/>
    </row>
    <row r="155" spans="1:22" ht="42.75" customHeight="1" x14ac:dyDescent="0.2">
      <c r="A155" s="2034"/>
      <c r="B155" s="2040"/>
      <c r="C155" s="1701"/>
      <c r="D155" s="1917" t="s">
        <v>24</v>
      </c>
      <c r="E155" s="2098" t="s">
        <v>438</v>
      </c>
      <c r="F155" s="2091"/>
      <c r="G155" s="2103"/>
      <c r="H155" s="1508"/>
      <c r="I155" s="1574"/>
      <c r="J155" s="1923" t="s">
        <v>22</v>
      </c>
      <c r="K155" s="1709"/>
      <c r="L155" s="2047">
        <v>30000</v>
      </c>
      <c r="M155" s="2578">
        <v>14900</v>
      </c>
      <c r="N155" s="1384">
        <v>14900</v>
      </c>
      <c r="O155" s="1414"/>
      <c r="P155" s="1952"/>
      <c r="Q155" s="1651"/>
      <c r="R155" s="1651"/>
      <c r="S155" s="1646" t="s">
        <v>380</v>
      </c>
      <c r="T155" s="1643">
        <v>9</v>
      </c>
      <c r="U155" s="1644"/>
      <c r="V155" s="1532"/>
    </row>
    <row r="156" spans="1:22" ht="42.75" customHeight="1" x14ac:dyDescent="0.2">
      <c r="A156" s="2034"/>
      <c r="B156" s="2040"/>
      <c r="C156" s="1701"/>
      <c r="D156" s="1932" t="s">
        <v>26</v>
      </c>
      <c r="E156" s="1933" t="s">
        <v>496</v>
      </c>
      <c r="F156" s="2091"/>
      <c r="G156" s="2103"/>
      <c r="H156" s="1508"/>
      <c r="I156" s="1574"/>
      <c r="J156" s="1477" t="s">
        <v>22</v>
      </c>
      <c r="K156" s="1707"/>
      <c r="L156" s="1385">
        <v>6030</v>
      </c>
      <c r="M156" s="1652">
        <f>+N156+P156</f>
        <v>33300</v>
      </c>
      <c r="N156" s="1384">
        <v>33300</v>
      </c>
      <c r="O156" s="1642"/>
      <c r="P156" s="1767"/>
      <c r="Q156" s="1521"/>
      <c r="R156" s="1521"/>
      <c r="S156" s="1653" t="s">
        <v>381</v>
      </c>
      <c r="T156" s="1708">
        <v>9</v>
      </c>
      <c r="U156" s="1697"/>
      <c r="V156" s="1879"/>
    </row>
    <row r="157" spans="1:22" ht="19.5" customHeight="1" x14ac:dyDescent="0.2">
      <c r="A157" s="2134"/>
      <c r="B157" s="2136"/>
      <c r="C157" s="1701"/>
      <c r="D157" s="1917" t="s">
        <v>28</v>
      </c>
      <c r="E157" s="3515" t="s">
        <v>439</v>
      </c>
      <c r="F157" s="2139"/>
      <c r="G157" s="2103"/>
      <c r="H157" s="1508"/>
      <c r="I157" s="1574"/>
      <c r="J157" s="2141" t="s">
        <v>22</v>
      </c>
      <c r="K157" s="1709"/>
      <c r="L157" s="2146"/>
      <c r="M157" s="2599">
        <f>+N157+P157</f>
        <v>19900</v>
      </c>
      <c r="N157" s="1544">
        <v>19900</v>
      </c>
      <c r="O157" s="1544"/>
      <c r="P157" s="1775"/>
      <c r="Q157" s="1651"/>
      <c r="R157" s="1651"/>
      <c r="S157" s="2144" t="s">
        <v>498</v>
      </c>
      <c r="T157" s="1643">
        <v>2</v>
      </c>
      <c r="U157" s="1644"/>
      <c r="V157" s="1532"/>
    </row>
    <row r="158" spans="1:22" ht="21" customHeight="1" x14ac:dyDescent="0.2">
      <c r="A158" s="2156"/>
      <c r="B158" s="2157"/>
      <c r="C158" s="1701"/>
      <c r="D158" s="1703"/>
      <c r="E158" s="3534"/>
      <c r="F158" s="2546"/>
      <c r="G158" s="2103"/>
      <c r="H158" s="1508"/>
      <c r="I158" s="1574"/>
      <c r="J158" s="2143"/>
      <c r="K158" s="1452"/>
      <c r="L158" s="2148"/>
      <c r="M158" s="2600"/>
      <c r="N158" s="2584"/>
      <c r="O158" s="2583"/>
      <c r="P158" s="2587"/>
      <c r="Q158" s="1284"/>
      <c r="R158" s="1284"/>
      <c r="S158" s="2107" t="s">
        <v>382</v>
      </c>
      <c r="T158" s="1225">
        <v>336</v>
      </c>
      <c r="U158" s="1278"/>
      <c r="V158" s="1510"/>
    </row>
    <row r="159" spans="1:22" ht="41.25" customHeight="1" x14ac:dyDescent="0.2">
      <c r="A159" s="2134"/>
      <c r="B159" s="2136"/>
      <c r="C159" s="1701"/>
      <c r="D159" s="1981" t="s">
        <v>29</v>
      </c>
      <c r="E159" s="3536" t="s">
        <v>499</v>
      </c>
      <c r="F159" s="2207"/>
      <c r="G159" s="2103"/>
      <c r="H159" s="1508"/>
      <c r="I159" s="1574"/>
      <c r="J159" s="2206" t="s">
        <v>22</v>
      </c>
      <c r="K159" s="1709"/>
      <c r="L159" s="2163"/>
      <c r="M159" s="2599">
        <f>+N159+P159</f>
        <v>5000</v>
      </c>
      <c r="N159" s="1544"/>
      <c r="O159" s="1544"/>
      <c r="P159" s="1775">
        <v>5000</v>
      </c>
      <c r="Q159" s="1651"/>
      <c r="R159" s="1651"/>
      <c r="S159" s="1710" t="s">
        <v>500</v>
      </c>
      <c r="T159" s="1711">
        <v>1</v>
      </c>
      <c r="U159" s="1711"/>
      <c r="V159" s="1712"/>
    </row>
    <row r="160" spans="1:22" ht="45" customHeight="1" x14ac:dyDescent="0.2">
      <c r="A160" s="2204"/>
      <c r="B160" s="2205"/>
      <c r="C160" s="131"/>
      <c r="D160" s="1982"/>
      <c r="E160" s="3688"/>
      <c r="F160" s="2207"/>
      <c r="G160" s="2208"/>
      <c r="H160" s="1508"/>
      <c r="I160" s="1574"/>
      <c r="J160" s="2213" t="s">
        <v>22</v>
      </c>
      <c r="K160" s="1707"/>
      <c r="L160" s="1385"/>
      <c r="M160" s="1652">
        <v>14700</v>
      </c>
      <c r="N160" s="1893"/>
      <c r="O160" s="1384"/>
      <c r="P160" s="1893">
        <v>14700</v>
      </c>
      <c r="Q160" s="1521"/>
      <c r="R160" s="1531"/>
      <c r="S160" s="1710" t="s">
        <v>445</v>
      </c>
      <c r="T160" s="1658">
        <v>1</v>
      </c>
      <c r="U160" s="2209"/>
      <c r="V160" s="1732"/>
    </row>
    <row r="161" spans="1:22" ht="51.75" customHeight="1" x14ac:dyDescent="0.2">
      <c r="A161" s="2087"/>
      <c r="B161" s="2088"/>
      <c r="C161" s="1701"/>
      <c r="D161" s="1702"/>
      <c r="E161" s="3507"/>
      <c r="F161" s="2091"/>
      <c r="G161" s="2103"/>
      <c r="H161" s="1508"/>
      <c r="I161" s="1574"/>
      <c r="J161" s="2236" t="s">
        <v>22</v>
      </c>
      <c r="K161" s="1269"/>
      <c r="L161" s="2147"/>
      <c r="M161" s="2577">
        <v>2100</v>
      </c>
      <c r="N161" s="1267">
        <v>2100</v>
      </c>
      <c r="O161" s="2552"/>
      <c r="P161" s="2079"/>
      <c r="Q161" s="1239"/>
      <c r="R161" s="1239"/>
      <c r="S161" s="1638" t="s">
        <v>430</v>
      </c>
      <c r="T161" s="1708">
        <v>37</v>
      </c>
      <c r="U161" s="1697"/>
      <c r="V161" s="1879"/>
    </row>
    <row r="162" spans="1:22" ht="17.25" customHeight="1" x14ac:dyDescent="0.2">
      <c r="A162" s="2087"/>
      <c r="B162" s="2088"/>
      <c r="C162" s="1701"/>
      <c r="D162" s="1702"/>
      <c r="E162" s="3507"/>
      <c r="F162" s="2091"/>
      <c r="G162" s="2103"/>
      <c r="H162" s="1508"/>
      <c r="I162" s="1574"/>
      <c r="J162" s="2093"/>
      <c r="K162" s="1269"/>
      <c r="L162" s="2096"/>
      <c r="M162" s="2577"/>
      <c r="N162" s="1267"/>
      <c r="O162" s="1529"/>
      <c r="P162" s="2079"/>
      <c r="Q162" s="1239"/>
      <c r="R162" s="1239"/>
      <c r="S162" s="1653" t="s">
        <v>429</v>
      </c>
      <c r="T162" s="1708">
        <v>33</v>
      </c>
      <c r="U162" s="1697"/>
      <c r="V162" s="1879"/>
    </row>
    <row r="163" spans="1:22" ht="28.5" customHeight="1" x14ac:dyDescent="0.2">
      <c r="A163" s="2087"/>
      <c r="B163" s="2088"/>
      <c r="C163" s="1701"/>
      <c r="D163" s="1703"/>
      <c r="E163" s="3510"/>
      <c r="F163" s="2185"/>
      <c r="G163" s="2103"/>
      <c r="H163" s="1508"/>
      <c r="I163" s="1574"/>
      <c r="J163" s="2094"/>
      <c r="K163" s="1452"/>
      <c r="L163" s="2097"/>
      <c r="M163" s="1224"/>
      <c r="N163" s="2583"/>
      <c r="O163" s="2601"/>
      <c r="P163" s="2587"/>
      <c r="Q163" s="1284"/>
      <c r="R163" s="1284"/>
      <c r="S163" s="2107" t="s">
        <v>501</v>
      </c>
      <c r="T163" s="1225">
        <v>3</v>
      </c>
      <c r="U163" s="1278"/>
      <c r="V163" s="1510"/>
    </row>
    <row r="164" spans="1:22" ht="20.25" customHeight="1" x14ac:dyDescent="0.2">
      <c r="A164" s="2034"/>
      <c r="B164" s="2040"/>
      <c r="C164" s="2042"/>
      <c r="D164" s="2166" t="s">
        <v>30</v>
      </c>
      <c r="E164" s="3509" t="s">
        <v>399</v>
      </c>
      <c r="F164" s="2160"/>
      <c r="G164" s="1906"/>
      <c r="H164" s="2168"/>
      <c r="I164" s="3681"/>
      <c r="J164" s="2161" t="s">
        <v>22</v>
      </c>
      <c r="K164" s="1663"/>
      <c r="L164" s="2165"/>
      <c r="M164" s="1891">
        <v>48100</v>
      </c>
      <c r="N164" s="1371">
        <v>48100</v>
      </c>
      <c r="O164" s="1612"/>
      <c r="P164" s="1372"/>
      <c r="Q164" s="1651"/>
      <c r="R164" s="1644"/>
      <c r="S164" s="3563" t="s">
        <v>502</v>
      </c>
      <c r="T164" s="3683" t="s">
        <v>423</v>
      </c>
      <c r="U164" s="1644"/>
      <c r="V164" s="1532"/>
    </row>
    <row r="165" spans="1:22" ht="20.25" customHeight="1" x14ac:dyDescent="0.2">
      <c r="A165" s="2034"/>
      <c r="B165" s="2040"/>
      <c r="C165" s="2059"/>
      <c r="D165" s="2167"/>
      <c r="E165" s="3510"/>
      <c r="F165" s="2160"/>
      <c r="G165" s="1906"/>
      <c r="H165" s="1508"/>
      <c r="I165" s="3681"/>
      <c r="J165" s="2162"/>
      <c r="K165" s="1666"/>
      <c r="L165" s="2125"/>
      <c r="M165" s="2602"/>
      <c r="N165" s="1842"/>
      <c r="O165" s="1365"/>
      <c r="P165" s="1366"/>
      <c r="Q165" s="1284"/>
      <c r="R165" s="1278"/>
      <c r="S165" s="3538"/>
      <c r="T165" s="3524"/>
      <c r="U165" s="1278"/>
      <c r="V165" s="1510"/>
    </row>
    <row r="166" spans="1:22" ht="30" customHeight="1" x14ac:dyDescent="0.2">
      <c r="A166" s="2513"/>
      <c r="B166" s="2845"/>
      <c r="C166" s="2715"/>
      <c r="D166" s="1703" t="s">
        <v>55</v>
      </c>
      <c r="E166" s="1721" t="s">
        <v>459</v>
      </c>
      <c r="F166" s="2665"/>
      <c r="G166" s="2104"/>
      <c r="H166" s="1576"/>
      <c r="I166" s="2105"/>
      <c r="J166" s="2853" t="s">
        <v>22</v>
      </c>
      <c r="K166" s="1452"/>
      <c r="L166" s="2164"/>
      <c r="M166" s="1224">
        <v>22000</v>
      </c>
      <c r="N166" s="1851"/>
      <c r="O166" s="2601"/>
      <c r="P166" s="2587">
        <v>22000</v>
      </c>
      <c r="Q166" s="1284"/>
      <c r="R166" s="1284"/>
      <c r="S166" s="1653" t="s">
        <v>510</v>
      </c>
      <c r="T166" s="1708">
        <v>22</v>
      </c>
      <c r="U166" s="1697"/>
      <c r="V166" s="1879"/>
    </row>
    <row r="167" spans="1:22" ht="31.5" customHeight="1" x14ac:dyDescent="0.2">
      <c r="A167" s="627"/>
      <c r="B167" s="2835"/>
      <c r="C167" s="2894"/>
      <c r="D167" s="1703" t="s">
        <v>232</v>
      </c>
      <c r="E167" s="2741" t="s">
        <v>450</v>
      </c>
      <c r="F167" s="2665"/>
      <c r="G167" s="2199"/>
      <c r="H167" s="2200"/>
      <c r="I167" s="2895"/>
      <c r="J167" s="2810" t="s">
        <v>22</v>
      </c>
      <c r="K167" s="1452"/>
      <c r="L167" s="2164"/>
      <c r="M167" s="1840">
        <v>1500</v>
      </c>
      <c r="N167" s="1890"/>
      <c r="O167" s="2601"/>
      <c r="P167" s="2587">
        <v>1500</v>
      </c>
      <c r="Q167" s="1284"/>
      <c r="R167" s="1284"/>
      <c r="S167" s="2528" t="s">
        <v>451</v>
      </c>
      <c r="T167" s="1225">
        <v>100</v>
      </c>
      <c r="U167" s="1278"/>
      <c r="V167" s="1510"/>
    </row>
    <row r="168" spans="1:22" ht="19.5" customHeight="1" x14ac:dyDescent="0.2">
      <c r="A168" s="2672"/>
      <c r="B168" s="2675"/>
      <c r="C168" s="1701"/>
      <c r="D168" s="1702" t="s">
        <v>21</v>
      </c>
      <c r="E168" s="3507" t="s">
        <v>406</v>
      </c>
      <c r="F168" s="3689" t="s">
        <v>127</v>
      </c>
      <c r="G168" s="2103"/>
      <c r="H168" s="1508"/>
      <c r="I168" s="1574"/>
      <c r="J168" s="2809" t="s">
        <v>22</v>
      </c>
      <c r="K168" s="1269">
        <v>14481</v>
      </c>
      <c r="L168" s="2147">
        <v>14481</v>
      </c>
      <c r="M168" s="2577">
        <f>+N168+P168</f>
        <v>15000</v>
      </c>
      <c r="N168" s="2779">
        <v>15000</v>
      </c>
      <c r="O168" s="2193"/>
      <c r="P168" s="1369"/>
      <c r="Q168" s="1283">
        <f>M168</f>
        <v>15000</v>
      </c>
      <c r="R168" s="1239">
        <f>M168</f>
        <v>15000</v>
      </c>
      <c r="S168" s="1638" t="s">
        <v>409</v>
      </c>
      <c r="T168" s="1611">
        <v>3</v>
      </c>
      <c r="U168" s="1283">
        <v>3</v>
      </c>
      <c r="V168" s="1872">
        <v>3</v>
      </c>
    </row>
    <row r="169" spans="1:22" ht="19.5" customHeight="1" x14ac:dyDescent="0.2">
      <c r="A169" s="2672"/>
      <c r="B169" s="2675"/>
      <c r="C169" s="1701"/>
      <c r="D169" s="1702"/>
      <c r="E169" s="3507"/>
      <c r="F169" s="3526"/>
      <c r="G169" s="2103"/>
      <c r="H169" s="1508"/>
      <c r="I169" s="1574"/>
      <c r="J169" s="2685"/>
      <c r="K169" s="1452"/>
      <c r="L169" s="2147"/>
      <c r="M169" s="1517"/>
      <c r="N169" s="2679"/>
      <c r="O169" s="1349"/>
      <c r="P169" s="1350"/>
      <c r="Q169" s="1283"/>
      <c r="R169" s="1239"/>
      <c r="S169" s="1638"/>
      <c r="T169" s="1611"/>
      <c r="U169" s="1283"/>
      <c r="V169" s="1872"/>
    </row>
    <row r="170" spans="1:22" ht="15.75" customHeight="1" x14ac:dyDescent="0.2">
      <c r="A170" s="2513"/>
      <c r="B170" s="2681"/>
      <c r="C170" s="2715"/>
      <c r="D170" s="1703"/>
      <c r="E170" s="2741"/>
      <c r="F170" s="2742" t="s">
        <v>58</v>
      </c>
      <c r="G170" s="2104"/>
      <c r="H170" s="1576"/>
      <c r="I170" s="2105"/>
      <c r="J170" s="1552" t="s">
        <v>23</v>
      </c>
      <c r="K170" s="2000">
        <f>SUM(K154:K169)</f>
        <v>43443</v>
      </c>
      <c r="L170" s="2743">
        <f t="shared" ref="L170:R170" si="23">SUM(L154:L169)</f>
        <v>79473</v>
      </c>
      <c r="M170" s="1396">
        <f t="shared" si="23"/>
        <v>196600</v>
      </c>
      <c r="N170" s="1395">
        <f t="shared" si="23"/>
        <v>136000</v>
      </c>
      <c r="O170" s="1353"/>
      <c r="P170" s="1395">
        <f t="shared" si="23"/>
        <v>60600</v>
      </c>
      <c r="Q170" s="2000">
        <f t="shared" si="23"/>
        <v>15000</v>
      </c>
      <c r="R170" s="2000">
        <f t="shared" si="23"/>
        <v>15000</v>
      </c>
      <c r="S170" s="2107"/>
      <c r="T170" s="1225"/>
      <c r="U170" s="2744"/>
      <c r="V170" s="1510"/>
    </row>
    <row r="171" spans="1:22" ht="13.5" thickBot="1" x14ac:dyDescent="0.25">
      <c r="A171" s="2734" t="s">
        <v>24</v>
      </c>
      <c r="B171" s="2735" t="s">
        <v>20</v>
      </c>
      <c r="C171" s="3703" t="s">
        <v>27</v>
      </c>
      <c r="D171" s="3704"/>
      <c r="E171" s="3704"/>
      <c r="F171" s="3704"/>
      <c r="G171" s="3704"/>
      <c r="H171" s="3704"/>
      <c r="I171" s="3704"/>
      <c r="J171" s="3704"/>
      <c r="K171" s="2736">
        <f t="shared" ref="K171:R171" si="24">K170+K152+K136+K125</f>
        <v>1326751</v>
      </c>
      <c r="L171" s="2737">
        <f t="shared" si="24"/>
        <v>1732971</v>
      </c>
      <c r="M171" s="2738">
        <f t="shared" si="24"/>
        <v>2760300</v>
      </c>
      <c r="N171" s="2739">
        <f t="shared" si="24"/>
        <v>139100</v>
      </c>
      <c r="O171" s="2740">
        <f t="shared" si="24"/>
        <v>2400</v>
      </c>
      <c r="P171" s="2739">
        <f t="shared" si="24"/>
        <v>2617200</v>
      </c>
      <c r="Q171" s="2736">
        <f t="shared" si="24"/>
        <v>2258500</v>
      </c>
      <c r="R171" s="2736">
        <f t="shared" si="24"/>
        <v>4170900</v>
      </c>
      <c r="S171" s="3684"/>
      <c r="T171" s="3685"/>
      <c r="U171" s="3685"/>
      <c r="V171" s="3686"/>
    </row>
    <row r="172" spans="1:22" ht="13.5" thickBot="1" x14ac:dyDescent="0.25">
      <c r="A172" s="2037" t="s">
        <v>24</v>
      </c>
      <c r="B172" s="14" t="s">
        <v>24</v>
      </c>
      <c r="C172" s="3527" t="s">
        <v>426</v>
      </c>
      <c r="D172" s="3528"/>
      <c r="E172" s="3528"/>
      <c r="F172" s="3528"/>
      <c r="G172" s="3528"/>
      <c r="H172" s="2095"/>
      <c r="I172" s="1433"/>
      <c r="J172" s="1968"/>
      <c r="K172" s="1433"/>
      <c r="L172" s="2082"/>
      <c r="M172" s="2604"/>
      <c r="N172" s="2605"/>
      <c r="O172" s="1968"/>
      <c r="P172" s="2606"/>
      <c r="Q172" s="1433"/>
      <c r="R172" s="1433"/>
      <c r="S172" s="1433"/>
      <c r="T172" s="1433"/>
      <c r="U172" s="3484"/>
      <c r="V172" s="3485"/>
    </row>
    <row r="173" spans="1:22" ht="30" customHeight="1" x14ac:dyDescent="0.2">
      <c r="A173" s="2064" t="s">
        <v>24</v>
      </c>
      <c r="B173" s="2065" t="s">
        <v>24</v>
      </c>
      <c r="C173" s="751" t="s">
        <v>20</v>
      </c>
      <c r="D173" s="2061"/>
      <c r="E173" s="3521" t="s">
        <v>284</v>
      </c>
      <c r="F173" s="3522" t="s">
        <v>132</v>
      </c>
      <c r="G173" s="1902" t="s">
        <v>21</v>
      </c>
      <c r="H173" s="2070">
        <v>2</v>
      </c>
      <c r="I173" s="3687" t="s">
        <v>163</v>
      </c>
      <c r="J173" s="1794" t="s">
        <v>22</v>
      </c>
      <c r="K173" s="1709"/>
      <c r="L173" s="2047">
        <v>5000</v>
      </c>
      <c r="M173" s="1794">
        <f>+N173+P173</f>
        <v>29200</v>
      </c>
      <c r="N173" s="1544">
        <v>29200</v>
      </c>
      <c r="O173" s="1389"/>
      <c r="P173" s="1347"/>
      <c r="Q173" s="2003">
        <v>37200</v>
      </c>
      <c r="R173" s="2003">
        <v>40300</v>
      </c>
      <c r="S173" s="1800" t="s">
        <v>66</v>
      </c>
      <c r="T173" s="1878">
        <v>8</v>
      </c>
      <c r="U173" s="1878">
        <v>9</v>
      </c>
      <c r="V173" s="1879">
        <v>11</v>
      </c>
    </row>
    <row r="174" spans="1:22" ht="15.75" customHeight="1" thickBot="1" x14ac:dyDescent="0.25">
      <c r="A174" s="2066"/>
      <c r="B174" s="2067"/>
      <c r="C174" s="2042"/>
      <c r="D174" s="2068"/>
      <c r="E174" s="3478"/>
      <c r="F174" s="3516"/>
      <c r="G174" s="2074"/>
      <c r="H174" s="2092"/>
      <c r="I174" s="3692"/>
      <c r="J174" s="1273" t="s">
        <v>23</v>
      </c>
      <c r="K174" s="2075"/>
      <c r="L174" s="1312">
        <f>L173</f>
        <v>5000</v>
      </c>
      <c r="M174" s="1310">
        <f t="shared" ref="M174:R174" si="25">M173</f>
        <v>29200</v>
      </c>
      <c r="N174" s="1279">
        <f t="shared" si="25"/>
        <v>29200</v>
      </c>
      <c r="O174" s="1279"/>
      <c r="P174" s="1281"/>
      <c r="Q174" s="1312">
        <f t="shared" si="25"/>
        <v>37200</v>
      </c>
      <c r="R174" s="1312">
        <f t="shared" si="25"/>
        <v>40300</v>
      </c>
      <c r="S174" s="1715" t="s">
        <v>427</v>
      </c>
      <c r="T174" s="1852">
        <v>272</v>
      </c>
      <c r="U174" s="1852">
        <v>310</v>
      </c>
      <c r="V174" s="1563">
        <v>413</v>
      </c>
    </row>
    <row r="175" spans="1:22" ht="31.5" customHeight="1" x14ac:dyDescent="0.2">
      <c r="A175" s="2033" t="s">
        <v>24</v>
      </c>
      <c r="B175" s="2039" t="s">
        <v>24</v>
      </c>
      <c r="C175" s="132" t="s">
        <v>24</v>
      </c>
      <c r="D175" s="2856"/>
      <c r="E175" s="2069" t="s">
        <v>424</v>
      </c>
      <c r="F175" s="2053"/>
      <c r="G175" s="1902" t="s">
        <v>21</v>
      </c>
      <c r="H175" s="2070">
        <v>2</v>
      </c>
      <c r="I175" s="3687" t="s">
        <v>160</v>
      </c>
      <c r="J175" s="1323"/>
      <c r="K175" s="1569"/>
      <c r="L175" s="1835"/>
      <c r="M175" s="1837"/>
      <c r="N175" s="2114"/>
      <c r="O175" s="2607"/>
      <c r="P175" s="1835"/>
      <c r="Q175" s="1514"/>
      <c r="R175" s="1405"/>
      <c r="S175" s="2057"/>
      <c r="T175" s="1570"/>
      <c r="U175" s="1860"/>
      <c r="V175" s="1598"/>
    </row>
    <row r="176" spans="1:22" ht="14.25" customHeight="1" x14ac:dyDescent="0.2">
      <c r="A176" s="2034"/>
      <c r="B176" s="2040"/>
      <c r="C176" s="131"/>
      <c r="D176" s="2054" t="s">
        <v>20</v>
      </c>
      <c r="E176" s="3515" t="s">
        <v>385</v>
      </c>
      <c r="F176" s="2049"/>
      <c r="G176" s="2044"/>
      <c r="H176" s="2051"/>
      <c r="I176" s="3668"/>
      <c r="J176" s="1254" t="s">
        <v>22</v>
      </c>
      <c r="K176" s="1269"/>
      <c r="L176" s="2048"/>
      <c r="M176" s="1232">
        <f>+N176+P176</f>
        <v>13300</v>
      </c>
      <c r="N176" s="2557">
        <v>13300</v>
      </c>
      <c r="O176" s="2580"/>
      <c r="P176" s="2147"/>
      <c r="Q176" s="1622">
        <v>13300</v>
      </c>
      <c r="R176" s="2045">
        <v>13300</v>
      </c>
      <c r="S176" s="1854" t="s">
        <v>363</v>
      </c>
      <c r="T176" s="1818">
        <v>5</v>
      </c>
      <c r="U176" s="2058">
        <v>5</v>
      </c>
      <c r="V176" s="1872">
        <v>5</v>
      </c>
    </row>
    <row r="177" spans="1:25" ht="32.25" customHeight="1" x14ac:dyDescent="0.2">
      <c r="A177" s="2034"/>
      <c r="B177" s="2040"/>
      <c r="C177" s="131"/>
      <c r="D177" s="2073"/>
      <c r="E177" s="3534"/>
      <c r="F177" s="2049"/>
      <c r="G177" s="2044"/>
      <c r="H177" s="2051"/>
      <c r="I177" s="2045"/>
      <c r="J177" s="1326"/>
      <c r="K177" s="1720"/>
      <c r="L177" s="2048"/>
      <c r="M177" s="1232"/>
      <c r="N177" s="2557"/>
      <c r="O177" s="1887"/>
      <c r="P177" s="2164"/>
      <c r="Q177" s="1622"/>
      <c r="R177" s="2045"/>
      <c r="S177" s="1656" t="s">
        <v>384</v>
      </c>
      <c r="T177" s="2055">
        <v>284</v>
      </c>
      <c r="U177" s="1657">
        <v>280</v>
      </c>
      <c r="V177" s="1510">
        <v>280</v>
      </c>
    </row>
    <row r="178" spans="1:25" ht="15.75" customHeight="1" x14ac:dyDescent="0.2">
      <c r="A178" s="2034"/>
      <c r="B178" s="2040"/>
      <c r="C178" s="131"/>
      <c r="D178" s="1634" t="s">
        <v>24</v>
      </c>
      <c r="E178" s="3535" t="s">
        <v>386</v>
      </c>
      <c r="F178" s="2049"/>
      <c r="G178" s="2044"/>
      <c r="H178" s="2051"/>
      <c r="I178" s="2045"/>
      <c r="J178" s="1618" t="s">
        <v>22</v>
      </c>
      <c r="K178" s="1799"/>
      <c r="L178" s="2047"/>
      <c r="M178" s="2578">
        <v>20700</v>
      </c>
      <c r="N178" s="1414">
        <v>20700</v>
      </c>
      <c r="O178" s="2579"/>
      <c r="P178" s="2163"/>
      <c r="Q178" s="1644"/>
      <c r="R178" s="1651"/>
      <c r="S178" s="1854" t="s">
        <v>363</v>
      </c>
      <c r="T178" s="1578">
        <v>3</v>
      </c>
      <c r="U178" s="2058"/>
      <c r="V178" s="1872"/>
    </row>
    <row r="179" spans="1:25" ht="15.75" customHeight="1" x14ac:dyDescent="0.2">
      <c r="A179" s="2034"/>
      <c r="B179" s="2040"/>
      <c r="C179" s="1701"/>
      <c r="D179" s="1634"/>
      <c r="E179" s="3535"/>
      <c r="F179" s="2049"/>
      <c r="G179" s="2044"/>
      <c r="H179" s="2051"/>
      <c r="I179" s="2045"/>
      <c r="J179" s="1254"/>
      <c r="K179" s="1677"/>
      <c r="L179" s="2048"/>
      <c r="M179" s="1250"/>
      <c r="N179" s="1236"/>
      <c r="O179" s="2580"/>
      <c r="P179" s="1261"/>
      <c r="Q179" s="1283"/>
      <c r="R179" s="1239"/>
      <c r="S179" s="1854" t="s">
        <v>428</v>
      </c>
      <c r="T179" s="1611">
        <v>313</v>
      </c>
      <c r="U179" s="2058"/>
      <c r="V179" s="1872"/>
    </row>
    <row r="180" spans="1:25" ht="27" customHeight="1" x14ac:dyDescent="0.2">
      <c r="A180" s="3152"/>
      <c r="B180" s="3159"/>
      <c r="C180" s="131"/>
      <c r="D180" s="3705" t="s">
        <v>26</v>
      </c>
      <c r="E180" s="3515" t="s">
        <v>389</v>
      </c>
      <c r="F180" s="3546" t="s">
        <v>132</v>
      </c>
      <c r="G180" s="1904"/>
      <c r="H180" s="3693"/>
      <c r="I180" s="3706"/>
      <c r="J180" s="1749" t="s">
        <v>22</v>
      </c>
      <c r="K180" s="1684">
        <v>18536</v>
      </c>
      <c r="L180" s="2047">
        <v>18536</v>
      </c>
      <c r="M180" s="2578">
        <v>20400</v>
      </c>
      <c r="N180" s="1414"/>
      <c r="O180" s="2579"/>
      <c r="P180" s="2163">
        <v>20400</v>
      </c>
      <c r="Q180" s="2071">
        <v>32400</v>
      </c>
      <c r="R180" s="1871">
        <v>31000</v>
      </c>
      <c r="S180" s="2072" t="s">
        <v>390</v>
      </c>
      <c r="T180" s="1518">
        <v>10</v>
      </c>
      <c r="U180" s="1518">
        <v>10</v>
      </c>
      <c r="V180" s="1519">
        <v>9</v>
      </c>
    </row>
    <row r="181" spans="1:25" ht="15.75" customHeight="1" thickBot="1" x14ac:dyDescent="0.25">
      <c r="A181" s="3153"/>
      <c r="B181" s="3160"/>
      <c r="C181" s="130"/>
      <c r="D181" s="3702"/>
      <c r="E181" s="3495"/>
      <c r="F181" s="3516"/>
      <c r="G181" s="1909"/>
      <c r="H181" s="3518"/>
      <c r="I181" s="3692"/>
      <c r="J181" s="1434" t="s">
        <v>23</v>
      </c>
      <c r="K181" s="1319">
        <f>SUM(K176:K180)</f>
        <v>18536</v>
      </c>
      <c r="L181" s="1310">
        <f t="shared" ref="L181:R181" si="26">SUM(L176:L180)</f>
        <v>18536</v>
      </c>
      <c r="M181" s="1418">
        <f t="shared" si="26"/>
        <v>54400</v>
      </c>
      <c r="N181" s="1311">
        <f t="shared" si="26"/>
        <v>34000</v>
      </c>
      <c r="O181" s="1279">
        <f t="shared" si="26"/>
        <v>0</v>
      </c>
      <c r="P181" s="1281">
        <f t="shared" si="26"/>
        <v>20400</v>
      </c>
      <c r="Q181" s="1319">
        <f t="shared" si="26"/>
        <v>45700</v>
      </c>
      <c r="R181" s="1286">
        <f t="shared" si="26"/>
        <v>44300</v>
      </c>
      <c r="S181" s="1726" t="s">
        <v>391</v>
      </c>
      <c r="T181" s="1727">
        <v>10</v>
      </c>
      <c r="U181" s="1727">
        <v>10</v>
      </c>
      <c r="V181" s="1728">
        <v>9</v>
      </c>
    </row>
    <row r="182" spans="1:25" ht="13.5" thickBot="1" x14ac:dyDescent="0.25">
      <c r="A182" s="15" t="s">
        <v>24</v>
      </c>
      <c r="B182" s="14" t="s">
        <v>24</v>
      </c>
      <c r="C182" s="3480" t="s">
        <v>27</v>
      </c>
      <c r="D182" s="3481"/>
      <c r="E182" s="3481"/>
      <c r="F182" s="3481"/>
      <c r="G182" s="3481"/>
      <c r="H182" s="3481"/>
      <c r="I182" s="3481"/>
      <c r="J182" s="3481"/>
      <c r="K182" s="1821">
        <f>K181+K174</f>
        <v>18536</v>
      </c>
      <c r="L182" s="2083">
        <f>L181+L174</f>
        <v>23536</v>
      </c>
      <c r="M182" s="1333">
        <f>M181+M174</f>
        <v>83600</v>
      </c>
      <c r="N182" s="2553">
        <f t="shared" ref="N182:R182" si="27">N181+N174</f>
        <v>63200</v>
      </c>
      <c r="O182" s="1430">
        <f t="shared" si="27"/>
        <v>0</v>
      </c>
      <c r="P182" s="2553">
        <f t="shared" si="27"/>
        <v>20400</v>
      </c>
      <c r="Q182" s="2052">
        <f t="shared" si="27"/>
        <v>82900</v>
      </c>
      <c r="R182" s="1293">
        <f t="shared" si="27"/>
        <v>84600</v>
      </c>
      <c r="S182" s="3483"/>
      <c r="T182" s="3484"/>
      <c r="U182" s="3484"/>
      <c r="V182" s="3485"/>
    </row>
    <row r="183" spans="1:25" ht="13.5" thickBot="1" x14ac:dyDescent="0.25">
      <c r="A183" s="2036" t="s">
        <v>24</v>
      </c>
      <c r="B183" s="133" t="s">
        <v>26</v>
      </c>
      <c r="C183" s="3519" t="s">
        <v>48</v>
      </c>
      <c r="D183" s="3519"/>
      <c r="E183" s="3519"/>
      <c r="F183" s="3519"/>
      <c r="G183" s="3519"/>
      <c r="H183" s="3519"/>
      <c r="I183" s="3519"/>
      <c r="J183" s="3519"/>
      <c r="K183" s="3519"/>
      <c r="L183" s="3519"/>
      <c r="M183" s="3519"/>
      <c r="N183" s="3519"/>
      <c r="O183" s="3519"/>
      <c r="P183" s="3519"/>
      <c r="Q183" s="3519"/>
      <c r="R183" s="3519"/>
      <c r="S183" s="3519"/>
      <c r="T183" s="3519"/>
      <c r="U183" s="3519"/>
      <c r="V183" s="3520"/>
    </row>
    <row r="184" spans="1:25" ht="29.25" customHeight="1" x14ac:dyDescent="0.2">
      <c r="A184" s="2133" t="s">
        <v>24</v>
      </c>
      <c r="B184" s="2135" t="s">
        <v>26</v>
      </c>
      <c r="C184" s="2137" t="s">
        <v>20</v>
      </c>
      <c r="D184" s="1630"/>
      <c r="E184" s="1571" t="s">
        <v>50</v>
      </c>
      <c r="F184" s="1861"/>
      <c r="G184" s="1902" t="s">
        <v>21</v>
      </c>
      <c r="H184" s="1572">
        <v>6</v>
      </c>
      <c r="I184" s="3694" t="s">
        <v>172</v>
      </c>
      <c r="J184" s="2149"/>
      <c r="K184" s="1717"/>
      <c r="L184" s="1835"/>
      <c r="M184" s="2608"/>
      <c r="N184" s="1297"/>
      <c r="O184" s="1382"/>
      <c r="P184" s="1298"/>
      <c r="Q184" s="1405"/>
      <c r="R184" s="1446"/>
      <c r="S184" s="1573"/>
      <c r="T184" s="1444"/>
      <c r="U184" s="1402"/>
      <c r="V184" s="1598"/>
    </row>
    <row r="185" spans="1:25" ht="30.75" customHeight="1" x14ac:dyDescent="0.2">
      <c r="A185" s="2183"/>
      <c r="B185" s="2181"/>
      <c r="C185" s="2184"/>
      <c r="D185" s="1631" t="s">
        <v>20</v>
      </c>
      <c r="E185" s="1718" t="s">
        <v>90</v>
      </c>
      <c r="F185" s="2186"/>
      <c r="G185" s="2182"/>
      <c r="H185" s="2187"/>
      <c r="I185" s="3681"/>
      <c r="J185" s="1477" t="s">
        <v>22</v>
      </c>
      <c r="K185" s="1684">
        <v>231696</v>
      </c>
      <c r="L185" s="2151">
        <v>1474581</v>
      </c>
      <c r="M185" s="1884">
        <f t="shared" ref="M185:M189" si="28">+N185+P185</f>
        <v>232700</v>
      </c>
      <c r="N185" s="1384">
        <v>232700</v>
      </c>
      <c r="O185" s="1374"/>
      <c r="P185" s="1342"/>
      <c r="Q185" s="1969">
        <f t="shared" ref="Q185:R187" si="29">M185</f>
        <v>232700</v>
      </c>
      <c r="R185" s="1969">
        <f t="shared" si="29"/>
        <v>232700</v>
      </c>
      <c r="S185" s="2145" t="s">
        <v>301</v>
      </c>
      <c r="T185" s="1518">
        <v>14</v>
      </c>
      <c r="U185" s="1518">
        <v>14</v>
      </c>
      <c r="V185" s="1519">
        <v>14</v>
      </c>
    </row>
    <row r="186" spans="1:25" ht="42" customHeight="1" x14ac:dyDescent="0.2">
      <c r="A186" s="2034"/>
      <c r="B186" s="2040"/>
      <c r="C186" s="2059"/>
      <c r="D186" s="1628" t="s">
        <v>24</v>
      </c>
      <c r="E186" s="2150" t="s">
        <v>416</v>
      </c>
      <c r="F186" s="1817"/>
      <c r="G186" s="1849"/>
      <c r="H186" s="2090"/>
      <c r="I186" s="1574"/>
      <c r="J186" s="1925" t="s">
        <v>22</v>
      </c>
      <c r="K186" s="1720">
        <v>65744</v>
      </c>
      <c r="L186" s="2124"/>
      <c r="M186" s="2602">
        <f t="shared" si="28"/>
        <v>44800</v>
      </c>
      <c r="N186" s="1365">
        <v>44800</v>
      </c>
      <c r="O186" s="1842"/>
      <c r="P186" s="1350"/>
      <c r="Q186" s="1742">
        <f t="shared" si="29"/>
        <v>44800</v>
      </c>
      <c r="R186" s="1742">
        <f t="shared" si="29"/>
        <v>44800</v>
      </c>
      <c r="S186" s="2138" t="s">
        <v>505</v>
      </c>
      <c r="T186" s="1567">
        <v>93</v>
      </c>
      <c r="U186" s="1567">
        <v>93</v>
      </c>
      <c r="V186" s="1409">
        <v>93</v>
      </c>
    </row>
    <row r="187" spans="1:25" s="1546" customFormat="1" ht="30.75" customHeight="1" x14ac:dyDescent="0.2">
      <c r="A187" s="2034"/>
      <c r="B187" s="2040"/>
      <c r="C187" s="2042"/>
      <c r="D187" s="1627" t="s">
        <v>26</v>
      </c>
      <c r="E187" s="1575" t="s">
        <v>63</v>
      </c>
      <c r="F187" s="1817"/>
      <c r="G187" s="1849"/>
      <c r="H187" s="2089"/>
      <c r="I187" s="1574"/>
      <c r="J187" s="1924" t="s">
        <v>22</v>
      </c>
      <c r="K187" s="1677">
        <v>90187</v>
      </c>
      <c r="L187" s="2124"/>
      <c r="M187" s="1517">
        <f>N187+P187</f>
        <v>90200</v>
      </c>
      <c r="N187" s="1613">
        <v>90200</v>
      </c>
      <c r="O187" s="2719"/>
      <c r="P187" s="1369"/>
      <c r="Q187" s="1742">
        <f t="shared" si="29"/>
        <v>90200</v>
      </c>
      <c r="R187" s="1742">
        <f t="shared" si="29"/>
        <v>90200</v>
      </c>
      <c r="S187" s="1978" t="s">
        <v>504</v>
      </c>
      <c r="T187" s="1567">
        <v>30</v>
      </c>
      <c r="U187" s="1567">
        <v>30</v>
      </c>
      <c r="V187" s="1421">
        <v>30</v>
      </c>
    </row>
    <row r="188" spans="1:25" ht="29.25" customHeight="1" x14ac:dyDescent="0.2">
      <c r="A188" s="2034"/>
      <c r="B188" s="2040"/>
      <c r="C188" s="2059"/>
      <c r="D188" s="1631" t="s">
        <v>28</v>
      </c>
      <c r="E188" s="1718" t="s">
        <v>71</v>
      </c>
      <c r="F188" s="1817"/>
      <c r="G188" s="1849"/>
      <c r="H188" s="2090"/>
      <c r="I188" s="1574"/>
      <c r="J188" s="1477" t="s">
        <v>22</v>
      </c>
      <c r="K188" s="1684">
        <v>23170</v>
      </c>
      <c r="L188" s="2124"/>
      <c r="M188" s="1884">
        <f t="shared" si="28"/>
        <v>24000</v>
      </c>
      <c r="N188" s="1375">
        <v>7000</v>
      </c>
      <c r="O188" s="1374"/>
      <c r="P188" s="1342">
        <v>17000</v>
      </c>
      <c r="Q188" s="1969">
        <v>24000</v>
      </c>
      <c r="R188" s="1789">
        <v>24000</v>
      </c>
      <c r="S188" s="1979" t="s">
        <v>303</v>
      </c>
      <c r="T188" s="1685">
        <v>4</v>
      </c>
      <c r="U188" s="1685">
        <v>5</v>
      </c>
      <c r="V188" s="1719">
        <v>5</v>
      </c>
    </row>
    <row r="189" spans="1:25" s="1546" customFormat="1" ht="16.5" customHeight="1" x14ac:dyDescent="0.2">
      <c r="A189" s="2034"/>
      <c r="B189" s="2040"/>
      <c r="C189" s="2059"/>
      <c r="D189" s="1631" t="s">
        <v>29</v>
      </c>
      <c r="E189" s="1718" t="s">
        <v>62</v>
      </c>
      <c r="F189" s="1829"/>
      <c r="G189" s="1849"/>
      <c r="H189" s="2090"/>
      <c r="I189" s="1574"/>
      <c r="J189" s="1477" t="s">
        <v>22</v>
      </c>
      <c r="K189" s="1684">
        <v>16190</v>
      </c>
      <c r="L189" s="2124"/>
      <c r="M189" s="1884">
        <f t="shared" si="28"/>
        <v>14200</v>
      </c>
      <c r="N189" s="1375">
        <v>14200</v>
      </c>
      <c r="O189" s="1374"/>
      <c r="P189" s="1342"/>
      <c r="Q189" s="1969">
        <v>14200</v>
      </c>
      <c r="R189" s="1789">
        <v>14200</v>
      </c>
      <c r="S189" s="1979" t="s">
        <v>80</v>
      </c>
      <c r="T189" s="1518">
        <v>32.9</v>
      </c>
      <c r="U189" s="1518">
        <v>32.9</v>
      </c>
      <c r="V189" s="1519">
        <v>32.9</v>
      </c>
    </row>
    <row r="190" spans="1:25" ht="12.75" customHeight="1" x14ac:dyDescent="0.2">
      <c r="A190" s="2034"/>
      <c r="B190" s="2040"/>
      <c r="C190" s="2042"/>
      <c r="D190" s="1627" t="s">
        <v>30</v>
      </c>
      <c r="E190" s="3521" t="s">
        <v>64</v>
      </c>
      <c r="F190" s="1829"/>
      <c r="G190" s="1849"/>
      <c r="H190" s="2090"/>
      <c r="I190" s="1574"/>
      <c r="J190" s="1925" t="s">
        <v>22</v>
      </c>
      <c r="K190" s="1720">
        <v>586162</v>
      </c>
      <c r="L190" s="2125"/>
      <c r="M190" s="1840">
        <v>552100</v>
      </c>
      <c r="N190" s="1384">
        <v>552100</v>
      </c>
      <c r="O190" s="2609"/>
      <c r="P190" s="2610"/>
      <c r="Q190" s="1969">
        <v>552100</v>
      </c>
      <c r="R190" s="1893">
        <v>552100</v>
      </c>
      <c r="S190" s="3437" t="s">
        <v>415</v>
      </c>
      <c r="T190" s="3513">
        <v>99</v>
      </c>
      <c r="U190" s="3513">
        <v>99</v>
      </c>
      <c r="V190" s="3530">
        <v>99</v>
      </c>
    </row>
    <row r="191" spans="1:25" ht="12.75" customHeight="1" x14ac:dyDescent="0.2">
      <c r="A191" s="2034"/>
      <c r="B191" s="2040"/>
      <c r="C191" s="2042"/>
      <c r="D191" s="1628"/>
      <c r="E191" s="3478"/>
      <c r="F191" s="1829"/>
      <c r="G191" s="1849"/>
      <c r="H191" s="2090"/>
      <c r="I191" s="1574"/>
      <c r="J191" s="1782" t="s">
        <v>25</v>
      </c>
      <c r="K191" s="1709">
        <v>6864</v>
      </c>
      <c r="L191" s="2163">
        <v>6864</v>
      </c>
      <c r="M191" s="1526">
        <f>+N191+P191</f>
        <v>6900</v>
      </c>
      <c r="N191" s="1236">
        <v>6900</v>
      </c>
      <c r="O191" s="2611"/>
      <c r="P191" s="2612"/>
      <c r="Q191" s="1742">
        <v>6900</v>
      </c>
      <c r="R191" s="1787">
        <v>6900</v>
      </c>
      <c r="S191" s="3477"/>
      <c r="T191" s="3514"/>
      <c r="U191" s="3514"/>
      <c r="V191" s="3531"/>
    </row>
    <row r="192" spans="1:25" ht="43.5" customHeight="1" x14ac:dyDescent="0.2">
      <c r="A192" s="2513"/>
      <c r="B192" s="2845"/>
      <c r="C192" s="2131"/>
      <c r="D192" s="1632" t="s">
        <v>55</v>
      </c>
      <c r="E192" s="1721" t="s">
        <v>138</v>
      </c>
      <c r="F192" s="2897"/>
      <c r="G192" s="2529"/>
      <c r="H192" s="2530"/>
      <c r="I192" s="2531"/>
      <c r="J192" s="1969" t="s">
        <v>22</v>
      </c>
      <c r="K192" s="1707">
        <v>392638</v>
      </c>
      <c r="L192" s="2125"/>
      <c r="M192" s="1652">
        <f>+N192+P192</f>
        <v>392600</v>
      </c>
      <c r="N192" s="1384">
        <v>392600</v>
      </c>
      <c r="O192" s="1384"/>
      <c r="P192" s="1787"/>
      <c r="Q192" s="1742">
        <v>432600</v>
      </c>
      <c r="R192" s="1787">
        <v>432600</v>
      </c>
      <c r="S192" s="1653" t="s">
        <v>305</v>
      </c>
      <c r="T192" s="1685">
        <v>11</v>
      </c>
      <c r="U192" s="1685">
        <v>14</v>
      </c>
      <c r="V192" s="1719">
        <v>16</v>
      </c>
      <c r="W192" s="1546"/>
      <c r="Y192" s="1723"/>
    </row>
    <row r="193" spans="1:25" ht="46.5" customHeight="1" x14ac:dyDescent="0.2">
      <c r="A193" s="627"/>
      <c r="B193" s="2835"/>
      <c r="C193" s="2898"/>
      <c r="D193" s="2896" t="s">
        <v>232</v>
      </c>
      <c r="E193" s="2841" t="s">
        <v>506</v>
      </c>
      <c r="F193" s="1796"/>
      <c r="G193" s="2899"/>
      <c r="H193" s="1797"/>
      <c r="I193" s="2900"/>
      <c r="J193" s="1742" t="s">
        <v>22</v>
      </c>
      <c r="K193" s="1452">
        <v>57924</v>
      </c>
      <c r="L193" s="2124"/>
      <c r="M193" s="1753">
        <f>+N193+P193</f>
        <v>58000</v>
      </c>
      <c r="N193" s="1890">
        <v>58000</v>
      </c>
      <c r="O193" s="1890"/>
      <c r="P193" s="1787"/>
      <c r="Q193" s="1742">
        <f>M193</f>
        <v>58000</v>
      </c>
      <c r="R193" s="1742">
        <f>N193</f>
        <v>58000</v>
      </c>
      <c r="S193" s="2839" t="s">
        <v>414</v>
      </c>
      <c r="T193" s="1567">
        <v>1</v>
      </c>
      <c r="U193" s="1567">
        <v>1</v>
      </c>
      <c r="V193" s="1421">
        <v>1</v>
      </c>
      <c r="W193" s="1546"/>
      <c r="Y193" s="1723"/>
    </row>
    <row r="194" spans="1:25" ht="42.75" customHeight="1" x14ac:dyDescent="0.2">
      <c r="A194" s="2034"/>
      <c r="B194" s="2040"/>
      <c r="C194" s="2042"/>
      <c r="D194" s="2527" t="s">
        <v>21</v>
      </c>
      <c r="E194" s="2499" t="s">
        <v>333</v>
      </c>
      <c r="F194" s="1577"/>
      <c r="G194" s="1908"/>
      <c r="H194" s="1579"/>
      <c r="I194" s="1580"/>
      <c r="J194" s="1742" t="s">
        <v>22</v>
      </c>
      <c r="K194" s="1452"/>
      <c r="L194" s="2124"/>
      <c r="M194" s="1753">
        <f>+N194+P194</f>
        <v>50000</v>
      </c>
      <c r="N194" s="1890">
        <v>50000</v>
      </c>
      <c r="O194" s="1890"/>
      <c r="P194" s="1787"/>
      <c r="Q194" s="1742">
        <v>80000</v>
      </c>
      <c r="R194" s="1787">
        <v>80000</v>
      </c>
      <c r="S194" s="2528" t="s">
        <v>507</v>
      </c>
      <c r="T194" s="2500">
        <v>6</v>
      </c>
      <c r="U194" s="2500">
        <v>10</v>
      </c>
      <c r="V194" s="1259">
        <v>10</v>
      </c>
      <c r="W194" s="1546"/>
      <c r="Y194" s="1723"/>
    </row>
    <row r="195" spans="1:25" ht="43.5" customHeight="1" x14ac:dyDescent="0.2">
      <c r="A195" s="2763"/>
      <c r="B195" s="2753"/>
      <c r="C195" s="2781"/>
      <c r="D195" s="1632" t="s">
        <v>9</v>
      </c>
      <c r="E195" s="2680" t="s">
        <v>334</v>
      </c>
      <c r="F195" s="1578"/>
      <c r="G195" s="1908"/>
      <c r="H195" s="1579"/>
      <c r="I195" s="2808"/>
      <c r="J195" s="1742" t="s">
        <v>22</v>
      </c>
      <c r="K195" s="1707"/>
      <c r="L195" s="2124"/>
      <c r="M195" s="1652">
        <f>+N195+P195</f>
        <v>40000</v>
      </c>
      <c r="N195" s="1890"/>
      <c r="O195" s="1384"/>
      <c r="P195" s="1789">
        <v>40000</v>
      </c>
      <c r="Q195" s="1450"/>
      <c r="R195" s="1451"/>
      <c r="S195" s="2528" t="s">
        <v>511</v>
      </c>
      <c r="T195" s="1518">
        <v>1</v>
      </c>
      <c r="U195" s="1518"/>
      <c r="V195" s="1724"/>
      <c r="W195" s="1546"/>
      <c r="Y195" s="1723"/>
    </row>
    <row r="196" spans="1:25" ht="25.5" customHeight="1" x14ac:dyDescent="0.2">
      <c r="A196" s="2034"/>
      <c r="B196" s="2040"/>
      <c r="C196" s="2042"/>
      <c r="D196" s="2686" t="s">
        <v>402</v>
      </c>
      <c r="E196" s="3507" t="s">
        <v>332</v>
      </c>
      <c r="F196" s="3508"/>
      <c r="G196" s="1907"/>
      <c r="H196" s="1508"/>
      <c r="I196" s="3681"/>
      <c r="J196" s="1924" t="s">
        <v>22</v>
      </c>
      <c r="K196" s="1269"/>
      <c r="L196" s="2124"/>
      <c r="M196" s="1517">
        <f>N196+P196</f>
        <v>30000</v>
      </c>
      <c r="N196" s="2613"/>
      <c r="O196" s="1613"/>
      <c r="P196" s="1362">
        <v>30000</v>
      </c>
      <c r="Q196" s="1239"/>
      <c r="R196" s="1265"/>
      <c r="S196" s="1937" t="s">
        <v>413</v>
      </c>
      <c r="T196" s="1864">
        <v>1</v>
      </c>
      <c r="U196" s="1283"/>
      <c r="V196" s="1872"/>
    </row>
    <row r="197" spans="1:25" ht="15.75" customHeight="1" x14ac:dyDescent="0.2">
      <c r="A197" s="2034"/>
      <c r="B197" s="2040"/>
      <c r="C197" s="2059"/>
      <c r="D197" s="1913"/>
      <c r="E197" s="3507"/>
      <c r="F197" s="3508"/>
      <c r="G197" s="1907"/>
      <c r="H197" s="1508"/>
      <c r="I197" s="3681"/>
      <c r="J197" s="1924"/>
      <c r="K197" s="1269"/>
      <c r="L197" s="2124"/>
      <c r="M197" s="1517"/>
      <c r="N197" s="2613"/>
      <c r="O197" s="1613"/>
      <c r="P197" s="1362"/>
      <c r="Q197" s="1239"/>
      <c r="R197" s="1265"/>
      <c r="S197" s="1986"/>
      <c r="T197" s="1225"/>
      <c r="U197" s="1278"/>
      <c r="V197" s="1510"/>
    </row>
    <row r="198" spans="1:25" ht="20.25" customHeight="1" x14ac:dyDescent="0.2">
      <c r="A198" s="2034"/>
      <c r="B198" s="2040"/>
      <c r="C198" s="2042"/>
      <c r="D198" s="1914" t="s">
        <v>403</v>
      </c>
      <c r="E198" s="3509" t="s">
        <v>508</v>
      </c>
      <c r="F198" s="3508"/>
      <c r="G198" s="1906"/>
      <c r="H198" s="1507"/>
      <c r="I198" s="3681"/>
      <c r="J198" s="1923" t="s">
        <v>22</v>
      </c>
      <c r="K198" s="1663"/>
      <c r="L198" s="2124"/>
      <c r="M198" s="1891">
        <f>N198+P198</f>
        <v>247500</v>
      </c>
      <c r="N198" s="1371"/>
      <c r="O198" s="1612"/>
      <c r="P198" s="1372">
        <v>247500</v>
      </c>
      <c r="Q198" s="1651"/>
      <c r="R198" s="1665"/>
      <c r="S198" s="3512" t="s">
        <v>412</v>
      </c>
      <c r="T198" s="1864">
        <v>3</v>
      </c>
      <c r="U198" s="1283"/>
      <c r="V198" s="1872"/>
    </row>
    <row r="199" spans="1:25" ht="20.25" customHeight="1" x14ac:dyDescent="0.2">
      <c r="A199" s="2034"/>
      <c r="B199" s="2040"/>
      <c r="C199" s="2059"/>
      <c r="D199" s="1915"/>
      <c r="E199" s="3510"/>
      <c r="F199" s="3508"/>
      <c r="G199" s="1906"/>
      <c r="H199" s="1507"/>
      <c r="I199" s="3681"/>
      <c r="J199" s="1925"/>
      <c r="K199" s="1666"/>
      <c r="L199" s="2124"/>
      <c r="M199" s="2602"/>
      <c r="N199" s="1842"/>
      <c r="O199" s="1365"/>
      <c r="P199" s="1366"/>
      <c r="Q199" s="1284"/>
      <c r="R199" s="1459"/>
      <c r="S199" s="3512"/>
      <c r="T199" s="1225"/>
      <c r="U199" s="1278"/>
      <c r="V199" s="1510"/>
    </row>
    <row r="200" spans="1:25" ht="38.25" customHeight="1" x14ac:dyDescent="0.2">
      <c r="A200" s="2034"/>
      <c r="B200" s="2040"/>
      <c r="C200" s="2042"/>
      <c r="D200" s="2060" t="s">
        <v>404</v>
      </c>
      <c r="E200" s="1873" t="s">
        <v>407</v>
      </c>
      <c r="F200" s="1869" t="s">
        <v>136</v>
      </c>
      <c r="G200" s="2158"/>
      <c r="H200" s="2170"/>
      <c r="I200" s="2159"/>
      <c r="J200" s="2161" t="s">
        <v>22</v>
      </c>
      <c r="K200" s="1799">
        <v>21142</v>
      </c>
      <c r="L200" s="2047">
        <v>15997</v>
      </c>
      <c r="M200" s="1356">
        <f>N200+P200</f>
        <v>44200</v>
      </c>
      <c r="N200" s="1612"/>
      <c r="O200" s="1371"/>
      <c r="P200" s="1347">
        <v>44200</v>
      </c>
      <c r="Q200" s="1651">
        <v>44200</v>
      </c>
      <c r="R200" s="1665">
        <v>44200</v>
      </c>
      <c r="S200" s="1977" t="s">
        <v>417</v>
      </c>
      <c r="T200" s="1643">
        <v>2</v>
      </c>
      <c r="U200" s="1644">
        <v>2</v>
      </c>
      <c r="V200" s="1532">
        <v>2</v>
      </c>
    </row>
    <row r="201" spans="1:25" ht="18.75" customHeight="1" x14ac:dyDescent="0.2">
      <c r="A201" s="2134"/>
      <c r="B201" s="2136"/>
      <c r="C201" s="1701"/>
      <c r="D201" s="2214" t="s">
        <v>405</v>
      </c>
      <c r="E201" s="3509" t="s">
        <v>460</v>
      </c>
      <c r="F201" s="2172"/>
      <c r="G201" s="2103"/>
      <c r="H201" s="1508"/>
      <c r="I201" s="1574"/>
      <c r="J201" s="2174" t="s">
        <v>22</v>
      </c>
      <c r="K201" s="1709"/>
      <c r="L201" s="2163"/>
      <c r="M201" s="1794">
        <v>27600</v>
      </c>
      <c r="N201" s="1544"/>
      <c r="O201" s="1393"/>
      <c r="P201" s="1775">
        <v>27600</v>
      </c>
      <c r="Q201" s="1651"/>
      <c r="R201" s="1665"/>
      <c r="S201" s="1646" t="s">
        <v>431</v>
      </c>
      <c r="T201" s="1643"/>
      <c r="U201" s="1644"/>
      <c r="V201" s="1532"/>
    </row>
    <row r="202" spans="1:25" ht="18.75" customHeight="1" x14ac:dyDescent="0.2">
      <c r="A202" s="2134"/>
      <c r="B202" s="2136"/>
      <c r="C202" s="1701"/>
      <c r="D202" s="2110"/>
      <c r="E202" s="3507"/>
      <c r="F202" s="2172"/>
      <c r="G202" s="2103"/>
      <c r="H202" s="1508"/>
      <c r="I202" s="1574"/>
      <c r="J202" s="2175"/>
      <c r="K202" s="1269"/>
      <c r="L202" s="2147"/>
      <c r="M202" s="1232"/>
      <c r="N202" s="2552"/>
      <c r="O202" s="1529"/>
      <c r="P202" s="2079"/>
      <c r="Q202" s="1239"/>
      <c r="R202" s="1265"/>
      <c r="S202" s="1638" t="s">
        <v>432</v>
      </c>
      <c r="T202" s="2232">
        <v>10</v>
      </c>
      <c r="U202" s="1283"/>
      <c r="V202" s="1872"/>
    </row>
    <row r="203" spans="1:25" ht="18" customHeight="1" x14ac:dyDescent="0.2">
      <c r="A203" s="2134"/>
      <c r="B203" s="2136"/>
      <c r="C203" s="1701"/>
      <c r="D203" s="2111"/>
      <c r="E203" s="3510"/>
      <c r="F203" s="2179"/>
      <c r="G203" s="2104"/>
      <c r="H203" s="1576"/>
      <c r="I203" s="1574"/>
      <c r="J203" s="2176"/>
      <c r="K203" s="1452"/>
      <c r="L203" s="2164"/>
      <c r="M203" s="1224"/>
      <c r="N203" s="2583"/>
      <c r="O203" s="2601"/>
      <c r="P203" s="2587"/>
      <c r="Q203" s="1284"/>
      <c r="R203" s="1459"/>
      <c r="S203" s="2107" t="s">
        <v>509</v>
      </c>
      <c r="T203" s="1225">
        <v>2</v>
      </c>
      <c r="U203" s="1278"/>
      <c r="V203" s="1510"/>
    </row>
    <row r="204" spans="1:25" ht="31.5" customHeight="1" x14ac:dyDescent="0.2">
      <c r="A204" s="2034"/>
      <c r="B204" s="2040"/>
      <c r="C204" s="2059"/>
      <c r="D204" s="2211" t="s">
        <v>408</v>
      </c>
      <c r="E204" s="2140" t="s">
        <v>274</v>
      </c>
      <c r="F204" s="1859"/>
      <c r="G204" s="1907"/>
      <c r="H204" s="1508"/>
      <c r="I204" s="1855"/>
      <c r="J204" s="2142" t="s">
        <v>22</v>
      </c>
      <c r="K204" s="1269">
        <v>101367</v>
      </c>
      <c r="L204" s="2147">
        <v>87922</v>
      </c>
      <c r="M204" s="1517"/>
      <c r="N204" s="2555"/>
      <c r="O204" s="1613"/>
      <c r="P204" s="1362"/>
      <c r="Q204" s="1239"/>
      <c r="R204" s="1265"/>
      <c r="S204" s="1771"/>
      <c r="T204" s="1523"/>
      <c r="U204" s="1283"/>
      <c r="V204" s="1872"/>
    </row>
    <row r="205" spans="1:25" ht="13.5" thickBot="1" x14ac:dyDescent="0.25">
      <c r="A205" s="2034"/>
      <c r="B205" s="2040"/>
      <c r="C205" s="2042"/>
      <c r="D205" s="1629"/>
      <c r="E205" s="1558"/>
      <c r="F205" s="1558"/>
      <c r="G205" s="1905"/>
      <c r="H205" s="1614"/>
      <c r="I205" s="1858"/>
      <c r="J205" s="1970" t="s">
        <v>23</v>
      </c>
      <c r="K205" s="1614">
        <f t="shared" ref="K205:R205" si="30">SUM(K185:K204)</f>
        <v>1593084</v>
      </c>
      <c r="L205" s="2084">
        <f t="shared" si="30"/>
        <v>1585364</v>
      </c>
      <c r="M205" s="2614">
        <f t="shared" si="30"/>
        <v>1854800</v>
      </c>
      <c r="N205" s="2595">
        <f t="shared" si="30"/>
        <v>1448500</v>
      </c>
      <c r="O205" s="2594">
        <f t="shared" si="30"/>
        <v>0</v>
      </c>
      <c r="P205" s="2615">
        <f t="shared" si="30"/>
        <v>406300</v>
      </c>
      <c r="Q205" s="1564">
        <f t="shared" si="30"/>
        <v>1579700</v>
      </c>
      <c r="R205" s="1916">
        <f t="shared" si="30"/>
        <v>1579700</v>
      </c>
      <c r="S205" s="1639"/>
      <c r="T205" s="1559"/>
      <c r="U205" s="1980"/>
      <c r="V205" s="1599"/>
    </row>
    <row r="206" spans="1:25" ht="27" customHeight="1" x14ac:dyDescent="0.2">
      <c r="A206" s="3154" t="s">
        <v>24</v>
      </c>
      <c r="B206" s="3117" t="s">
        <v>26</v>
      </c>
      <c r="C206" s="132" t="s">
        <v>26</v>
      </c>
      <c r="D206" s="3701"/>
      <c r="E206" s="3494" t="s">
        <v>59</v>
      </c>
      <c r="F206" s="3496"/>
      <c r="G206" s="1902" t="s">
        <v>21</v>
      </c>
      <c r="H206" s="3498">
        <v>2</v>
      </c>
      <c r="I206" s="3687" t="s">
        <v>161</v>
      </c>
      <c r="J206" s="1779" t="s">
        <v>22</v>
      </c>
      <c r="K206" s="1725">
        <v>31279</v>
      </c>
      <c r="L206" s="1835">
        <v>31279</v>
      </c>
      <c r="M206" s="2616">
        <v>31300</v>
      </c>
      <c r="N206" s="2556">
        <v>31300</v>
      </c>
      <c r="O206" s="2603"/>
      <c r="P206" s="2582"/>
      <c r="Q206" s="1446">
        <f>M206</f>
        <v>31300</v>
      </c>
      <c r="R206" s="1446">
        <f>M206</f>
        <v>31300</v>
      </c>
      <c r="S206" s="3500" t="s">
        <v>307</v>
      </c>
      <c r="T206" s="1570">
        <v>300</v>
      </c>
      <c r="U206" s="1823">
        <v>300</v>
      </c>
      <c r="V206" s="1598">
        <v>300</v>
      </c>
    </row>
    <row r="207" spans="1:25" ht="15.75" customHeight="1" thickBot="1" x14ac:dyDescent="0.25">
      <c r="A207" s="3156"/>
      <c r="B207" s="3118"/>
      <c r="C207" s="130"/>
      <c r="D207" s="3702"/>
      <c r="E207" s="3495"/>
      <c r="F207" s="3497"/>
      <c r="G207" s="1909"/>
      <c r="H207" s="3499"/>
      <c r="I207" s="3692"/>
      <c r="J207" s="1434" t="s">
        <v>23</v>
      </c>
      <c r="K207" s="1379">
        <f>SUM(K206)</f>
        <v>31279</v>
      </c>
      <c r="L207" s="2081">
        <f>L206</f>
        <v>31279</v>
      </c>
      <c r="M207" s="1418">
        <f>N207+P207</f>
        <v>31300</v>
      </c>
      <c r="N207" s="1279">
        <f>SUM(N206)</f>
        <v>31300</v>
      </c>
      <c r="O207" s="1279"/>
      <c r="P207" s="1312"/>
      <c r="Q207" s="1286">
        <f>SUM(Q206)</f>
        <v>31300</v>
      </c>
      <c r="R207" s="1287">
        <f>SUM(R206)</f>
        <v>31300</v>
      </c>
      <c r="S207" s="3501"/>
      <c r="T207" s="1559"/>
      <c r="U207" s="1824"/>
      <c r="V207" s="1599"/>
    </row>
    <row r="208" spans="1:25" ht="15" customHeight="1" thickBot="1" x14ac:dyDescent="0.25">
      <c r="A208" s="30" t="s">
        <v>24</v>
      </c>
      <c r="B208" s="32" t="s">
        <v>26</v>
      </c>
      <c r="C208" s="3480" t="s">
        <v>27</v>
      </c>
      <c r="D208" s="3481"/>
      <c r="E208" s="3481"/>
      <c r="F208" s="3481"/>
      <c r="G208" s="3481"/>
      <c r="H208" s="3481"/>
      <c r="I208" s="3481"/>
      <c r="J208" s="3482"/>
      <c r="K208" s="1821">
        <f>K207+K205</f>
        <v>1624363</v>
      </c>
      <c r="L208" s="1432">
        <f>L207+L205</f>
        <v>1616643</v>
      </c>
      <c r="M208" s="1606">
        <f t="shared" ref="M208:R208" si="31">M207+M205</f>
        <v>1886100</v>
      </c>
      <c r="N208" s="1430">
        <f t="shared" si="31"/>
        <v>1479800</v>
      </c>
      <c r="O208" s="1430"/>
      <c r="P208" s="2553">
        <f t="shared" si="31"/>
        <v>406300</v>
      </c>
      <c r="Q208" s="1919">
        <f t="shared" si="31"/>
        <v>1611000</v>
      </c>
      <c r="R208" s="1919">
        <f t="shared" si="31"/>
        <v>1611000</v>
      </c>
      <c r="S208" s="3483"/>
      <c r="T208" s="3484"/>
      <c r="U208" s="3484"/>
      <c r="V208" s="3485"/>
    </row>
    <row r="209" spans="1:43" ht="15.75" customHeight="1" thickBot="1" x14ac:dyDescent="0.25">
      <c r="A209" s="30" t="s">
        <v>24</v>
      </c>
      <c r="B209" s="3486" t="s">
        <v>10</v>
      </c>
      <c r="C209" s="3486"/>
      <c r="D209" s="3486"/>
      <c r="E209" s="3486"/>
      <c r="F209" s="3486"/>
      <c r="G209" s="3486"/>
      <c r="H209" s="3486"/>
      <c r="I209" s="3486"/>
      <c r="J209" s="3486"/>
      <c r="K209" s="1989">
        <f t="shared" ref="K209:R209" si="32">K208+K182+K171</f>
        <v>2969650</v>
      </c>
      <c r="L209" s="2085">
        <f t="shared" si="32"/>
        <v>3373150</v>
      </c>
      <c r="M209" s="2617">
        <f t="shared" si="32"/>
        <v>4730000</v>
      </c>
      <c r="N209" s="2190">
        <f t="shared" si="32"/>
        <v>1682100</v>
      </c>
      <c r="O209" s="2618">
        <f t="shared" si="32"/>
        <v>2400</v>
      </c>
      <c r="P209" s="1998">
        <f t="shared" si="32"/>
        <v>3043900</v>
      </c>
      <c r="Q209" s="1822">
        <f t="shared" si="32"/>
        <v>3952400</v>
      </c>
      <c r="R209" s="1822">
        <f t="shared" si="32"/>
        <v>5866500</v>
      </c>
      <c r="S209" s="3487"/>
      <c r="T209" s="3488"/>
      <c r="U209" s="3488"/>
      <c r="V209" s="3489"/>
    </row>
    <row r="210" spans="1:43" ht="14.25" customHeight="1" thickBot="1" x14ac:dyDescent="0.25">
      <c r="A210" s="33" t="s">
        <v>9</v>
      </c>
      <c r="B210" s="3490" t="s">
        <v>11</v>
      </c>
      <c r="C210" s="3490"/>
      <c r="D210" s="3490"/>
      <c r="E210" s="3490"/>
      <c r="F210" s="3490"/>
      <c r="G210" s="3490"/>
      <c r="H210" s="3490"/>
      <c r="I210" s="3490"/>
      <c r="J210" s="3490"/>
      <c r="K210" s="1990">
        <f t="shared" ref="K210:R210" si="33">K209+K85</f>
        <v>60877719</v>
      </c>
      <c r="L210" s="2086">
        <f t="shared" si="33"/>
        <v>62918438</v>
      </c>
      <c r="M210" s="2619">
        <f t="shared" si="33"/>
        <v>64493600</v>
      </c>
      <c r="N210" s="2620">
        <f t="shared" si="33"/>
        <v>61303890</v>
      </c>
      <c r="O210" s="2621">
        <f t="shared" si="33"/>
        <v>39260933</v>
      </c>
      <c r="P210" s="2622">
        <f t="shared" si="33"/>
        <v>3185670</v>
      </c>
      <c r="Q210" s="1467">
        <f t="shared" si="33"/>
        <v>63546100</v>
      </c>
      <c r="R210" s="1467">
        <f t="shared" si="33"/>
        <v>65354600</v>
      </c>
      <c r="S210" s="3491"/>
      <c r="T210" s="3492"/>
      <c r="U210" s="3492"/>
      <c r="V210" s="3493"/>
    </row>
    <row r="211" spans="1:43" s="1583" customFormat="1" ht="15" customHeight="1" x14ac:dyDescent="0.2">
      <c r="A211" s="3708" t="s">
        <v>321</v>
      </c>
      <c r="B211" s="3708"/>
      <c r="C211" s="3708"/>
      <c r="D211" s="3708"/>
      <c r="E211" s="3708"/>
      <c r="F211" s="3708"/>
      <c r="G211" s="3708"/>
      <c r="H211" s="3708"/>
      <c r="I211" s="3708"/>
      <c r="J211" s="3708"/>
      <c r="K211" s="3708"/>
      <c r="L211" s="3708"/>
      <c r="M211" s="3708"/>
      <c r="N211" s="3708"/>
      <c r="O211" s="3708"/>
      <c r="P211" s="3708"/>
      <c r="Q211" s="3708"/>
      <c r="R211" s="3708"/>
      <c r="S211" s="3708"/>
      <c r="T211" s="3708"/>
      <c r="U211" s="3708"/>
      <c r="V211" s="3708"/>
      <c r="W211" s="1582"/>
      <c r="X211" s="1582"/>
      <c r="Y211" s="1582"/>
      <c r="Z211" s="1582"/>
      <c r="AA211" s="1582"/>
      <c r="AB211" s="1582"/>
      <c r="AC211" s="1582"/>
      <c r="AD211" s="1582"/>
      <c r="AE211" s="1582"/>
      <c r="AF211" s="1582"/>
      <c r="AG211" s="1582"/>
      <c r="AH211" s="1582"/>
      <c r="AI211" s="1582"/>
      <c r="AJ211" s="1582"/>
      <c r="AK211" s="1582"/>
      <c r="AL211" s="1582"/>
      <c r="AM211" s="1582"/>
      <c r="AN211" s="1582"/>
      <c r="AO211" s="1582"/>
      <c r="AP211" s="1582"/>
      <c r="AQ211" s="1582"/>
    </row>
    <row r="212" spans="1:43" s="1583" customFormat="1" ht="14.25" customHeight="1" x14ac:dyDescent="0.2">
      <c r="A212" s="3709" t="s">
        <v>392</v>
      </c>
      <c r="B212" s="3709"/>
      <c r="C212" s="3709"/>
      <c r="D212" s="3709"/>
      <c r="E212" s="3709"/>
      <c r="F212" s="3709"/>
      <c r="G212" s="3709"/>
      <c r="H212" s="3709"/>
      <c r="I212" s="3709"/>
      <c r="J212" s="3709"/>
      <c r="K212" s="3709"/>
      <c r="L212" s="3709"/>
      <c r="M212" s="3709"/>
      <c r="N212" s="3709"/>
      <c r="O212" s="3709"/>
      <c r="P212" s="3709"/>
      <c r="Q212" s="3709"/>
      <c r="R212" s="3709"/>
      <c r="S212" s="3709"/>
      <c r="T212" s="3709"/>
      <c r="U212" s="3709"/>
      <c r="V212" s="3709"/>
      <c r="W212" s="1582"/>
      <c r="X212" s="1582"/>
      <c r="Y212" s="1582"/>
      <c r="Z212" s="1582"/>
      <c r="AA212" s="1582"/>
      <c r="AB212" s="1582"/>
      <c r="AC212" s="1582"/>
      <c r="AD212" s="1582"/>
      <c r="AE212" s="1582"/>
      <c r="AF212" s="1582"/>
      <c r="AG212" s="1582"/>
      <c r="AH212" s="1582"/>
      <c r="AI212" s="1582"/>
      <c r="AJ212" s="1582"/>
      <c r="AK212" s="1582"/>
      <c r="AL212" s="1582"/>
      <c r="AM212" s="1582"/>
      <c r="AN212" s="1582"/>
      <c r="AO212" s="1582"/>
      <c r="AP212" s="1582"/>
      <c r="AQ212" s="1582"/>
    </row>
    <row r="213" spans="1:43" s="1583" customFormat="1" ht="14.25" customHeight="1" x14ac:dyDescent="0.2">
      <c r="A213" s="3709" t="s">
        <v>468</v>
      </c>
      <c r="B213" s="3709"/>
      <c r="C213" s="3709"/>
      <c r="D213" s="3709"/>
      <c r="E213" s="3709"/>
      <c r="F213" s="3709"/>
      <c r="G213" s="3709"/>
      <c r="H213" s="3709"/>
      <c r="I213" s="3709"/>
      <c r="J213" s="3709"/>
      <c r="K213" s="3709"/>
      <c r="L213" s="3709"/>
      <c r="M213" s="3709"/>
      <c r="N213" s="3709"/>
      <c r="O213" s="3709"/>
      <c r="P213" s="3709"/>
      <c r="Q213" s="3709"/>
      <c r="R213" s="3709"/>
      <c r="S213" s="3709"/>
      <c r="T213" s="3709"/>
      <c r="U213" s="3709"/>
      <c r="V213" s="3709"/>
      <c r="W213" s="1582"/>
      <c r="X213" s="1582"/>
      <c r="Y213" s="1582"/>
      <c r="Z213" s="1582"/>
      <c r="AA213" s="1582"/>
      <c r="AB213" s="1582"/>
      <c r="AC213" s="1582"/>
      <c r="AD213" s="1582"/>
      <c r="AE213" s="1582"/>
      <c r="AF213" s="1582"/>
      <c r="AG213" s="1582"/>
      <c r="AH213" s="1582"/>
      <c r="AI213" s="1582"/>
      <c r="AJ213" s="1582"/>
      <c r="AK213" s="1582"/>
      <c r="AL213" s="1582"/>
      <c r="AM213" s="1582"/>
      <c r="AN213" s="1582"/>
      <c r="AO213" s="1582"/>
      <c r="AP213" s="1582"/>
      <c r="AQ213" s="1582"/>
    </row>
    <row r="214" spans="1:43" s="1583" customFormat="1" ht="14.25" customHeight="1" x14ac:dyDescent="0.2">
      <c r="A214" s="3709"/>
      <c r="B214" s="3709"/>
      <c r="C214" s="3709"/>
      <c r="D214" s="3709"/>
      <c r="E214" s="3709"/>
      <c r="F214" s="3709"/>
      <c r="G214" s="3709"/>
      <c r="H214" s="3709"/>
      <c r="I214" s="3709"/>
      <c r="J214" s="3709"/>
      <c r="K214" s="3709"/>
      <c r="L214" s="3709"/>
      <c r="M214" s="3709"/>
      <c r="N214" s="3709"/>
      <c r="O214" s="3709"/>
      <c r="P214" s="3709"/>
      <c r="Q214" s="3709"/>
      <c r="R214" s="3709"/>
      <c r="S214" s="1975"/>
      <c r="T214" s="1975"/>
      <c r="U214" s="1975"/>
      <c r="V214" s="1975"/>
      <c r="W214" s="1582"/>
      <c r="X214" s="1582"/>
      <c r="Y214" s="1582"/>
      <c r="Z214" s="1582"/>
      <c r="AA214" s="1582"/>
      <c r="AB214" s="1582"/>
      <c r="AC214" s="1582"/>
      <c r="AD214" s="1582"/>
      <c r="AE214" s="1582"/>
      <c r="AF214" s="1582"/>
      <c r="AG214" s="1582"/>
      <c r="AH214" s="1582"/>
      <c r="AI214" s="1582"/>
      <c r="AJ214" s="1582"/>
      <c r="AK214" s="1582"/>
      <c r="AL214" s="1582"/>
      <c r="AM214" s="1582"/>
      <c r="AN214" s="1582"/>
      <c r="AO214" s="1582"/>
      <c r="AP214" s="1582"/>
      <c r="AQ214" s="1582"/>
    </row>
    <row r="215" spans="1:43" s="1590" customFormat="1" ht="13.5" thickBot="1" x14ac:dyDescent="0.25">
      <c r="A215" s="3503" t="s">
        <v>2</v>
      </c>
      <c r="B215" s="3503"/>
      <c r="C215" s="3503"/>
      <c r="D215" s="3503"/>
      <c r="E215" s="3503"/>
      <c r="F215" s="3503"/>
      <c r="G215" s="3503"/>
      <c r="H215" s="3503"/>
      <c r="I215" s="3503"/>
      <c r="J215" s="3503"/>
      <c r="K215" s="3503"/>
      <c r="L215" s="3503"/>
      <c r="M215" s="3503"/>
      <c r="N215" s="3503"/>
      <c r="O215" s="3503"/>
      <c r="P215" s="3503"/>
      <c r="Q215" s="3503"/>
      <c r="R215" s="3503"/>
      <c r="S215" s="1588"/>
      <c r="T215" s="1588"/>
      <c r="U215" s="1588"/>
      <c r="V215" s="1589"/>
    </row>
    <row r="216" spans="1:43" s="1495" customFormat="1" ht="63.75" customHeight="1" thickBot="1" x14ac:dyDescent="0.25">
      <c r="A216" s="3717" t="s">
        <v>3</v>
      </c>
      <c r="B216" s="3718"/>
      <c r="C216" s="3718"/>
      <c r="D216" s="3718"/>
      <c r="E216" s="3718"/>
      <c r="F216" s="3718"/>
      <c r="G216" s="3718"/>
      <c r="H216" s="3718"/>
      <c r="I216" s="3718"/>
      <c r="J216" s="3719"/>
      <c r="K216" s="2818" t="s">
        <v>421</v>
      </c>
      <c r="L216" s="2819" t="s">
        <v>422</v>
      </c>
      <c r="M216" s="2820" t="s">
        <v>411</v>
      </c>
      <c r="N216" s="2821"/>
      <c r="O216" s="2821"/>
      <c r="P216" s="2822"/>
      <c r="Q216" s="2747" t="s">
        <v>326</v>
      </c>
      <c r="R216" s="1473" t="s">
        <v>396</v>
      </c>
      <c r="S216" s="1826"/>
      <c r="T216" s="3462"/>
      <c r="U216" s="3462"/>
      <c r="V216" s="1561"/>
      <c r="Y216" s="1492"/>
    </row>
    <row r="217" spans="1:43" s="1495" customFormat="1" x14ac:dyDescent="0.2">
      <c r="A217" s="3459" t="s">
        <v>33</v>
      </c>
      <c r="B217" s="3460"/>
      <c r="C217" s="3460"/>
      <c r="D217" s="3460"/>
      <c r="E217" s="3460"/>
      <c r="F217" s="3460"/>
      <c r="G217" s="3460"/>
      <c r="H217" s="3460"/>
      <c r="I217" s="3460"/>
      <c r="J217" s="3461"/>
      <c r="K217" s="1803">
        <f>SUM(K218:K224)</f>
        <v>60550854</v>
      </c>
      <c r="L217" s="2007">
        <f>SUM(L218:L224)</f>
        <v>62368525</v>
      </c>
      <c r="M217" s="2012">
        <f>SUM(M218:M224)</f>
        <v>62650300</v>
      </c>
      <c r="N217" s="1954"/>
      <c r="O217" s="1954"/>
      <c r="P217" s="1955"/>
      <c r="Q217" s="2533">
        <f>SUM(Q218:Q224)</f>
        <v>62554000</v>
      </c>
      <c r="R217" s="1475">
        <f>SUM(R218:R224)</f>
        <v>62234300</v>
      </c>
      <c r="S217" s="1826"/>
      <c r="T217" s="3462"/>
      <c r="U217" s="3462"/>
      <c r="V217" s="1561"/>
    </row>
    <row r="218" spans="1:43" s="1495" customFormat="1" x14ac:dyDescent="0.2">
      <c r="A218" s="3452" t="s">
        <v>36</v>
      </c>
      <c r="B218" s="3453"/>
      <c r="C218" s="3453"/>
      <c r="D218" s="3453"/>
      <c r="E218" s="3453"/>
      <c r="F218" s="3453"/>
      <c r="G218" s="3453"/>
      <c r="H218" s="3453"/>
      <c r="I218" s="3707"/>
      <c r="J218" s="3454"/>
      <c r="K218" s="1802">
        <f>SUMIF(J15:J207,"sb",K15:K207)</f>
        <v>23551061</v>
      </c>
      <c r="L218" s="2008">
        <f>SUMIF(J15:J207,"sb",L15:L207)</f>
        <v>24044374</v>
      </c>
      <c r="M218" s="2013">
        <f>SUMIF(J15:J206,"sb",M15:M206)</f>
        <v>25741200</v>
      </c>
      <c r="N218" s="1956"/>
      <c r="O218" s="1956"/>
      <c r="P218" s="1957"/>
      <c r="Q218" s="2532">
        <f>SUMIF(J15:J207,"sb",Q15:Q207)</f>
        <v>25561200</v>
      </c>
      <c r="R218" s="1477">
        <f>SUMIF(J15:J207,"sb",R15:R207)</f>
        <v>25198300</v>
      </c>
      <c r="S218" s="1827"/>
      <c r="T218" s="3455"/>
      <c r="U218" s="3455"/>
      <c r="V218" s="1561"/>
    </row>
    <row r="219" spans="1:43" s="1495" customFormat="1" x14ac:dyDescent="0.2">
      <c r="A219" s="3714" t="s">
        <v>265</v>
      </c>
      <c r="B219" s="3715"/>
      <c r="C219" s="3715"/>
      <c r="D219" s="3715"/>
      <c r="E219" s="3715"/>
      <c r="F219" s="3715"/>
      <c r="G219" s="3715"/>
      <c r="H219" s="3715"/>
      <c r="I219" s="3715"/>
      <c r="J219" s="3716"/>
      <c r="K219" s="1802">
        <f>SUMIF(J15:J207,"sb(l)",K15:K207)</f>
        <v>8431</v>
      </c>
      <c r="L219" s="2008">
        <f>SUMIF(J15:J207,"sb(l)",L15:L207)</f>
        <v>8431</v>
      </c>
      <c r="M219" s="2013">
        <f>SUMIF(J15:J207,"sb(l)",M15:M207)</f>
        <v>0</v>
      </c>
      <c r="N219" s="1956"/>
      <c r="O219" s="1956"/>
      <c r="P219" s="1957"/>
      <c r="Q219" s="2532"/>
      <c r="R219" s="1477"/>
      <c r="S219" s="1827"/>
      <c r="T219" s="1827"/>
      <c r="U219" s="1827"/>
      <c r="V219" s="1561"/>
    </row>
    <row r="220" spans="1:43" s="1495" customFormat="1" x14ac:dyDescent="0.2">
      <c r="A220" s="3452" t="s">
        <v>44</v>
      </c>
      <c r="B220" s="3453"/>
      <c r="C220" s="3453"/>
      <c r="D220" s="3453"/>
      <c r="E220" s="3453"/>
      <c r="F220" s="3453"/>
      <c r="G220" s="3453"/>
      <c r="H220" s="3453"/>
      <c r="I220" s="3707"/>
      <c r="J220" s="3454"/>
      <c r="K220" s="1802">
        <f>SUMIF(J15:J206,"sb(sp)",K15:K206)</f>
        <v>5008279</v>
      </c>
      <c r="L220" s="2008">
        <f>SUMIF(J15:J206,"sb(sp)",L15:L206)</f>
        <v>6135164</v>
      </c>
      <c r="M220" s="1652">
        <f>SUMIF(J15:J207,"sb(sp)",M15:M207)</f>
        <v>5663900</v>
      </c>
      <c r="N220" s="2623"/>
      <c r="O220" s="2623"/>
      <c r="P220" s="2624"/>
      <c r="Q220" s="2532">
        <f>SUMIF(J15:J207,"sb(sp)",Q15:Q207)</f>
        <v>5663900</v>
      </c>
      <c r="R220" s="1477">
        <f>SUMIF(J15:J207,"sb(sp)",R15:R207)</f>
        <v>5663900</v>
      </c>
      <c r="S220" s="1827"/>
      <c r="T220" s="3455"/>
      <c r="U220" s="3455"/>
      <c r="V220" s="1561"/>
    </row>
    <row r="221" spans="1:43" s="1495" customFormat="1" x14ac:dyDescent="0.2">
      <c r="A221" s="3714" t="s">
        <v>397</v>
      </c>
      <c r="B221" s="3715"/>
      <c r="C221" s="3715"/>
      <c r="D221" s="3715"/>
      <c r="E221" s="3715"/>
      <c r="F221" s="3715"/>
      <c r="G221" s="3715"/>
      <c r="H221" s="3715"/>
      <c r="I221" s="3715"/>
      <c r="J221" s="3716"/>
      <c r="K221" s="1802">
        <f>SUMIF(J15:J206,"sb(spl)",K15:K206)</f>
        <v>681245</v>
      </c>
      <c r="L221" s="2008">
        <f>SUMIF(J15:J206,"sb(spl)",L15:L206)</f>
        <v>0</v>
      </c>
      <c r="M221" s="1640"/>
      <c r="N221" s="1841"/>
      <c r="O221" s="1841"/>
      <c r="P221" s="1795"/>
      <c r="Q221" s="1548"/>
      <c r="R221" s="2749"/>
      <c r="S221" s="1827"/>
      <c r="T221" s="1827"/>
      <c r="U221" s="1827"/>
      <c r="V221" s="1561"/>
    </row>
    <row r="222" spans="1:43" s="1495" customFormat="1" x14ac:dyDescent="0.2">
      <c r="A222" s="3452" t="s">
        <v>37</v>
      </c>
      <c r="B222" s="3453"/>
      <c r="C222" s="3453"/>
      <c r="D222" s="3453"/>
      <c r="E222" s="3453"/>
      <c r="F222" s="3453"/>
      <c r="G222" s="3453"/>
      <c r="H222" s="3453"/>
      <c r="I222" s="3707"/>
      <c r="J222" s="3454"/>
      <c r="K222" s="1802">
        <f>SUMIF(J15:J206,"sb(vb)",K15:K206)</f>
        <v>31035039</v>
      </c>
      <c r="L222" s="2008">
        <f>SUMIF(J15:J206,"sb(vb)",L15:L206)</f>
        <v>31876914</v>
      </c>
      <c r="M222" s="2013">
        <f>SUMIF(J15:J207,"sb(vb)",M15:M207)</f>
        <v>31245200</v>
      </c>
      <c r="N222" s="1956"/>
      <c r="O222" s="1956"/>
      <c r="P222" s="1957"/>
      <c r="Q222" s="1548">
        <f>SUMIF(J15:J206,"sb(vb)",Q15:Q206)</f>
        <v>31328900</v>
      </c>
      <c r="R222" s="2749">
        <f>SUMIF(J15:J207,"sb(vb)",R15:R207)</f>
        <v>31372100</v>
      </c>
      <c r="S222" s="1827"/>
      <c r="T222" s="3455"/>
      <c r="U222" s="3455"/>
      <c r="V222" s="1561"/>
    </row>
    <row r="223" spans="1:43" s="1495" customFormat="1" x14ac:dyDescent="0.2">
      <c r="A223" s="3452" t="s">
        <v>54</v>
      </c>
      <c r="B223" s="3453"/>
      <c r="C223" s="3453"/>
      <c r="D223" s="3453"/>
      <c r="E223" s="3453"/>
      <c r="F223" s="3453"/>
      <c r="G223" s="3453"/>
      <c r="H223" s="3453"/>
      <c r="I223" s="3707"/>
      <c r="J223" s="3454"/>
      <c r="K223" s="1806">
        <f>SUMIF(J15:J206,"sb(p)",K15:K206)</f>
        <v>8863</v>
      </c>
      <c r="L223" s="2009">
        <f>SUMIF(J15:J206,"sb(p)",L15:L206)</f>
        <v>167800</v>
      </c>
      <c r="M223" s="2014">
        <f>SUMIF(J15:J207,"sb(p)",M15:M207)</f>
        <v>0</v>
      </c>
      <c r="N223" s="2101"/>
      <c r="O223" s="2101"/>
      <c r="P223" s="2102"/>
      <c r="Q223" s="2548">
        <f>SUMIF(J15:J207,"sb(p)",Q15:Q207)</f>
        <v>0</v>
      </c>
      <c r="R223" s="2662">
        <f>SUMIF(J15:J207,#REF!,R15:R207)</f>
        <v>0</v>
      </c>
      <c r="S223" s="1827"/>
      <c r="T223" s="3455"/>
      <c r="U223" s="3455"/>
      <c r="V223" s="1561"/>
    </row>
    <row r="224" spans="1:43" s="1495" customFormat="1" ht="13.5" thickBot="1" x14ac:dyDescent="0.25">
      <c r="A224" s="3720" t="s">
        <v>0</v>
      </c>
      <c r="B224" s="3721"/>
      <c r="C224" s="3721"/>
      <c r="D224" s="3721"/>
      <c r="E224" s="3721"/>
      <c r="F224" s="3721"/>
      <c r="G224" s="3721"/>
      <c r="H224" s="3721"/>
      <c r="I224" s="3721"/>
      <c r="J224" s="3722"/>
      <c r="K224" s="1830">
        <f>SUMIF(J15:J206,"pf",K15:K206)</f>
        <v>257936</v>
      </c>
      <c r="L224" s="2010">
        <f>SUMIF(J15:J206,"pf",L15:L206)</f>
        <v>135842</v>
      </c>
      <c r="M224" s="2015">
        <f>SUMIF(J15:J207,"pf",M15:M207)</f>
        <v>0</v>
      </c>
      <c r="N224" s="2816"/>
      <c r="O224" s="1958"/>
      <c r="P224" s="1959"/>
      <c r="Q224" s="2817">
        <f>SUMIF(J15:J180,"pf",Q15:Q180)</f>
        <v>0</v>
      </c>
      <c r="R224" s="1584">
        <f>SUMIF(J15:J207,"pf",R15:R207)</f>
        <v>0</v>
      </c>
      <c r="S224" s="1831"/>
      <c r="T224" s="3455"/>
      <c r="U224" s="3455"/>
      <c r="V224" s="1561"/>
    </row>
    <row r="225" spans="1:22" s="1495" customFormat="1" ht="13.5" thickBot="1" x14ac:dyDescent="0.25">
      <c r="A225" s="3473" t="s">
        <v>34</v>
      </c>
      <c r="B225" s="3474"/>
      <c r="C225" s="3474"/>
      <c r="D225" s="3474"/>
      <c r="E225" s="3474"/>
      <c r="F225" s="3474"/>
      <c r="G225" s="3474"/>
      <c r="H225" s="3474"/>
      <c r="I225" s="3474"/>
      <c r="J225" s="3475"/>
      <c r="K225" s="1805">
        <f>SUM(K226:K229)</f>
        <v>326865</v>
      </c>
      <c r="L225" s="2746">
        <f t="shared" ref="L225:R225" si="34">SUM(L226:L229)</f>
        <v>549913</v>
      </c>
      <c r="M225" s="2746">
        <f t="shared" si="34"/>
        <v>1843300</v>
      </c>
      <c r="N225" s="3725"/>
      <c r="O225" s="3289"/>
      <c r="P225" s="3290"/>
      <c r="Q225" s="2746">
        <f t="shared" si="34"/>
        <v>992100</v>
      </c>
      <c r="R225" s="1481">
        <f t="shared" si="34"/>
        <v>3120300</v>
      </c>
      <c r="S225" s="1828"/>
      <c r="T225" s="3476"/>
      <c r="U225" s="3476"/>
      <c r="V225" s="1561"/>
    </row>
    <row r="226" spans="1:22" s="1495" customFormat="1" ht="15.75" customHeight="1" x14ac:dyDescent="0.2">
      <c r="A226" s="3711" t="s">
        <v>283</v>
      </c>
      <c r="B226" s="3712"/>
      <c r="C226" s="3712"/>
      <c r="D226" s="3712"/>
      <c r="E226" s="3712"/>
      <c r="F226" s="3712"/>
      <c r="G226" s="3712"/>
      <c r="H226" s="3712"/>
      <c r="I226" s="3712"/>
      <c r="J226" s="3713"/>
      <c r="K226" s="2099"/>
      <c r="L226" s="2100">
        <f>SUMIF(J15:J206,"kvjud",L15:L206)</f>
        <v>223048</v>
      </c>
      <c r="M226" s="2099">
        <f>SUMIF(J15:J206,"kvjud",M15:M206)</f>
        <v>1838000</v>
      </c>
      <c r="N226" s="2100"/>
      <c r="O226" s="2548"/>
      <c r="P226" s="2813"/>
      <c r="Q226" s="2535">
        <f>SUMIF(J15:J206,"kvjud",Q15:Q206)</f>
        <v>0</v>
      </c>
      <c r="R226" s="2662">
        <f>SUMIF(O15:O206,"kvjud",R15:R206)</f>
        <v>0</v>
      </c>
      <c r="S226" s="2235"/>
      <c r="T226" s="2235"/>
      <c r="U226" s="2235"/>
      <c r="V226" s="1561"/>
    </row>
    <row r="227" spans="1:22" s="1495" customFormat="1" x14ac:dyDescent="0.2">
      <c r="A227" s="3477" t="s">
        <v>38</v>
      </c>
      <c r="B227" s="3478"/>
      <c r="C227" s="3478"/>
      <c r="D227" s="3478"/>
      <c r="E227" s="3478"/>
      <c r="F227" s="3478"/>
      <c r="G227" s="3478"/>
      <c r="H227" s="3478"/>
      <c r="I227" s="3723"/>
      <c r="J227" s="3479"/>
      <c r="K227" s="1806">
        <f>SUMIF(J15:J206,"es",K15:K206)</f>
        <v>326865</v>
      </c>
      <c r="L227" s="2009">
        <f>SUMIF(J15:J206,"es",L15:L206)</f>
        <v>326865</v>
      </c>
      <c r="M227" s="2014">
        <f>SUMIF(J15:J207,"es",M15:M207)</f>
        <v>3800</v>
      </c>
      <c r="N227" s="2814"/>
      <c r="O227" s="2814"/>
      <c r="P227" s="2815"/>
      <c r="Q227" s="2549">
        <f>SUMIF(J15:J180,"es",Q15:Q180)</f>
        <v>778200</v>
      </c>
      <c r="R227" s="1483">
        <f>SUMIF(J15:J207,"es",R15:R207)</f>
        <v>595900</v>
      </c>
      <c r="S227" s="1831"/>
      <c r="T227" s="3466"/>
      <c r="U227" s="3466"/>
      <c r="V227" s="1561"/>
    </row>
    <row r="228" spans="1:22" s="1495" customFormat="1" x14ac:dyDescent="0.2">
      <c r="A228" s="3463" t="s">
        <v>1</v>
      </c>
      <c r="B228" s="3464"/>
      <c r="C228" s="3464"/>
      <c r="D228" s="3464"/>
      <c r="E228" s="3464"/>
      <c r="F228" s="3464"/>
      <c r="G228" s="3464"/>
      <c r="H228" s="3464"/>
      <c r="I228" s="3724"/>
      <c r="J228" s="3465"/>
      <c r="K228" s="1802">
        <f>SUMIF(J15:J206,"lrvb",K15:K206)</f>
        <v>0</v>
      </c>
      <c r="L228" s="2008">
        <f>SUMIF(J15:J206,"lrvb",L15:L206)</f>
        <v>0</v>
      </c>
      <c r="M228" s="2013">
        <f>SUMIF(J15:J207,"lrvb",M15:M207)</f>
        <v>1500</v>
      </c>
      <c r="N228" s="1956"/>
      <c r="O228" s="1956"/>
      <c r="P228" s="1957"/>
      <c r="Q228" s="2550">
        <f>SUMIF(J15:J206,"lrvb",Q15:Q206)</f>
        <v>0</v>
      </c>
      <c r="R228" s="2748">
        <f>SUMIF(J15:J207,"lrvb",R15:R207)</f>
        <v>0</v>
      </c>
      <c r="S228" s="1831"/>
      <c r="T228" s="3466"/>
      <c r="U228" s="3466"/>
      <c r="V228" s="1561"/>
    </row>
    <row r="229" spans="1:22" s="1495" customFormat="1" ht="13.5" thickBot="1" x14ac:dyDescent="0.25">
      <c r="A229" s="3467" t="s">
        <v>176</v>
      </c>
      <c r="B229" s="3468"/>
      <c r="C229" s="3468"/>
      <c r="D229" s="3468"/>
      <c r="E229" s="3468"/>
      <c r="F229" s="3468"/>
      <c r="G229" s="3468"/>
      <c r="H229" s="3468"/>
      <c r="I229" s="3468"/>
      <c r="J229" s="3469"/>
      <c r="K229" s="1830">
        <f>SUMIF(J15:J207,"kt",K15:K207)</f>
        <v>0</v>
      </c>
      <c r="L229" s="2010">
        <f>SUMIF(J15:J207,"kt",L15:L207)</f>
        <v>0</v>
      </c>
      <c r="M229" s="2015">
        <f>SUMIF(J15:J207,"kt",M15:M207)</f>
        <v>0</v>
      </c>
      <c r="N229" s="1958"/>
      <c r="O229" s="1958"/>
      <c r="P229" s="1959"/>
      <c r="Q229" s="2551">
        <f>SUMIF(J15:J207,"kt",Q15:Q207)</f>
        <v>213900</v>
      </c>
      <c r="R229" s="1584">
        <f>SUMIF(J15:J207,"kt",R15:R207)</f>
        <v>2524400</v>
      </c>
      <c r="S229" s="1831"/>
      <c r="T229" s="1831"/>
      <c r="U229" s="1831"/>
      <c r="V229" s="1561"/>
    </row>
    <row r="230" spans="1:22" ht="13.5" thickBot="1" x14ac:dyDescent="0.25">
      <c r="A230" s="3470" t="s">
        <v>35</v>
      </c>
      <c r="B230" s="3471"/>
      <c r="C230" s="3471"/>
      <c r="D230" s="3471"/>
      <c r="E230" s="3471"/>
      <c r="F230" s="3471"/>
      <c r="G230" s="3471"/>
      <c r="H230" s="3471"/>
      <c r="I230" s="3471"/>
      <c r="J230" s="3472"/>
      <c r="K230" s="1804">
        <f>K225+K217</f>
        <v>60877719</v>
      </c>
      <c r="L230" s="2011">
        <f>L225+L217</f>
        <v>62918438</v>
      </c>
      <c r="M230" s="2016">
        <f>M225+M217</f>
        <v>64493600</v>
      </c>
      <c r="N230" s="1960"/>
      <c r="O230" s="1960"/>
      <c r="P230" s="1961"/>
      <c r="Q230" s="2534">
        <f>Q217+Q225</f>
        <v>63546100</v>
      </c>
      <c r="R230" s="1487">
        <f>R225+R217</f>
        <v>65354600</v>
      </c>
      <c r="S230" s="1826"/>
      <c r="T230" s="3462"/>
      <c r="U230" s="3462"/>
    </row>
    <row r="232" spans="1:22" x14ac:dyDescent="0.2">
      <c r="E232" s="1492"/>
      <c r="F232" s="1512"/>
      <c r="G232" s="1910"/>
      <c r="H232" s="1512"/>
      <c r="I232" s="1488"/>
      <c r="J232" s="1488"/>
      <c r="K232" s="2702">
        <f>K230-K210</f>
        <v>0</v>
      </c>
      <c r="L232" s="2702">
        <f>L230-L210</f>
        <v>0</v>
      </c>
      <c r="M232" s="2703">
        <f>M210-M230</f>
        <v>0</v>
      </c>
      <c r="N232" s="2704"/>
      <c r="O232" s="2705"/>
      <c r="P232" s="2702"/>
      <c r="Q232" s="2702">
        <f>Q210-Q230</f>
        <v>0</v>
      </c>
      <c r="R232" s="2702">
        <f>R210-R230</f>
        <v>0</v>
      </c>
      <c r="S232" s="1838"/>
    </row>
    <row r="233" spans="1:22" ht="60" customHeight="1" x14ac:dyDescent="0.2">
      <c r="E233" s="1492"/>
      <c r="F233" s="1512"/>
      <c r="G233" s="1910"/>
      <c r="H233" s="1512"/>
      <c r="I233" s="1488"/>
      <c r="J233" s="1488"/>
      <c r="K233" s="1581"/>
      <c r="L233" s="1581"/>
      <c r="M233" s="1581"/>
      <c r="N233" s="3710"/>
      <c r="O233" s="3710"/>
      <c r="P233" s="1581"/>
      <c r="Q233" s="1492"/>
      <c r="R233" s="1492"/>
      <c r="T233" s="1492"/>
    </row>
    <row r="234" spans="1:22" x14ac:dyDescent="0.2">
      <c r="E234" s="1492"/>
      <c r="F234" s="1512"/>
      <c r="G234" s="1910"/>
      <c r="H234" s="1512"/>
      <c r="I234" s="1488"/>
      <c r="J234" s="1488"/>
      <c r="K234" s="1581"/>
      <c r="L234" s="1581"/>
      <c r="M234" s="1581"/>
      <c r="N234" s="2625"/>
      <c r="O234" s="2566"/>
      <c r="P234" s="1581"/>
      <c r="Q234" s="1492"/>
      <c r="R234" s="1492"/>
    </row>
    <row r="235" spans="1:22" x14ac:dyDescent="0.2">
      <c r="E235" s="1492"/>
      <c r="F235" s="1512"/>
      <c r="G235" s="1910"/>
      <c r="H235" s="1512"/>
      <c r="I235" s="1488"/>
      <c r="J235" s="1488"/>
      <c r="K235" s="1581"/>
      <c r="L235" s="1581"/>
      <c r="M235" s="1581"/>
      <c r="N235" s="1581"/>
      <c r="O235" s="1581"/>
      <c r="P235" s="1581"/>
      <c r="Q235" s="1492"/>
      <c r="R235" s="1492"/>
    </row>
    <row r="236" spans="1:22" x14ac:dyDescent="0.2">
      <c r="E236" s="1492"/>
      <c r="F236" s="1512"/>
      <c r="G236" s="1910"/>
      <c r="H236" s="1512"/>
      <c r="I236" s="1488"/>
      <c r="J236" s="1488"/>
      <c r="K236" s="1581"/>
      <c r="L236" s="1581"/>
      <c r="M236" s="1581"/>
      <c r="N236" s="1581"/>
      <c r="O236" s="1581"/>
      <c r="P236" s="1581"/>
      <c r="Q236" s="1492"/>
      <c r="R236" s="1492"/>
    </row>
    <row r="237" spans="1:22" x14ac:dyDescent="0.2">
      <c r="E237" s="1492"/>
      <c r="F237" s="1512"/>
      <c r="G237" s="1910"/>
      <c r="H237" s="1512"/>
      <c r="I237" s="1488"/>
      <c r="J237" s="1488"/>
      <c r="K237" s="1581"/>
      <c r="L237" s="1581"/>
      <c r="M237" s="1581"/>
      <c r="N237" s="1581"/>
      <c r="O237" s="1581"/>
      <c r="P237" s="1581"/>
      <c r="Q237" s="1492"/>
      <c r="R237" s="1492"/>
    </row>
    <row r="238" spans="1:22" x14ac:dyDescent="0.2">
      <c r="E238" s="1492"/>
      <c r="F238" s="1512"/>
      <c r="G238" s="1910"/>
      <c r="H238" s="1512"/>
      <c r="I238" s="1488"/>
      <c r="J238" s="1488"/>
      <c r="K238" s="1581"/>
      <c r="L238" s="1581"/>
      <c r="M238" s="1581"/>
      <c r="N238" s="1581"/>
      <c r="O238" s="1581"/>
      <c r="P238" s="1581"/>
      <c r="Q238" s="1492"/>
      <c r="R238" s="1492"/>
    </row>
    <row r="239" spans="1:22" x14ac:dyDescent="0.2">
      <c r="E239" s="1492"/>
      <c r="F239" s="1512"/>
      <c r="G239" s="1910"/>
      <c r="H239" s="1512"/>
      <c r="I239" s="1488"/>
      <c r="J239" s="1488"/>
      <c r="K239" s="1581"/>
      <c r="L239" s="1581"/>
      <c r="M239" s="1581"/>
      <c r="N239" s="1581"/>
      <c r="O239" s="1581"/>
      <c r="P239" s="1581"/>
      <c r="Q239" s="1492"/>
      <c r="R239" s="1492"/>
    </row>
    <row r="240" spans="1:22" x14ac:dyDescent="0.2">
      <c r="E240" s="1492"/>
      <c r="F240" s="1512"/>
      <c r="G240" s="1910"/>
      <c r="H240" s="1512"/>
      <c r="I240" s="1488"/>
      <c r="J240" s="1488"/>
      <c r="K240" s="1581"/>
      <c r="L240" s="1581"/>
      <c r="M240" s="1581"/>
      <c r="N240" s="1581"/>
      <c r="O240" s="1581"/>
      <c r="P240" s="1581"/>
      <c r="Q240" s="1492"/>
      <c r="R240" s="1492"/>
    </row>
    <row r="241" spans="1:22" x14ac:dyDescent="0.2">
      <c r="E241" s="1492"/>
      <c r="F241" s="1512"/>
      <c r="G241" s="1910"/>
      <c r="H241" s="1512"/>
      <c r="I241" s="1488"/>
      <c r="J241" s="1488"/>
      <c r="K241" s="1581"/>
      <c r="L241" s="1581"/>
      <c r="M241" s="1581"/>
      <c r="N241" s="1581"/>
      <c r="O241" s="1581"/>
      <c r="P241" s="1581"/>
      <c r="Q241" s="1492"/>
      <c r="R241" s="1492"/>
    </row>
    <row r="242" spans="1:22" x14ac:dyDescent="0.2">
      <c r="E242" s="1492"/>
      <c r="F242" s="1512"/>
      <c r="G242" s="1910"/>
      <c r="H242" s="1512"/>
      <c r="I242" s="1488"/>
      <c r="J242" s="1488"/>
      <c r="K242" s="1581"/>
      <c r="L242" s="1581"/>
      <c r="M242" s="1581"/>
      <c r="N242" s="1581"/>
      <c r="O242" s="1581"/>
      <c r="P242" s="1581"/>
      <c r="Q242" s="1492"/>
      <c r="R242" s="1492"/>
    </row>
    <row r="243" spans="1:22" x14ac:dyDescent="0.2">
      <c r="A243" s="1621"/>
      <c r="B243" s="1621"/>
      <c r="C243" s="1621"/>
      <c r="D243" s="1621"/>
      <c r="E243" s="1492"/>
      <c r="F243" s="1512"/>
      <c r="G243" s="1910"/>
      <c r="H243" s="1512"/>
      <c r="I243" s="1488"/>
      <c r="J243" s="1488"/>
      <c r="K243" s="1581"/>
      <c r="L243" s="1581"/>
      <c r="M243" s="1581"/>
      <c r="N243" s="1581"/>
      <c r="O243" s="1581"/>
      <c r="P243" s="1581"/>
      <c r="Q243" s="1492"/>
      <c r="R243" s="1492"/>
      <c r="S243" s="1492"/>
      <c r="T243" s="1492"/>
      <c r="U243" s="1492"/>
      <c r="V243" s="1492"/>
    </row>
    <row r="244" spans="1:22" x14ac:dyDescent="0.2">
      <c r="A244" s="1621"/>
      <c r="B244" s="1621"/>
      <c r="C244" s="1621"/>
      <c r="D244" s="1621"/>
      <c r="E244" s="1492"/>
      <c r="F244" s="1512"/>
      <c r="G244" s="1910"/>
      <c r="H244" s="1512"/>
      <c r="I244" s="1488"/>
      <c r="J244" s="1488"/>
      <c r="K244" s="1581"/>
      <c r="L244" s="1581"/>
      <c r="M244" s="1581"/>
      <c r="N244" s="1581"/>
      <c r="O244" s="1581"/>
      <c r="P244" s="1581"/>
      <c r="Q244" s="1492"/>
      <c r="R244" s="1492"/>
      <c r="S244" s="1492"/>
      <c r="T244" s="1492"/>
      <c r="U244" s="1492"/>
      <c r="V244" s="1492"/>
    </row>
    <row r="245" spans="1:22" x14ac:dyDescent="0.2">
      <c r="A245" s="1621"/>
      <c r="B245" s="1621"/>
      <c r="C245" s="1621"/>
      <c r="D245" s="1621"/>
      <c r="E245" s="1492"/>
      <c r="F245" s="1512"/>
      <c r="G245" s="1910"/>
      <c r="H245" s="1512"/>
      <c r="I245" s="1488"/>
      <c r="J245" s="1488"/>
      <c r="K245" s="1581"/>
      <c r="L245" s="1581"/>
      <c r="M245" s="1581"/>
      <c r="N245" s="1581"/>
      <c r="O245" s="1581"/>
      <c r="P245" s="1581"/>
      <c r="Q245" s="1492"/>
      <c r="R245" s="1492"/>
      <c r="S245" s="1492"/>
      <c r="T245" s="1492"/>
      <c r="U245" s="1492"/>
      <c r="V245" s="1492"/>
    </row>
    <row r="246" spans="1:22" x14ac:dyDescent="0.2">
      <c r="A246" s="1621"/>
      <c r="B246" s="1621"/>
      <c r="C246" s="1621"/>
      <c r="D246" s="1621"/>
      <c r="E246" s="1492"/>
      <c r="F246" s="1512"/>
      <c r="G246" s="1910"/>
      <c r="H246" s="1512"/>
      <c r="I246" s="1488"/>
      <c r="J246" s="1488"/>
      <c r="K246" s="1581"/>
      <c r="L246" s="1581"/>
      <c r="M246" s="1581"/>
      <c r="N246" s="1581"/>
      <c r="O246" s="1581"/>
      <c r="P246" s="1581"/>
      <c r="Q246" s="1492"/>
      <c r="R246" s="1492"/>
      <c r="S246" s="1492"/>
      <c r="T246" s="1492"/>
      <c r="U246" s="1492"/>
      <c r="V246" s="1492"/>
    </row>
    <row r="247" spans="1:22" x14ac:dyDescent="0.2">
      <c r="A247" s="1621"/>
      <c r="B247" s="1621"/>
      <c r="C247" s="1621"/>
      <c r="D247" s="1621"/>
      <c r="E247" s="1492"/>
      <c r="F247" s="1512"/>
      <c r="G247" s="1910"/>
      <c r="H247" s="1512"/>
      <c r="I247" s="1488"/>
      <c r="J247" s="1488"/>
      <c r="K247" s="1581"/>
      <c r="L247" s="1581"/>
      <c r="M247" s="1581"/>
      <c r="N247" s="1581"/>
      <c r="O247" s="1581"/>
      <c r="P247" s="1581"/>
      <c r="Q247" s="1492"/>
      <c r="R247" s="1492"/>
      <c r="S247" s="1492"/>
      <c r="T247" s="1492"/>
      <c r="U247" s="1492"/>
      <c r="V247" s="1492"/>
    </row>
    <row r="248" spans="1:22" x14ac:dyDescent="0.2">
      <c r="A248" s="1621"/>
      <c r="B248" s="1621"/>
      <c r="C248" s="1621"/>
      <c r="D248" s="1621"/>
      <c r="E248" s="1492"/>
      <c r="F248" s="1512"/>
      <c r="G248" s="1910"/>
      <c r="H248" s="1512"/>
      <c r="I248" s="1488"/>
      <c r="J248" s="1488"/>
      <c r="K248" s="1581"/>
      <c r="L248" s="1581"/>
      <c r="M248" s="1581"/>
      <c r="N248" s="1581"/>
      <c r="O248" s="1581"/>
      <c r="P248" s="1581"/>
      <c r="Q248" s="1492"/>
      <c r="R248" s="1492"/>
      <c r="S248" s="1492"/>
      <c r="T248" s="1492"/>
      <c r="U248" s="1492"/>
      <c r="V248" s="1492"/>
    </row>
    <row r="249" spans="1:22" x14ac:dyDescent="0.2">
      <c r="A249" s="1621"/>
      <c r="B249" s="1621"/>
      <c r="C249" s="1621"/>
      <c r="D249" s="1621"/>
      <c r="E249" s="1492"/>
      <c r="F249" s="1512"/>
      <c r="G249" s="1910"/>
      <c r="H249" s="1512"/>
      <c r="I249" s="1488"/>
      <c r="J249" s="1488"/>
      <c r="K249" s="1581"/>
      <c r="L249" s="1581"/>
      <c r="M249" s="1581"/>
      <c r="N249" s="1581"/>
      <c r="O249" s="1581"/>
      <c r="P249" s="1581"/>
      <c r="Q249" s="1492"/>
      <c r="R249" s="1492"/>
      <c r="S249" s="1492"/>
      <c r="T249" s="1492"/>
      <c r="U249" s="1492"/>
      <c r="V249" s="1492"/>
    </row>
    <row r="250" spans="1:22" x14ac:dyDescent="0.2">
      <c r="A250" s="1621"/>
      <c r="B250" s="1621"/>
      <c r="C250" s="1621"/>
      <c r="D250" s="1621"/>
      <c r="E250" s="1492"/>
      <c r="F250" s="1512"/>
      <c r="G250" s="1910"/>
      <c r="H250" s="1512"/>
      <c r="I250" s="1488"/>
      <c r="J250" s="1488"/>
      <c r="K250" s="1581"/>
      <c r="L250" s="1581"/>
      <c r="M250" s="1581"/>
      <c r="N250" s="1581"/>
      <c r="O250" s="1581"/>
      <c r="P250" s="1581"/>
      <c r="Q250" s="1492"/>
      <c r="R250" s="1492"/>
      <c r="S250" s="1492"/>
      <c r="T250" s="1492"/>
      <c r="U250" s="1492"/>
      <c r="V250" s="1492"/>
    </row>
    <row r="251" spans="1:22" x14ac:dyDescent="0.2">
      <c r="A251" s="1621"/>
      <c r="B251" s="1621"/>
      <c r="C251" s="1621"/>
      <c r="D251" s="1621"/>
      <c r="E251" s="1492"/>
      <c r="F251" s="1512"/>
      <c r="G251" s="1910"/>
      <c r="H251" s="1512"/>
      <c r="I251" s="1488"/>
      <c r="J251" s="1488"/>
      <c r="K251" s="1581"/>
      <c r="L251" s="1581"/>
      <c r="M251" s="1581"/>
      <c r="N251" s="1581"/>
      <c r="O251" s="1581"/>
      <c r="P251" s="1581"/>
      <c r="Q251" s="1492"/>
      <c r="R251" s="1492"/>
      <c r="S251" s="1492"/>
      <c r="T251" s="1492"/>
      <c r="U251" s="1492"/>
      <c r="V251" s="1492"/>
    </row>
    <row r="252" spans="1:22" x14ac:dyDescent="0.2">
      <c r="A252" s="1621"/>
      <c r="B252" s="1621"/>
      <c r="C252" s="1621"/>
      <c r="D252" s="1621"/>
      <c r="E252" s="1492"/>
      <c r="F252" s="1512"/>
      <c r="G252" s="1910"/>
      <c r="H252" s="1512"/>
      <c r="I252" s="1488"/>
      <c r="J252" s="1488"/>
      <c r="K252" s="1581"/>
      <c r="L252" s="1581"/>
      <c r="M252" s="1581"/>
      <c r="N252" s="1581"/>
      <c r="O252" s="1581"/>
      <c r="P252" s="1581"/>
      <c r="Q252" s="1492"/>
      <c r="R252" s="1492"/>
      <c r="S252" s="1492"/>
      <c r="T252" s="1492"/>
      <c r="U252" s="1492"/>
      <c r="V252" s="1492"/>
    </row>
    <row r="253" spans="1:22" x14ac:dyDescent="0.2">
      <c r="A253" s="1621"/>
      <c r="B253" s="1621"/>
      <c r="C253" s="1621"/>
      <c r="D253" s="1621"/>
      <c r="E253" s="1492"/>
      <c r="F253" s="1512"/>
      <c r="G253" s="1910"/>
      <c r="H253" s="1512"/>
      <c r="I253" s="1488"/>
      <c r="J253" s="1488"/>
      <c r="K253" s="1581"/>
      <c r="L253" s="1581"/>
      <c r="M253" s="1581"/>
      <c r="N253" s="1581"/>
      <c r="O253" s="1581"/>
      <c r="P253" s="1581"/>
      <c r="Q253" s="1492"/>
      <c r="R253" s="1492"/>
      <c r="S253" s="1492"/>
      <c r="T253" s="1492"/>
      <c r="U253" s="1492"/>
      <c r="V253" s="1492"/>
    </row>
    <row r="254" spans="1:22" x14ac:dyDescent="0.2">
      <c r="A254" s="1621"/>
      <c r="B254" s="1621"/>
      <c r="C254" s="1621"/>
      <c r="D254" s="1621"/>
      <c r="E254" s="1492"/>
      <c r="F254" s="1512"/>
      <c r="G254" s="1910"/>
      <c r="H254" s="1512"/>
      <c r="I254" s="1488"/>
      <c r="J254" s="1488"/>
      <c r="K254" s="1581"/>
      <c r="L254" s="1581"/>
      <c r="M254" s="1581"/>
      <c r="N254" s="1581"/>
      <c r="O254" s="1581"/>
      <c r="P254" s="1581"/>
      <c r="Q254" s="1492"/>
      <c r="R254" s="1492"/>
      <c r="S254" s="1492"/>
      <c r="T254" s="1492"/>
      <c r="U254" s="1492"/>
      <c r="V254" s="1492"/>
    </row>
    <row r="255" spans="1:22" x14ac:dyDescent="0.2">
      <c r="A255" s="1621"/>
      <c r="B255" s="1621"/>
      <c r="C255" s="1621"/>
      <c r="D255" s="1621"/>
      <c r="E255" s="1492"/>
      <c r="F255" s="1512"/>
      <c r="G255" s="1910"/>
      <c r="H255" s="1512"/>
      <c r="I255" s="1488"/>
      <c r="J255" s="1488"/>
      <c r="K255" s="1581"/>
      <c r="L255" s="1581"/>
      <c r="M255" s="1581"/>
      <c r="N255" s="1581"/>
      <c r="O255" s="1581"/>
      <c r="P255" s="1581"/>
      <c r="Q255" s="1492"/>
      <c r="R255" s="1492"/>
      <c r="S255" s="1492"/>
      <c r="T255" s="1492"/>
      <c r="U255" s="1492"/>
      <c r="V255" s="1492"/>
    </row>
  </sheetData>
  <mergeCells count="293">
    <mergeCell ref="X138:X139"/>
    <mergeCell ref="I119:I120"/>
    <mergeCell ref="E116:E118"/>
    <mergeCell ref="B80:B81"/>
    <mergeCell ref="H82:H83"/>
    <mergeCell ref="E82:E83"/>
    <mergeCell ref="I82:I83"/>
    <mergeCell ref="S116:S117"/>
    <mergeCell ref="G129:G130"/>
    <mergeCell ref="S129:S130"/>
    <mergeCell ref="E125:J125"/>
    <mergeCell ref="C129:C130"/>
    <mergeCell ref="I138:I140"/>
    <mergeCell ref="D136:J136"/>
    <mergeCell ref="E138:E140"/>
    <mergeCell ref="S109:S110"/>
    <mergeCell ref="E112:E115"/>
    <mergeCell ref="S112:S114"/>
    <mergeCell ref="D129:D130"/>
    <mergeCell ref="E132:E134"/>
    <mergeCell ref="I132:I134"/>
    <mergeCell ref="E123:E124"/>
    <mergeCell ref="I123:I124"/>
    <mergeCell ref="I112:I115"/>
    <mergeCell ref="A53:A54"/>
    <mergeCell ref="B53:B54"/>
    <mergeCell ref="C53:C54"/>
    <mergeCell ref="D53:D54"/>
    <mergeCell ref="A82:A83"/>
    <mergeCell ref="S102:S103"/>
    <mergeCell ref="S107:S108"/>
    <mergeCell ref="D82:D83"/>
    <mergeCell ref="B85:J85"/>
    <mergeCell ref="S85:V85"/>
    <mergeCell ref="C84:J84"/>
    <mergeCell ref="B86:V86"/>
    <mergeCell ref="G80:G81"/>
    <mergeCell ref="H80:H81"/>
    <mergeCell ref="I80:I81"/>
    <mergeCell ref="E98:E101"/>
    <mergeCell ref="E104:E105"/>
    <mergeCell ref="I104:I105"/>
    <mergeCell ref="C82:C83"/>
    <mergeCell ref="C80:C81"/>
    <mergeCell ref="S82:S83"/>
    <mergeCell ref="E102:E103"/>
    <mergeCell ref="E92:E94"/>
    <mergeCell ref="D43:D46"/>
    <mergeCell ref="E48:E52"/>
    <mergeCell ref="D48:D50"/>
    <mergeCell ref="F48:F50"/>
    <mergeCell ref="E53:E54"/>
    <mergeCell ref="F53:F54"/>
    <mergeCell ref="E43:E46"/>
    <mergeCell ref="F43:F46"/>
    <mergeCell ref="E57:E59"/>
    <mergeCell ref="D57:D59"/>
    <mergeCell ref="AA138:AA139"/>
    <mergeCell ref="S92:S93"/>
    <mergeCell ref="E109:E111"/>
    <mergeCell ref="I109:I111"/>
    <mergeCell ref="I106:I108"/>
    <mergeCell ref="D80:D81"/>
    <mergeCell ref="E74:E75"/>
    <mergeCell ref="H69:H70"/>
    <mergeCell ref="D69:D70"/>
    <mergeCell ref="E69:E70"/>
    <mergeCell ref="F69:F70"/>
    <mergeCell ref="G69:G70"/>
    <mergeCell ref="E127:E128"/>
    <mergeCell ref="E80:E81"/>
    <mergeCell ref="F80:F81"/>
    <mergeCell ref="F82:F83"/>
    <mergeCell ref="G82:G83"/>
    <mergeCell ref="T84:V84"/>
    <mergeCell ref="S90:S91"/>
    <mergeCell ref="I89:I91"/>
    <mergeCell ref="I102:I103"/>
    <mergeCell ref="Z138:Z139"/>
    <mergeCell ref="E121:E122"/>
    <mergeCell ref="I121:I122"/>
    <mergeCell ref="A10:V10"/>
    <mergeCell ref="B11:V11"/>
    <mergeCell ref="C12:V12"/>
    <mergeCell ref="A27:A30"/>
    <mergeCell ref="C27:C30"/>
    <mergeCell ref="C13:C14"/>
    <mergeCell ref="T22:T24"/>
    <mergeCell ref="C22:C25"/>
    <mergeCell ref="G27:G31"/>
    <mergeCell ref="E13:E14"/>
    <mergeCell ref="F13:F14"/>
    <mergeCell ref="G13:G14"/>
    <mergeCell ref="H13:H14"/>
    <mergeCell ref="D22:D25"/>
    <mergeCell ref="E22:E25"/>
    <mergeCell ref="F22:F25"/>
    <mergeCell ref="G22:G25"/>
    <mergeCell ref="S22:S24"/>
    <mergeCell ref="H27:H31"/>
    <mergeCell ref="H22:H25"/>
    <mergeCell ref="V22:V24"/>
    <mergeCell ref="U22:U24"/>
    <mergeCell ref="A2:V2"/>
    <mergeCell ref="A3:V3"/>
    <mergeCell ref="A4:V4"/>
    <mergeCell ref="C5:V5"/>
    <mergeCell ref="A6:A8"/>
    <mergeCell ref="B6:B8"/>
    <mergeCell ref="C6:C8"/>
    <mergeCell ref="D6:D8"/>
    <mergeCell ref="E6:E8"/>
    <mergeCell ref="F6:F8"/>
    <mergeCell ref="S7:S8"/>
    <mergeCell ref="T7:V7"/>
    <mergeCell ref="M7:M8"/>
    <mergeCell ref="N7:O7"/>
    <mergeCell ref="P7:P8"/>
    <mergeCell ref="G6:G8"/>
    <mergeCell ref="H6:H8"/>
    <mergeCell ref="K7:K8"/>
    <mergeCell ref="L7:L8"/>
    <mergeCell ref="S6:V6"/>
    <mergeCell ref="J6:J8"/>
    <mergeCell ref="R6:R8"/>
    <mergeCell ref="I6:I8"/>
    <mergeCell ref="D33:D36"/>
    <mergeCell ref="E33:E36"/>
    <mergeCell ref="F33:F36"/>
    <mergeCell ref="D13:D14"/>
    <mergeCell ref="A38:A40"/>
    <mergeCell ref="B38:B40"/>
    <mergeCell ref="A22:A25"/>
    <mergeCell ref="E15:E18"/>
    <mergeCell ref="S18:S20"/>
    <mergeCell ref="H33:H36"/>
    <mergeCell ref="D27:D31"/>
    <mergeCell ref="E27:E31"/>
    <mergeCell ref="F27:F31"/>
    <mergeCell ref="I15:I17"/>
    <mergeCell ref="D38:D40"/>
    <mergeCell ref="A33:A36"/>
    <mergeCell ref="B33:B36"/>
    <mergeCell ref="C33:C36"/>
    <mergeCell ref="C38:C40"/>
    <mergeCell ref="N233:O233"/>
    <mergeCell ref="T223:U223"/>
    <mergeCell ref="T220:U220"/>
    <mergeCell ref="A213:V213"/>
    <mergeCell ref="A226:J226"/>
    <mergeCell ref="A221:J221"/>
    <mergeCell ref="B210:J210"/>
    <mergeCell ref="A216:J216"/>
    <mergeCell ref="T224:U224"/>
    <mergeCell ref="A219:J219"/>
    <mergeCell ref="T216:U216"/>
    <mergeCell ref="A214:R214"/>
    <mergeCell ref="A225:J225"/>
    <mergeCell ref="T225:U225"/>
    <mergeCell ref="A224:J224"/>
    <mergeCell ref="A223:J223"/>
    <mergeCell ref="T230:U230"/>
    <mergeCell ref="A229:J229"/>
    <mergeCell ref="A230:J230"/>
    <mergeCell ref="A227:J227"/>
    <mergeCell ref="T227:U227"/>
    <mergeCell ref="A228:J228"/>
    <mergeCell ref="T228:U228"/>
    <mergeCell ref="N225:P225"/>
    <mergeCell ref="A222:J222"/>
    <mergeCell ref="T222:U222"/>
    <mergeCell ref="A220:J220"/>
    <mergeCell ref="I196:I197"/>
    <mergeCell ref="S210:V210"/>
    <mergeCell ref="T217:U217"/>
    <mergeCell ref="A218:J218"/>
    <mergeCell ref="T218:U218"/>
    <mergeCell ref="A211:V211"/>
    <mergeCell ref="A212:V212"/>
    <mergeCell ref="A215:R215"/>
    <mergeCell ref="S209:V209"/>
    <mergeCell ref="A206:A207"/>
    <mergeCell ref="B206:B207"/>
    <mergeCell ref="B209:J209"/>
    <mergeCell ref="A217:J217"/>
    <mergeCell ref="C208:J208"/>
    <mergeCell ref="S208:V208"/>
    <mergeCell ref="E144:E145"/>
    <mergeCell ref="I144:I145"/>
    <mergeCell ref="S144:S145"/>
    <mergeCell ref="E141:E143"/>
    <mergeCell ref="I141:I143"/>
    <mergeCell ref="I164:I165"/>
    <mergeCell ref="A180:A181"/>
    <mergeCell ref="D206:D207"/>
    <mergeCell ref="I173:I174"/>
    <mergeCell ref="S164:S165"/>
    <mergeCell ref="E164:E165"/>
    <mergeCell ref="C171:J171"/>
    <mergeCell ref="E176:E177"/>
    <mergeCell ref="B180:B181"/>
    <mergeCell ref="D180:D181"/>
    <mergeCell ref="S198:S199"/>
    <mergeCell ref="F206:F207"/>
    <mergeCell ref="C182:J182"/>
    <mergeCell ref="I180:I181"/>
    <mergeCell ref="E198:E199"/>
    <mergeCell ref="F198:F199"/>
    <mergeCell ref="F196:F197"/>
    <mergeCell ref="H206:H207"/>
    <mergeCell ref="E196:E197"/>
    <mergeCell ref="Z35:Z38"/>
    <mergeCell ref="I65:J65"/>
    <mergeCell ref="G48:G50"/>
    <mergeCell ref="H48:H50"/>
    <mergeCell ref="G53:G54"/>
    <mergeCell ref="H53:H54"/>
    <mergeCell ref="I53:I54"/>
    <mergeCell ref="E150:E151"/>
    <mergeCell ref="E146:E148"/>
    <mergeCell ref="E95:E97"/>
    <mergeCell ref="I95:I97"/>
    <mergeCell ref="X35:X38"/>
    <mergeCell ref="Y35:Y38"/>
    <mergeCell ref="U38:U40"/>
    <mergeCell ref="S38:S40"/>
    <mergeCell ref="T38:T40"/>
    <mergeCell ref="I129:I131"/>
    <mergeCell ref="E129:E130"/>
    <mergeCell ref="Y138:Y139"/>
    <mergeCell ref="I98:I101"/>
    <mergeCell ref="S98:S99"/>
    <mergeCell ref="E106:E108"/>
    <mergeCell ref="I92:I94"/>
    <mergeCell ref="E89:E91"/>
    <mergeCell ref="C183:V183"/>
    <mergeCell ref="S206:S207"/>
    <mergeCell ref="S190:S191"/>
    <mergeCell ref="T190:T191"/>
    <mergeCell ref="E201:E203"/>
    <mergeCell ref="U190:U191"/>
    <mergeCell ref="E190:E191"/>
    <mergeCell ref="E180:E181"/>
    <mergeCell ref="F180:F181"/>
    <mergeCell ref="I206:I207"/>
    <mergeCell ref="I198:I199"/>
    <mergeCell ref="H180:H181"/>
    <mergeCell ref="S182:V182"/>
    <mergeCell ref="I184:I185"/>
    <mergeCell ref="E206:E207"/>
    <mergeCell ref="V190:V191"/>
    <mergeCell ref="S152:V152"/>
    <mergeCell ref="S146:S149"/>
    <mergeCell ref="I150:I151"/>
    <mergeCell ref="I146:I149"/>
    <mergeCell ref="T164:T165"/>
    <mergeCell ref="S171:V171"/>
    <mergeCell ref="I175:I176"/>
    <mergeCell ref="C172:G172"/>
    <mergeCell ref="E178:E179"/>
    <mergeCell ref="F173:F174"/>
    <mergeCell ref="E173:E174"/>
    <mergeCell ref="E159:E160"/>
    <mergeCell ref="E157:E158"/>
    <mergeCell ref="E161:E163"/>
    <mergeCell ref="F168:F169"/>
    <mergeCell ref="E168:E169"/>
    <mergeCell ref="I152:J152"/>
    <mergeCell ref="U172:V172"/>
    <mergeCell ref="E119:E120"/>
    <mergeCell ref="C87:V87"/>
    <mergeCell ref="I116:I118"/>
    <mergeCell ref="S1:V1"/>
    <mergeCell ref="G33:G36"/>
    <mergeCell ref="E62:E63"/>
    <mergeCell ref="S62:S63"/>
    <mergeCell ref="E76:E77"/>
    <mergeCell ref="E38:E40"/>
    <mergeCell ref="F38:F40"/>
    <mergeCell ref="S78:S79"/>
    <mergeCell ref="G43:G46"/>
    <mergeCell ref="H57:H59"/>
    <mergeCell ref="I57:I59"/>
    <mergeCell ref="F57:F59"/>
    <mergeCell ref="G57:G59"/>
    <mergeCell ref="S35:S36"/>
    <mergeCell ref="G38:G40"/>
    <mergeCell ref="H38:H40"/>
    <mergeCell ref="H43:H46"/>
    <mergeCell ref="V38:V40"/>
    <mergeCell ref="A9:V9"/>
    <mergeCell ref="M6:P6"/>
    <mergeCell ref="Q6:Q8"/>
  </mergeCells>
  <printOptions horizontalCentered="1"/>
  <pageMargins left="0" right="0" top="0" bottom="0" header="0.31496062992125984" footer="0.31496062992125984"/>
  <pageSetup paperSize="9" scale="74" orientation="landscape" r:id="rId1"/>
  <rowBreaks count="6" manualBreakCount="6">
    <brk id="42" max="22" man="1"/>
    <brk id="63" max="22" man="1"/>
    <brk id="85" max="22" man="1"/>
    <brk id="166" max="22" man="1"/>
    <brk id="192" max="22" man="1"/>
    <brk id="214" max="2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6"/>
  <sheetViews>
    <sheetView zoomScaleNormal="100" zoomScaleSheetLayoutView="80" workbookViewId="0">
      <selection sqref="A1:R1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3" customWidth="1"/>
    <col min="6" max="6" width="3" style="60" customWidth="1"/>
    <col min="7" max="7" width="8.140625" style="1029" customWidth="1"/>
    <col min="8" max="8" width="9.85546875" style="972" hidden="1" customWidth="1"/>
    <col min="9" max="9" width="9.7109375" style="208" customWidth="1"/>
    <col min="10" max="10" width="8.42578125" style="208" hidden="1" customWidth="1"/>
    <col min="11" max="11" width="8.5703125" style="208" hidden="1" customWidth="1"/>
    <col min="12" max="12" width="7.42578125" style="208" hidden="1" customWidth="1"/>
    <col min="13" max="14" width="8.85546875" style="208" customWidth="1"/>
    <col min="15" max="15" width="26.42578125" style="6" customWidth="1"/>
    <col min="16" max="16" width="6.140625" style="18" customWidth="1"/>
    <col min="17" max="17" width="6.85546875" style="60" customWidth="1"/>
    <col min="18" max="18" width="5.85546875" style="1044" customWidth="1"/>
    <col min="19" max="19" width="9.140625" style="2" customWidth="1"/>
    <col min="20" max="16384" width="9.140625" style="2"/>
  </cols>
  <sheetData>
    <row r="1" spans="1:22" x14ac:dyDescent="0.2">
      <c r="A1" s="3029" t="s">
        <v>228</v>
      </c>
      <c r="B1" s="3029"/>
      <c r="C1" s="3029"/>
      <c r="D1" s="3029"/>
      <c r="E1" s="3029"/>
      <c r="F1" s="3029"/>
      <c r="G1" s="3029"/>
      <c r="H1" s="3029"/>
      <c r="I1" s="3029"/>
      <c r="J1" s="3029"/>
      <c r="K1" s="3029"/>
      <c r="L1" s="3029"/>
      <c r="M1" s="3029"/>
      <c r="N1" s="3029"/>
      <c r="O1" s="3029"/>
      <c r="P1" s="3029"/>
      <c r="Q1" s="3029"/>
      <c r="R1" s="3029"/>
    </row>
    <row r="2" spans="1:22" x14ac:dyDescent="0.2">
      <c r="A2" s="3036" t="s">
        <v>39</v>
      </c>
      <c r="B2" s="3036"/>
      <c r="C2" s="3036"/>
      <c r="D2" s="3036"/>
      <c r="E2" s="3036"/>
      <c r="F2" s="3036"/>
      <c r="G2" s="3036"/>
      <c r="H2" s="3036"/>
      <c r="I2" s="3036"/>
      <c r="J2" s="3036"/>
      <c r="K2" s="3036"/>
      <c r="L2" s="3036"/>
      <c r="M2" s="3036"/>
      <c r="N2" s="3036"/>
      <c r="O2" s="3036"/>
      <c r="P2" s="3036"/>
      <c r="Q2" s="3036"/>
      <c r="R2" s="3036"/>
    </row>
    <row r="3" spans="1:22" x14ac:dyDescent="0.2">
      <c r="A3" s="3037" t="s">
        <v>223</v>
      </c>
      <c r="B3" s="3037"/>
      <c r="C3" s="3037"/>
      <c r="D3" s="3037"/>
      <c r="E3" s="3037"/>
      <c r="F3" s="3037"/>
      <c r="G3" s="3037"/>
      <c r="H3" s="3037"/>
      <c r="I3" s="3037"/>
      <c r="J3" s="3037"/>
      <c r="K3" s="3037"/>
      <c r="L3" s="3037"/>
      <c r="M3" s="3037"/>
      <c r="N3" s="3037"/>
      <c r="O3" s="3037"/>
      <c r="P3" s="3037"/>
      <c r="Q3" s="3037"/>
      <c r="R3" s="3037"/>
    </row>
    <row r="4" spans="1:22" ht="13.5" thickBot="1" x14ac:dyDescent="0.25">
      <c r="A4" s="1030"/>
      <c r="B4" s="1030"/>
      <c r="C4" s="3050" t="s">
        <v>8</v>
      </c>
      <c r="D4" s="3050"/>
      <c r="E4" s="3050"/>
      <c r="F4" s="3050"/>
      <c r="G4" s="3050"/>
      <c r="H4" s="3050"/>
      <c r="I4" s="3050"/>
      <c r="J4" s="3050"/>
      <c r="K4" s="3050"/>
      <c r="L4" s="3050"/>
      <c r="M4" s="3050"/>
      <c r="N4" s="3050"/>
      <c r="O4" s="3050"/>
      <c r="P4" s="3050"/>
      <c r="Q4" s="3050"/>
      <c r="R4" s="3050"/>
    </row>
    <row r="5" spans="1:22" x14ac:dyDescent="0.2">
      <c r="A5" s="3051" t="s">
        <v>12</v>
      </c>
      <c r="B5" s="3070" t="s">
        <v>13</v>
      </c>
      <c r="C5" s="3070" t="s">
        <v>14</v>
      </c>
      <c r="D5" s="3057" t="s">
        <v>31</v>
      </c>
      <c r="E5" s="3030" t="s">
        <v>15</v>
      </c>
      <c r="F5" s="3038" t="s">
        <v>16</v>
      </c>
      <c r="G5" s="3060" t="s">
        <v>17</v>
      </c>
      <c r="H5" s="3791" t="s">
        <v>288</v>
      </c>
      <c r="I5" s="3794" t="s">
        <v>288</v>
      </c>
      <c r="J5" s="3795"/>
      <c r="K5" s="3795"/>
      <c r="L5" s="3796"/>
      <c r="M5" s="3803" t="s">
        <v>106</v>
      </c>
      <c r="N5" s="3803" t="s">
        <v>229</v>
      </c>
      <c r="O5" s="3041" t="s">
        <v>72</v>
      </c>
      <c r="P5" s="3042"/>
      <c r="Q5" s="3042"/>
      <c r="R5" s="3043"/>
    </row>
    <row r="6" spans="1:22" x14ac:dyDescent="0.2">
      <c r="A6" s="3052"/>
      <c r="B6" s="3071"/>
      <c r="C6" s="3071"/>
      <c r="D6" s="3058"/>
      <c r="E6" s="3031"/>
      <c r="F6" s="3039"/>
      <c r="G6" s="3061"/>
      <c r="H6" s="3792"/>
      <c r="I6" s="3797"/>
      <c r="J6" s="3798"/>
      <c r="K6" s="3798"/>
      <c r="L6" s="3799"/>
      <c r="M6" s="3804"/>
      <c r="N6" s="3804"/>
      <c r="O6" s="3063" t="s">
        <v>31</v>
      </c>
      <c r="P6" s="3044" t="s">
        <v>293</v>
      </c>
      <c r="Q6" s="3045"/>
      <c r="R6" s="3046"/>
    </row>
    <row r="7" spans="1:22" ht="106.5" customHeight="1" thickBot="1" x14ac:dyDescent="0.25">
      <c r="A7" s="3053"/>
      <c r="B7" s="3072"/>
      <c r="C7" s="3072"/>
      <c r="D7" s="3059"/>
      <c r="E7" s="3032"/>
      <c r="F7" s="3040"/>
      <c r="G7" s="3062"/>
      <c r="H7" s="3793"/>
      <c r="I7" s="3800"/>
      <c r="J7" s="3801"/>
      <c r="K7" s="3801"/>
      <c r="L7" s="3802"/>
      <c r="M7" s="3805"/>
      <c r="N7" s="3805"/>
      <c r="O7" s="3064"/>
      <c r="P7" s="245" t="s">
        <v>75</v>
      </c>
      <c r="Q7" s="245" t="s">
        <v>107</v>
      </c>
      <c r="R7" s="246" t="s">
        <v>230</v>
      </c>
    </row>
    <row r="8" spans="1:22" ht="13.5" thickBot="1" x14ac:dyDescent="0.25">
      <c r="A8" s="2994" t="s">
        <v>41</v>
      </c>
      <c r="B8" s="2995"/>
      <c r="C8" s="2995"/>
      <c r="D8" s="2995"/>
      <c r="E8" s="2995"/>
      <c r="F8" s="2995"/>
      <c r="G8" s="2995"/>
      <c r="H8" s="2995"/>
      <c r="I8" s="2995"/>
      <c r="J8" s="2995"/>
      <c r="K8" s="2995"/>
      <c r="L8" s="2995"/>
      <c r="M8" s="2995"/>
      <c r="N8" s="2995"/>
      <c r="O8" s="2995"/>
      <c r="P8" s="2995"/>
      <c r="Q8" s="2995"/>
      <c r="R8" s="2996"/>
    </row>
    <row r="9" spans="1:22" ht="13.5" thickBot="1" x14ac:dyDescent="0.25">
      <c r="A9" s="2997" t="s">
        <v>40</v>
      </c>
      <c r="B9" s="2998"/>
      <c r="C9" s="2998"/>
      <c r="D9" s="2998"/>
      <c r="E9" s="2998"/>
      <c r="F9" s="2998"/>
      <c r="G9" s="2998"/>
      <c r="H9" s="2998"/>
      <c r="I9" s="2998"/>
      <c r="J9" s="2998"/>
      <c r="K9" s="2998"/>
      <c r="L9" s="2998"/>
      <c r="M9" s="2998"/>
      <c r="N9" s="2998"/>
      <c r="O9" s="2998"/>
      <c r="P9" s="2998"/>
      <c r="Q9" s="2998"/>
      <c r="R9" s="2999"/>
    </row>
    <row r="10" spans="1:22" ht="13.5" thickBot="1" x14ac:dyDescent="0.25">
      <c r="A10" s="122" t="s">
        <v>20</v>
      </c>
      <c r="B10" s="3006" t="s">
        <v>51</v>
      </c>
      <c r="C10" s="3007"/>
      <c r="D10" s="3007"/>
      <c r="E10" s="3007"/>
      <c r="F10" s="3007"/>
      <c r="G10" s="3007"/>
      <c r="H10" s="3007"/>
      <c r="I10" s="3007"/>
      <c r="J10" s="3007"/>
      <c r="K10" s="3007"/>
      <c r="L10" s="3007"/>
      <c r="M10" s="3007"/>
      <c r="N10" s="3007"/>
      <c r="O10" s="3007"/>
      <c r="P10" s="3007"/>
      <c r="Q10" s="3007"/>
      <c r="R10" s="3008"/>
    </row>
    <row r="11" spans="1:22" ht="13.5" thickBot="1" x14ac:dyDescent="0.25">
      <c r="A11" s="218" t="s">
        <v>20</v>
      </c>
      <c r="B11" s="97" t="s">
        <v>20</v>
      </c>
      <c r="C11" s="3010" t="s">
        <v>190</v>
      </c>
      <c r="D11" s="3011"/>
      <c r="E11" s="3011"/>
      <c r="F11" s="3011"/>
      <c r="G11" s="3012"/>
      <c r="H11" s="3012"/>
      <c r="I11" s="3012"/>
      <c r="J11" s="3012"/>
      <c r="K11" s="3012"/>
      <c r="L11" s="3012"/>
      <c r="M11" s="3012"/>
      <c r="N11" s="3012"/>
      <c r="O11" s="3012"/>
      <c r="P11" s="3012"/>
      <c r="Q11" s="3012"/>
      <c r="R11" s="3013"/>
    </row>
    <row r="12" spans="1:22" x14ac:dyDescent="0.2">
      <c r="A12" s="25" t="s">
        <v>20</v>
      </c>
      <c r="B12" s="16" t="s">
        <v>20</v>
      </c>
      <c r="C12" s="3009" t="s">
        <v>20</v>
      </c>
      <c r="D12" s="3790" t="s">
        <v>104</v>
      </c>
      <c r="E12" s="3004"/>
      <c r="F12" s="884" t="s">
        <v>43</v>
      </c>
      <c r="G12" s="134" t="s">
        <v>22</v>
      </c>
      <c r="H12" s="929">
        <f>69796.1/3.4528*1000</f>
        <v>20214347.775718261</v>
      </c>
      <c r="I12" s="1177">
        <f t="shared" ref="I12" si="0">+J12+L12</f>
        <v>69824.899999999994</v>
      </c>
      <c r="J12" s="474">
        <v>69824.899999999994</v>
      </c>
      <c r="K12" s="474">
        <v>48274.400000000001</v>
      </c>
      <c r="L12" s="722"/>
      <c r="M12" s="711">
        <v>69824.899999999994</v>
      </c>
      <c r="N12" s="711">
        <v>69824.899999999994</v>
      </c>
      <c r="O12" s="874"/>
      <c r="P12" s="76"/>
      <c r="Q12" s="77"/>
      <c r="R12" s="674"/>
    </row>
    <row r="13" spans="1:22" x14ac:dyDescent="0.2">
      <c r="A13" s="26"/>
      <c r="B13" s="27"/>
      <c r="C13" s="2953"/>
      <c r="D13" s="3419"/>
      <c r="E13" s="3005"/>
      <c r="F13" s="884"/>
      <c r="G13" s="116" t="s">
        <v>25</v>
      </c>
      <c r="H13" s="930">
        <f>102252.1/3.4528*1000</f>
        <v>29614255.097312327</v>
      </c>
      <c r="I13" s="1177">
        <f>J13+L13</f>
        <v>102252.09999999999</v>
      </c>
      <c r="J13" s="710">
        <v>102107.9</v>
      </c>
      <c r="K13" s="710">
        <v>75676.800000000003</v>
      </c>
      <c r="L13" s="715">
        <v>144.19999999999999</v>
      </c>
      <c r="M13" s="3">
        <v>102252.1</v>
      </c>
      <c r="N13" s="3">
        <v>102252.1</v>
      </c>
      <c r="O13" s="1046"/>
      <c r="P13" s="376"/>
      <c r="Q13" s="1044"/>
      <c r="R13" s="621"/>
    </row>
    <row r="14" spans="1:22" x14ac:dyDescent="0.2">
      <c r="A14" s="26"/>
      <c r="B14" s="27"/>
      <c r="C14" s="1032"/>
      <c r="D14" s="888"/>
      <c r="E14" s="1053"/>
      <c r="F14" s="884"/>
      <c r="G14" s="375" t="s">
        <v>93</v>
      </c>
      <c r="H14" s="992">
        <f>17293/3.4528*1000</f>
        <v>5008398.9805375347</v>
      </c>
      <c r="I14" s="648">
        <f>J14+L14</f>
        <v>17292.599999999999</v>
      </c>
      <c r="J14" s="238">
        <v>17167.599999999999</v>
      </c>
      <c r="K14" s="238">
        <v>3110.6</v>
      </c>
      <c r="L14" s="697">
        <v>125</v>
      </c>
      <c r="M14" s="791">
        <f>17293</f>
        <v>17293</v>
      </c>
      <c r="N14" s="791">
        <f>17293</f>
        <v>17293</v>
      </c>
      <c r="O14" s="858"/>
      <c r="P14" s="376"/>
      <c r="Q14" s="1044"/>
      <c r="R14" s="621"/>
    </row>
    <row r="15" spans="1:22" ht="25.5" x14ac:dyDescent="0.2">
      <c r="A15" s="26"/>
      <c r="B15" s="1031"/>
      <c r="C15" s="154"/>
      <c r="D15" s="3415" t="s">
        <v>199</v>
      </c>
      <c r="E15" s="862"/>
      <c r="F15" s="884"/>
      <c r="G15" s="247"/>
      <c r="H15" s="932"/>
      <c r="I15" s="1178"/>
      <c r="J15" s="1179"/>
      <c r="K15" s="1179"/>
      <c r="L15" s="1180"/>
      <c r="M15" s="1181"/>
      <c r="N15" s="1181"/>
      <c r="O15" s="1076" t="s">
        <v>294</v>
      </c>
      <c r="P15" s="712" t="s">
        <v>238</v>
      </c>
      <c r="Q15" s="712" t="s">
        <v>239</v>
      </c>
      <c r="R15" s="713" t="s">
        <v>240</v>
      </c>
      <c r="T15" s="156"/>
      <c r="U15" s="156"/>
      <c r="V15" s="156"/>
    </row>
    <row r="16" spans="1:22" x14ac:dyDescent="0.2">
      <c r="A16" s="26"/>
      <c r="B16" s="27"/>
      <c r="C16" s="154"/>
      <c r="D16" s="3142"/>
      <c r="E16" s="862"/>
      <c r="F16" s="884"/>
      <c r="G16" s="651"/>
      <c r="H16" s="933"/>
      <c r="I16" s="502"/>
      <c r="J16" s="224"/>
      <c r="K16" s="1182"/>
      <c r="L16" s="1183"/>
      <c r="M16" s="882"/>
      <c r="N16" s="883"/>
      <c r="O16" s="230" t="s">
        <v>247</v>
      </c>
      <c r="P16" s="871" t="s">
        <v>241</v>
      </c>
      <c r="Q16" s="872" t="s">
        <v>242</v>
      </c>
      <c r="R16" s="873" t="s">
        <v>243</v>
      </c>
    </row>
    <row r="17" spans="1:23" x14ac:dyDescent="0.2">
      <c r="A17" s="26"/>
      <c r="B17" s="27"/>
      <c r="C17" s="154"/>
      <c r="D17" s="869"/>
      <c r="E17" s="862"/>
      <c r="F17" s="884"/>
      <c r="G17" s="651"/>
      <c r="H17" s="933"/>
      <c r="I17" s="1184"/>
      <c r="J17" s="1185"/>
      <c r="K17" s="1185"/>
      <c r="L17" s="1186"/>
      <c r="M17" s="649"/>
      <c r="N17" s="649"/>
      <c r="O17" s="3416" t="s">
        <v>295</v>
      </c>
      <c r="P17" s="712" t="s">
        <v>244</v>
      </c>
      <c r="Q17" s="712" t="s">
        <v>245</v>
      </c>
      <c r="R17" s="713" t="s">
        <v>246</v>
      </c>
      <c r="T17" s="156"/>
      <c r="U17" s="156"/>
      <c r="V17" s="156"/>
      <c r="W17" s="156"/>
    </row>
    <row r="18" spans="1:23" x14ac:dyDescent="0.2">
      <c r="A18" s="26"/>
      <c r="B18" s="27"/>
      <c r="C18" s="154"/>
      <c r="D18" s="869"/>
      <c r="E18" s="862"/>
      <c r="F18" s="884"/>
      <c r="G18" s="375"/>
      <c r="H18" s="931"/>
      <c r="I18" s="1187"/>
      <c r="J18" s="1188"/>
      <c r="K18" s="1188"/>
      <c r="L18" s="1189"/>
      <c r="M18" s="795"/>
      <c r="N18" s="795"/>
      <c r="O18" s="3417"/>
      <c r="P18" s="875"/>
      <c r="Q18" s="875"/>
      <c r="R18" s="876"/>
      <c r="T18" s="156"/>
      <c r="U18" s="156"/>
      <c r="V18" s="156"/>
      <c r="W18" s="156"/>
    </row>
    <row r="19" spans="1:23" x14ac:dyDescent="0.2">
      <c r="A19" s="26"/>
      <c r="B19" s="27"/>
      <c r="C19" s="1034"/>
      <c r="D19" s="870"/>
      <c r="E19" s="1043"/>
      <c r="F19" s="885"/>
      <c r="G19" s="899"/>
      <c r="H19" s="934"/>
      <c r="I19" s="583"/>
      <c r="J19" s="1190"/>
      <c r="K19" s="1190"/>
      <c r="L19" s="1191"/>
      <c r="M19" s="1192"/>
      <c r="N19" s="1193"/>
      <c r="O19" s="890" t="s">
        <v>248</v>
      </c>
      <c r="P19" s="1045">
        <v>244</v>
      </c>
      <c r="Q19" s="1054">
        <v>300</v>
      </c>
      <c r="R19" s="1055">
        <v>340</v>
      </c>
      <c r="U19" s="887"/>
      <c r="V19" s="887"/>
    </row>
    <row r="20" spans="1:23" x14ac:dyDescent="0.2">
      <c r="A20" s="3073"/>
      <c r="B20" s="27"/>
      <c r="C20" s="2952"/>
      <c r="D20" s="2970" t="s">
        <v>279</v>
      </c>
      <c r="E20" s="2955"/>
      <c r="F20" s="3412"/>
      <c r="G20" s="247"/>
      <c r="H20" s="932"/>
      <c r="I20" s="332"/>
      <c r="J20" s="1194"/>
      <c r="K20" s="1194"/>
      <c r="L20" s="1195"/>
      <c r="M20" s="1196"/>
      <c r="N20" s="1181"/>
      <c r="O20" s="3413" t="s">
        <v>296</v>
      </c>
      <c r="P20" s="3407">
        <v>8</v>
      </c>
      <c r="Q20" s="3407">
        <v>7</v>
      </c>
      <c r="R20" s="3409">
        <v>6</v>
      </c>
    </row>
    <row r="21" spans="1:23" x14ac:dyDescent="0.2">
      <c r="A21" s="3073"/>
      <c r="B21" s="27"/>
      <c r="C21" s="2952"/>
      <c r="D21" s="2970"/>
      <c r="E21" s="2955"/>
      <c r="F21" s="3412"/>
      <c r="G21" s="889"/>
      <c r="H21" s="935"/>
      <c r="I21" s="648"/>
      <c r="J21" s="237"/>
      <c r="K21" s="238"/>
      <c r="L21" s="1183"/>
      <c r="M21" s="187"/>
      <c r="N21" s="512"/>
      <c r="O21" s="3414"/>
      <c r="P21" s="3408"/>
      <c r="Q21" s="3408"/>
      <c r="R21" s="3410"/>
    </row>
    <row r="22" spans="1:23" x14ac:dyDescent="0.2">
      <c r="A22" s="3073"/>
      <c r="B22" s="27"/>
      <c r="C22" s="2953"/>
      <c r="D22" s="3415"/>
      <c r="E22" s="3005"/>
      <c r="F22" s="3016"/>
      <c r="G22" s="375"/>
      <c r="H22" s="931"/>
      <c r="I22" s="502"/>
      <c r="J22" s="224"/>
      <c r="K22" s="224"/>
      <c r="L22" s="697"/>
      <c r="M22" s="882"/>
      <c r="N22" s="882"/>
      <c r="O22" s="1077" t="s">
        <v>297</v>
      </c>
      <c r="P22" s="716">
        <v>2119</v>
      </c>
      <c r="Q22" s="716">
        <v>2200</v>
      </c>
      <c r="R22" s="717">
        <v>2200</v>
      </c>
    </row>
    <row r="23" spans="1:23" x14ac:dyDescent="0.2">
      <c r="A23" s="1023"/>
      <c r="B23" s="27"/>
      <c r="C23" s="1027"/>
      <c r="D23" s="1020"/>
      <c r="E23" s="1053"/>
      <c r="F23" s="884"/>
      <c r="G23" s="900"/>
      <c r="H23" s="936"/>
      <c r="I23" s="359"/>
      <c r="J23" s="1197"/>
      <c r="K23" s="1198"/>
      <c r="L23" s="1199"/>
      <c r="M23" s="1200"/>
      <c r="N23" s="1197"/>
      <c r="O23" s="891" t="s">
        <v>249</v>
      </c>
      <c r="P23" s="892">
        <v>1060</v>
      </c>
      <c r="Q23" s="893">
        <v>1040</v>
      </c>
      <c r="R23" s="894">
        <v>1020</v>
      </c>
    </row>
    <row r="24" spans="1:23" x14ac:dyDescent="0.2">
      <c r="A24" s="3017"/>
      <c r="B24" s="1031"/>
      <c r="C24" s="3018"/>
      <c r="D24" s="2970" t="s">
        <v>280</v>
      </c>
      <c r="E24" s="2955"/>
      <c r="F24" s="3393"/>
      <c r="G24" s="247"/>
      <c r="H24" s="932"/>
      <c r="I24" s="1201"/>
      <c r="J24" s="1202"/>
      <c r="K24" s="1202"/>
      <c r="L24" s="1203"/>
      <c r="M24" s="791"/>
      <c r="N24" s="791"/>
      <c r="O24" s="754" t="s">
        <v>250</v>
      </c>
      <c r="P24" s="755">
        <v>36</v>
      </c>
      <c r="Q24" s="755">
        <v>35</v>
      </c>
      <c r="R24" s="756">
        <v>35</v>
      </c>
    </row>
    <row r="25" spans="1:23" x14ac:dyDescent="0.2">
      <c r="A25" s="3017"/>
      <c r="B25" s="1031"/>
      <c r="C25" s="3018"/>
      <c r="D25" s="2970"/>
      <c r="E25" s="2955"/>
      <c r="F25" s="3393"/>
      <c r="G25" s="651"/>
      <c r="H25" s="933"/>
      <c r="I25" s="648"/>
      <c r="J25" s="238"/>
      <c r="K25" s="238"/>
      <c r="L25" s="697"/>
      <c r="M25" s="1204"/>
      <c r="N25" s="484"/>
      <c r="O25" s="721" t="s">
        <v>251</v>
      </c>
      <c r="P25" s="1056">
        <v>16960</v>
      </c>
      <c r="Q25" s="1056">
        <v>17000</v>
      </c>
      <c r="R25" s="1075">
        <v>17000</v>
      </c>
    </row>
    <row r="26" spans="1:23" x14ac:dyDescent="0.2">
      <c r="A26" s="3017"/>
      <c r="B26" s="1031"/>
      <c r="C26" s="3018"/>
      <c r="D26" s="2970"/>
      <c r="E26" s="2955"/>
      <c r="F26" s="3393"/>
      <c r="G26" s="651"/>
      <c r="H26" s="933"/>
      <c r="I26" s="648"/>
      <c r="J26" s="238"/>
      <c r="K26" s="238"/>
      <c r="L26" s="239"/>
      <c r="M26" s="795"/>
      <c r="N26" s="696"/>
      <c r="O26" s="718"/>
      <c r="P26" s="719"/>
      <c r="Q26" s="719"/>
      <c r="R26" s="720"/>
    </row>
    <row r="27" spans="1:23" x14ac:dyDescent="0.2">
      <c r="A27" s="3019"/>
      <c r="B27" s="3020"/>
      <c r="C27" s="2953"/>
      <c r="D27" s="2970" t="s">
        <v>252</v>
      </c>
      <c r="E27" s="3808"/>
      <c r="F27" s="3807"/>
      <c r="G27" s="247"/>
      <c r="H27" s="932"/>
      <c r="I27" s="1205"/>
      <c r="J27" s="1194"/>
      <c r="K27" s="1194"/>
      <c r="L27" s="1195"/>
      <c r="M27" s="1181"/>
      <c r="N27" s="1195"/>
      <c r="O27" s="721" t="s">
        <v>66</v>
      </c>
      <c r="P27" s="1056">
        <v>6</v>
      </c>
      <c r="Q27" s="1056">
        <v>6</v>
      </c>
      <c r="R27" s="1075">
        <v>6</v>
      </c>
    </row>
    <row r="28" spans="1:23" x14ac:dyDescent="0.2">
      <c r="A28" s="3017"/>
      <c r="B28" s="3021"/>
      <c r="C28" s="2953"/>
      <c r="D28" s="2956"/>
      <c r="E28" s="2969"/>
      <c r="F28" s="3391"/>
      <c r="G28" s="375"/>
      <c r="H28" s="931"/>
      <c r="I28" s="648"/>
      <c r="J28" s="752"/>
      <c r="K28" s="752"/>
      <c r="L28" s="758"/>
      <c r="M28" s="649"/>
      <c r="N28" s="110"/>
      <c r="O28" s="994" t="s">
        <v>253</v>
      </c>
      <c r="P28" s="1056">
        <v>5049</v>
      </c>
      <c r="Q28" s="1056">
        <v>5050</v>
      </c>
      <c r="R28" s="1075">
        <v>5100</v>
      </c>
      <c r="S28" s="108"/>
    </row>
    <row r="29" spans="1:23" x14ac:dyDescent="0.2">
      <c r="A29" s="3017"/>
      <c r="B29" s="3021"/>
      <c r="C29" s="2953"/>
      <c r="D29" s="3022" t="s">
        <v>143</v>
      </c>
      <c r="E29" s="3027"/>
      <c r="F29" s="3807"/>
      <c r="G29" s="247"/>
      <c r="H29" s="932"/>
      <c r="I29" s="1201"/>
      <c r="J29" s="1202"/>
      <c r="K29" s="1202"/>
      <c r="L29" s="757"/>
      <c r="M29" s="791"/>
      <c r="N29" s="1203"/>
      <c r="O29" s="2988" t="s">
        <v>81</v>
      </c>
      <c r="P29" s="2986">
        <v>4</v>
      </c>
      <c r="Q29" s="2986">
        <v>4.5</v>
      </c>
      <c r="R29" s="2976">
        <v>5</v>
      </c>
    </row>
    <row r="30" spans="1:23" x14ac:dyDescent="0.2">
      <c r="A30" s="3017"/>
      <c r="B30" s="3021"/>
      <c r="C30" s="2953"/>
      <c r="D30" s="3022"/>
      <c r="E30" s="3027"/>
      <c r="F30" s="3807"/>
      <c r="G30" s="375"/>
      <c r="H30" s="931"/>
      <c r="I30" s="648"/>
      <c r="J30" s="238"/>
      <c r="K30" s="238"/>
      <c r="L30" s="226"/>
      <c r="M30" s="795"/>
      <c r="N30" s="239"/>
      <c r="O30" s="2989"/>
      <c r="P30" s="2987"/>
      <c r="Q30" s="2987"/>
      <c r="R30" s="2977"/>
    </row>
    <row r="31" spans="1:23" x14ac:dyDescent="0.2">
      <c r="A31" s="3017"/>
      <c r="B31" s="3021"/>
      <c r="C31" s="2953"/>
      <c r="D31" s="3806"/>
      <c r="E31" s="3253"/>
      <c r="F31" s="3245"/>
      <c r="G31" s="379"/>
      <c r="H31" s="937"/>
      <c r="I31" s="263"/>
      <c r="J31" s="243"/>
      <c r="K31" s="792"/>
      <c r="L31" s="783"/>
      <c r="M31" s="701"/>
      <c r="N31" s="691"/>
      <c r="O31" s="3809"/>
      <c r="P31" s="3810"/>
      <c r="Q31" s="3810"/>
      <c r="R31" s="3811"/>
    </row>
    <row r="32" spans="1:23" x14ac:dyDescent="0.2">
      <c r="A32" s="184"/>
      <c r="B32" s="27"/>
      <c r="C32" s="185"/>
      <c r="D32" s="3022" t="s">
        <v>144</v>
      </c>
      <c r="E32" s="3812"/>
      <c r="F32" s="3393"/>
      <c r="G32" s="247"/>
      <c r="H32" s="932"/>
      <c r="I32" s="287"/>
      <c r="J32" s="215"/>
      <c r="K32" s="215"/>
      <c r="L32" s="692"/>
      <c r="M32" s="789"/>
      <c r="N32" s="789"/>
      <c r="O32" s="186" t="s">
        <v>116</v>
      </c>
      <c r="P32" s="1056">
        <v>92</v>
      </c>
      <c r="Q32" s="1056">
        <v>130</v>
      </c>
      <c r="R32" s="1075">
        <v>145</v>
      </c>
    </row>
    <row r="33" spans="1:20" x14ac:dyDescent="0.2">
      <c r="A33" s="184"/>
      <c r="B33" s="27"/>
      <c r="C33" s="185"/>
      <c r="D33" s="2965"/>
      <c r="E33" s="2961"/>
      <c r="F33" s="3388"/>
      <c r="G33" s="749"/>
      <c r="H33" s="938"/>
      <c r="I33" s="263"/>
      <c r="J33" s="243"/>
      <c r="K33" s="243"/>
      <c r="L33" s="691"/>
      <c r="M33" s="701"/>
      <c r="N33" s="701"/>
      <c r="O33" s="895"/>
      <c r="P33" s="896"/>
      <c r="Q33" s="897"/>
      <c r="R33" s="898"/>
    </row>
    <row r="34" spans="1:20" x14ac:dyDescent="0.2">
      <c r="A34" s="184"/>
      <c r="B34" s="27"/>
      <c r="C34" s="154"/>
      <c r="D34" s="3003" t="s">
        <v>191</v>
      </c>
      <c r="E34" s="3027"/>
      <c r="F34" s="3807"/>
      <c r="G34" s="247"/>
      <c r="H34" s="932"/>
      <c r="I34" s="1201"/>
      <c r="J34" s="1202"/>
      <c r="K34" s="1202"/>
      <c r="L34" s="216"/>
      <c r="M34" s="791"/>
      <c r="N34" s="791"/>
      <c r="O34" s="3387" t="s">
        <v>117</v>
      </c>
      <c r="P34" s="726">
        <v>250</v>
      </c>
      <c r="Q34" s="726">
        <v>255</v>
      </c>
      <c r="R34" s="714">
        <v>260</v>
      </c>
      <c r="T34" s="156"/>
    </row>
    <row r="35" spans="1:20" x14ac:dyDescent="0.2">
      <c r="A35" s="184"/>
      <c r="B35" s="27"/>
      <c r="C35" s="154"/>
      <c r="D35" s="2982"/>
      <c r="E35" s="3253"/>
      <c r="F35" s="3245"/>
      <c r="G35" s="651"/>
      <c r="H35" s="933"/>
      <c r="I35" s="648"/>
      <c r="J35" s="238"/>
      <c r="K35" s="238"/>
      <c r="L35" s="226"/>
      <c r="M35" s="795"/>
      <c r="N35" s="239"/>
      <c r="O35" s="3387"/>
      <c r="P35" s="726"/>
      <c r="Q35" s="726"/>
      <c r="R35" s="714"/>
      <c r="T35" s="156"/>
    </row>
    <row r="36" spans="1:20" x14ac:dyDescent="0.2">
      <c r="A36" s="184"/>
      <c r="B36" s="27"/>
      <c r="C36" s="154"/>
      <c r="D36" s="3232" t="s">
        <v>255</v>
      </c>
      <c r="E36" s="1005"/>
      <c r="F36" s="1012"/>
      <c r="G36" s="651"/>
      <c r="H36" s="933"/>
      <c r="I36" s="502"/>
      <c r="J36" s="1206"/>
      <c r="K36" s="881"/>
      <c r="L36" s="226"/>
      <c r="M36" s="882"/>
      <c r="N36" s="883"/>
      <c r="O36" s="784" t="s">
        <v>254</v>
      </c>
      <c r="P36" s="1054">
        <v>9</v>
      </c>
      <c r="Q36" s="726"/>
      <c r="R36" s="714"/>
      <c r="T36" s="156"/>
    </row>
    <row r="37" spans="1:20" x14ac:dyDescent="0.2">
      <c r="A37" s="184"/>
      <c r="B37" s="27"/>
      <c r="C37" s="154"/>
      <c r="D37" s="3232"/>
      <c r="E37" s="1005"/>
      <c r="F37" s="1012"/>
      <c r="G37" s="899"/>
      <c r="H37" s="934"/>
      <c r="I37" s="583"/>
      <c r="J37" s="1193"/>
      <c r="K37" s="1207"/>
      <c r="L37" s="1191"/>
      <c r="M37" s="1192"/>
      <c r="N37" s="1191"/>
      <c r="O37" s="761"/>
      <c r="P37" s="759"/>
      <c r="Q37" s="759"/>
      <c r="R37" s="760"/>
    </row>
    <row r="38" spans="1:20" x14ac:dyDescent="0.2">
      <c r="A38" s="1002"/>
      <c r="B38" s="995"/>
      <c r="C38" s="1003"/>
      <c r="D38" s="3266" t="s">
        <v>275</v>
      </c>
      <c r="E38" s="3813"/>
      <c r="F38" s="3369"/>
      <c r="G38" s="866"/>
      <c r="H38" s="939"/>
      <c r="I38" s="1201"/>
      <c r="J38" s="1202"/>
      <c r="K38" s="1208"/>
      <c r="L38" s="1209"/>
      <c r="M38" s="791"/>
      <c r="N38" s="1203"/>
      <c r="O38" s="880" t="s">
        <v>66</v>
      </c>
      <c r="P38" s="1047">
        <v>92</v>
      </c>
      <c r="Q38" s="114">
        <v>92</v>
      </c>
      <c r="R38" s="98">
        <v>92</v>
      </c>
    </row>
    <row r="39" spans="1:20" ht="13.5" thickBot="1" x14ac:dyDescent="0.25">
      <c r="A39" s="535"/>
      <c r="B39" s="28"/>
      <c r="C39" s="782"/>
      <c r="D39" s="3267"/>
      <c r="E39" s="3268"/>
      <c r="F39" s="3269"/>
      <c r="G39" s="298" t="s">
        <v>23</v>
      </c>
      <c r="H39" s="940">
        <f t="shared" ref="H39:N39" si="1">SUM(H12:H38)</f>
        <v>54837001.853568122</v>
      </c>
      <c r="I39" s="299">
        <f t="shared" si="1"/>
        <v>189369.60000000001</v>
      </c>
      <c r="J39" s="299">
        <f t="shared" si="1"/>
        <v>189100.4</v>
      </c>
      <c r="K39" s="299">
        <f t="shared" si="1"/>
        <v>127061.80000000002</v>
      </c>
      <c r="L39" s="299">
        <f t="shared" si="1"/>
        <v>269.2</v>
      </c>
      <c r="M39" s="299">
        <f t="shared" si="1"/>
        <v>189370</v>
      </c>
      <c r="N39" s="299">
        <f t="shared" si="1"/>
        <v>189370</v>
      </c>
      <c r="O39" s="879"/>
      <c r="P39" s="618"/>
      <c r="Q39" s="618"/>
      <c r="R39" s="188"/>
      <c r="T39" s="210"/>
    </row>
    <row r="40" spans="1:20" ht="32.25" customHeight="1" x14ac:dyDescent="0.2">
      <c r="A40" s="1015" t="s">
        <v>20</v>
      </c>
      <c r="B40" s="219" t="s">
        <v>20</v>
      </c>
      <c r="C40" s="1026" t="s">
        <v>24</v>
      </c>
      <c r="D40" s="2957" t="s">
        <v>205</v>
      </c>
      <c r="E40" s="3385" t="s">
        <v>129</v>
      </c>
      <c r="F40" s="3244">
        <v>2</v>
      </c>
      <c r="G40" s="116" t="s">
        <v>25</v>
      </c>
      <c r="H40" s="930">
        <f>50.9/3.4528*1000</f>
        <v>14741.658943466173</v>
      </c>
      <c r="I40" s="330">
        <f>J40+L40</f>
        <v>50.9</v>
      </c>
      <c r="J40" s="709">
        <v>50.9</v>
      </c>
      <c r="K40" s="709">
        <v>38.799999999999997</v>
      </c>
      <c r="L40" s="217"/>
      <c r="M40" s="723">
        <f>50.9</f>
        <v>50.9</v>
      </c>
      <c r="N40" s="727">
        <f>50.9</f>
        <v>50.9</v>
      </c>
      <c r="O40" s="3381" t="s">
        <v>256</v>
      </c>
      <c r="P40" s="2944">
        <v>1</v>
      </c>
      <c r="Q40" s="2944">
        <v>1</v>
      </c>
      <c r="R40" s="2939">
        <v>1</v>
      </c>
      <c r="T40" s="209"/>
    </row>
    <row r="41" spans="1:20" ht="13.5" thickBot="1" x14ac:dyDescent="0.25">
      <c r="A41" s="1033"/>
      <c r="B41" s="28"/>
      <c r="C41" s="1049"/>
      <c r="D41" s="2958"/>
      <c r="E41" s="3386"/>
      <c r="F41" s="3378"/>
      <c r="G41" s="298" t="s">
        <v>23</v>
      </c>
      <c r="H41" s="940">
        <f>H40</f>
        <v>14741.658943466173</v>
      </c>
      <c r="I41" s="299">
        <f t="shared" ref="I41:K41" si="2">SUM(I40:I40)</f>
        <v>50.9</v>
      </c>
      <c r="J41" s="292">
        <f t="shared" si="2"/>
        <v>50.9</v>
      </c>
      <c r="K41" s="314">
        <f t="shared" si="2"/>
        <v>38.799999999999997</v>
      </c>
      <c r="L41" s="301"/>
      <c r="M41" s="300">
        <f>SUM(M40:M40)</f>
        <v>50.9</v>
      </c>
      <c r="N41" s="301">
        <f>SUM(N40:N40)</f>
        <v>50.9</v>
      </c>
      <c r="O41" s="3382"/>
      <c r="P41" s="3383"/>
      <c r="Q41" s="3383"/>
      <c r="R41" s="3384"/>
    </row>
    <row r="42" spans="1:20" x14ac:dyDescent="0.2">
      <c r="A42" s="1000" t="s">
        <v>20</v>
      </c>
      <c r="B42" s="1008" t="s">
        <v>20</v>
      </c>
      <c r="C42" s="997" t="s">
        <v>26</v>
      </c>
      <c r="D42" s="2957" t="s">
        <v>151</v>
      </c>
      <c r="E42" s="2980"/>
      <c r="F42" s="3244">
        <v>2</v>
      </c>
      <c r="G42" s="115" t="s">
        <v>25</v>
      </c>
      <c r="H42" s="933">
        <f>141.1/3.4528*1000</f>
        <v>40865.38461538461</v>
      </c>
      <c r="I42" s="648">
        <f>J42+L42</f>
        <v>141.1</v>
      </c>
      <c r="J42" s="728">
        <v>141.1</v>
      </c>
      <c r="K42" s="710">
        <v>107.8</v>
      </c>
      <c r="L42" s="217"/>
      <c r="M42" s="109">
        <f>141.1</f>
        <v>141.1</v>
      </c>
      <c r="N42" s="753">
        <f>141.1</f>
        <v>141.1</v>
      </c>
      <c r="O42" s="2946" t="s">
        <v>298</v>
      </c>
      <c r="P42" s="2943">
        <v>5</v>
      </c>
      <c r="Q42" s="2943">
        <v>5</v>
      </c>
      <c r="R42" s="2938">
        <v>5</v>
      </c>
    </row>
    <row r="43" spans="1:20" ht="13.5" thickBot="1" x14ac:dyDescent="0.25">
      <c r="A43" s="1001"/>
      <c r="B43" s="28"/>
      <c r="C43" s="998"/>
      <c r="D43" s="2958"/>
      <c r="E43" s="2981"/>
      <c r="F43" s="3378"/>
      <c r="G43" s="298" t="s">
        <v>23</v>
      </c>
      <c r="H43" s="940">
        <f>H42</f>
        <v>40865.38461538461</v>
      </c>
      <c r="I43" s="299">
        <f t="shared" ref="I43:K43" si="3">SUM(I42:I42)</f>
        <v>141.1</v>
      </c>
      <c r="J43" s="292">
        <f t="shared" si="3"/>
        <v>141.1</v>
      </c>
      <c r="K43" s="314">
        <f t="shared" si="3"/>
        <v>107.8</v>
      </c>
      <c r="L43" s="301"/>
      <c r="M43" s="315">
        <f>SUM(M42:M42)</f>
        <v>141.1</v>
      </c>
      <c r="N43" s="316">
        <f>SUM(N42:N42)</f>
        <v>141.1</v>
      </c>
      <c r="O43" s="2948"/>
      <c r="P43" s="2945"/>
      <c r="Q43" s="2945"/>
      <c r="R43" s="2940"/>
    </row>
    <row r="44" spans="1:20" x14ac:dyDescent="0.2">
      <c r="A44" s="1006" t="s">
        <v>20</v>
      </c>
      <c r="B44" s="1008" t="s">
        <v>20</v>
      </c>
      <c r="C44" s="751" t="s">
        <v>28</v>
      </c>
      <c r="D44" s="3002" t="s">
        <v>266</v>
      </c>
      <c r="E44" s="2980"/>
      <c r="F44" s="3244">
        <v>2</v>
      </c>
      <c r="G44" s="115" t="s">
        <v>25</v>
      </c>
      <c r="H44" s="941">
        <f>282.4/3.4528*1000</f>
        <v>81788.693234476363</v>
      </c>
      <c r="I44" s="322">
        <f>J44+L44</f>
        <v>282.39999999999998</v>
      </c>
      <c r="J44" s="709">
        <v>282.39999999999998</v>
      </c>
      <c r="K44" s="729">
        <v>150</v>
      </c>
      <c r="L44" s="217"/>
      <c r="M44" s="730">
        <f>300</f>
        <v>300</v>
      </c>
      <c r="N44" s="731">
        <f>300</f>
        <v>300</v>
      </c>
      <c r="O44" s="3379" t="s">
        <v>267</v>
      </c>
      <c r="P44" s="1037">
        <v>25</v>
      </c>
      <c r="Q44" s="1037">
        <v>30</v>
      </c>
      <c r="R44" s="1040">
        <v>30</v>
      </c>
    </row>
    <row r="45" spans="1:20" ht="13.5" thickBot="1" x14ac:dyDescent="0.25">
      <c r="A45" s="1001"/>
      <c r="B45" s="28"/>
      <c r="C45" s="998"/>
      <c r="D45" s="2958"/>
      <c r="E45" s="2981"/>
      <c r="F45" s="3378"/>
      <c r="G45" s="298" t="s">
        <v>23</v>
      </c>
      <c r="H45" s="940">
        <f>H44</f>
        <v>81788.693234476363</v>
      </c>
      <c r="I45" s="299">
        <f t="shared" ref="I45:K45" si="4">SUM(I44:I44)</f>
        <v>282.39999999999998</v>
      </c>
      <c r="J45" s="292">
        <f t="shared" si="4"/>
        <v>282.39999999999998</v>
      </c>
      <c r="K45" s="314">
        <f t="shared" si="4"/>
        <v>150</v>
      </c>
      <c r="L45" s="301"/>
      <c r="M45" s="300">
        <f>SUM(M44:M44)</f>
        <v>300</v>
      </c>
      <c r="N45" s="301">
        <f>SUM(N44:N44)</f>
        <v>300</v>
      </c>
      <c r="O45" s="3380"/>
      <c r="P45" s="750"/>
      <c r="Q45" s="128"/>
      <c r="R45" s="202"/>
    </row>
    <row r="46" spans="1:20" x14ac:dyDescent="0.2">
      <c r="A46" s="1000" t="s">
        <v>20</v>
      </c>
      <c r="B46" s="1008" t="s">
        <v>20</v>
      </c>
      <c r="C46" s="997" t="s">
        <v>29</v>
      </c>
      <c r="D46" s="3376" t="s">
        <v>257</v>
      </c>
      <c r="E46" s="2980"/>
      <c r="F46" s="3244">
        <v>2</v>
      </c>
      <c r="G46" s="115" t="s">
        <v>22</v>
      </c>
      <c r="H46" s="941">
        <f>10/3.4528*1000</f>
        <v>2896.2001853568122</v>
      </c>
      <c r="I46" s="322">
        <f>J46+L46</f>
        <v>10</v>
      </c>
      <c r="J46" s="709">
        <v>10</v>
      </c>
      <c r="K46" s="729"/>
      <c r="L46" s="217"/>
      <c r="M46" s="730">
        <f>10</f>
        <v>10</v>
      </c>
      <c r="N46" s="731">
        <f>10</f>
        <v>10</v>
      </c>
      <c r="O46" s="1024" t="s">
        <v>258</v>
      </c>
      <c r="P46" s="724">
        <v>30</v>
      </c>
      <c r="Q46" s="724">
        <v>35</v>
      </c>
      <c r="R46" s="735">
        <v>35</v>
      </c>
    </row>
    <row r="47" spans="1:20" ht="13.5" thickBot="1" x14ac:dyDescent="0.25">
      <c r="A47" s="1001"/>
      <c r="B47" s="28"/>
      <c r="C47" s="998"/>
      <c r="D47" s="3377"/>
      <c r="E47" s="2981"/>
      <c r="F47" s="3378"/>
      <c r="G47" s="298" t="s">
        <v>23</v>
      </c>
      <c r="H47" s="940">
        <f>H46</f>
        <v>2896.2001853568122</v>
      </c>
      <c r="I47" s="299">
        <f>SUM(I46:I46)</f>
        <v>10</v>
      </c>
      <c r="J47" s="292">
        <f>SUM(J46:J46)</f>
        <v>10</v>
      </c>
      <c r="K47" s="314"/>
      <c r="L47" s="301"/>
      <c r="M47" s="300">
        <f>SUM(M46:M46)</f>
        <v>10</v>
      </c>
      <c r="N47" s="301">
        <f>SUM(N46:N46)</f>
        <v>10</v>
      </c>
      <c r="O47" s="1025"/>
      <c r="P47" s="733"/>
      <c r="Q47" s="733"/>
      <c r="R47" s="734"/>
    </row>
    <row r="48" spans="1:20" x14ac:dyDescent="0.2">
      <c r="A48" s="1000" t="s">
        <v>20</v>
      </c>
      <c r="B48" s="1008" t="s">
        <v>20</v>
      </c>
      <c r="C48" s="997" t="s">
        <v>30</v>
      </c>
      <c r="D48" s="3376" t="s">
        <v>259</v>
      </c>
      <c r="E48" s="2980"/>
      <c r="F48" s="3244">
        <v>2</v>
      </c>
      <c r="G48" s="115" t="s">
        <v>22</v>
      </c>
      <c r="H48" s="941">
        <f>50/3.4528*1000</f>
        <v>14481.00092678406</v>
      </c>
      <c r="I48" s="322">
        <f>J48+L48</f>
        <v>50</v>
      </c>
      <c r="J48" s="709">
        <v>50</v>
      </c>
      <c r="K48" s="729"/>
      <c r="L48" s="217"/>
      <c r="M48" s="730">
        <f>50</f>
        <v>50</v>
      </c>
      <c r="N48" s="731">
        <f>50</f>
        <v>50</v>
      </c>
      <c r="O48" s="3076" t="s">
        <v>260</v>
      </c>
      <c r="P48" s="3372">
        <v>1.5</v>
      </c>
      <c r="Q48" s="3372">
        <v>1.5</v>
      </c>
      <c r="R48" s="3374">
        <v>1.5</v>
      </c>
    </row>
    <row r="49" spans="1:18" ht="13.5" thickBot="1" x14ac:dyDescent="0.25">
      <c r="A49" s="1001"/>
      <c r="B49" s="28"/>
      <c r="C49" s="998"/>
      <c r="D49" s="3377"/>
      <c r="E49" s="2981"/>
      <c r="F49" s="3378"/>
      <c r="G49" s="298" t="s">
        <v>23</v>
      </c>
      <c r="H49" s="940">
        <f>H48</f>
        <v>14481.00092678406</v>
      </c>
      <c r="I49" s="299">
        <f>SUM(I48:I48)</f>
        <v>50</v>
      </c>
      <c r="J49" s="292">
        <f>SUM(J48:J48)</f>
        <v>50</v>
      </c>
      <c r="K49" s="314"/>
      <c r="L49" s="301"/>
      <c r="M49" s="300">
        <f>SUM(M48:M48)</f>
        <v>50</v>
      </c>
      <c r="N49" s="301">
        <f>SUM(N48:N48)</f>
        <v>50</v>
      </c>
      <c r="O49" s="3077"/>
      <c r="P49" s="3373"/>
      <c r="Q49" s="3373"/>
      <c r="R49" s="3375"/>
    </row>
    <row r="50" spans="1:18" ht="13.5" thickBot="1" x14ac:dyDescent="0.25">
      <c r="A50" s="1001" t="s">
        <v>20</v>
      </c>
      <c r="B50" s="1009" t="s">
        <v>20</v>
      </c>
      <c r="C50" s="3088" t="s">
        <v>27</v>
      </c>
      <c r="D50" s="3088"/>
      <c r="E50" s="3088"/>
      <c r="F50" s="3088"/>
      <c r="G50" s="3089"/>
      <c r="H50" s="990">
        <f>H49+H47+H45+H43+H41+H39</f>
        <v>54991774.79147359</v>
      </c>
      <c r="I50" s="1">
        <f t="shared" ref="I50:N50" si="5">I45+I43+I41+I39+I47+I49</f>
        <v>189904</v>
      </c>
      <c r="J50" s="1">
        <f t="shared" si="5"/>
        <v>189634.8</v>
      </c>
      <c r="K50" s="1">
        <f t="shared" si="5"/>
        <v>127358.40000000002</v>
      </c>
      <c r="L50" s="1">
        <f t="shared" si="5"/>
        <v>269.2</v>
      </c>
      <c r="M50" s="1">
        <f t="shared" si="5"/>
        <v>189922</v>
      </c>
      <c r="N50" s="1">
        <f t="shared" si="5"/>
        <v>189922</v>
      </c>
      <c r="O50" s="3189"/>
      <c r="P50" s="3190"/>
      <c r="Q50" s="3190"/>
      <c r="R50" s="3191"/>
    </row>
    <row r="51" spans="1:18" ht="13.5" thickBot="1" x14ac:dyDescent="0.25">
      <c r="A51" s="15" t="s">
        <v>20</v>
      </c>
      <c r="B51" s="17" t="s">
        <v>24</v>
      </c>
      <c r="C51" s="3250" t="s">
        <v>115</v>
      </c>
      <c r="D51" s="3187"/>
      <c r="E51" s="3187"/>
      <c r="F51" s="3187"/>
      <c r="G51" s="3187"/>
      <c r="H51" s="3187"/>
      <c r="I51" s="3187"/>
      <c r="J51" s="3187"/>
      <c r="K51" s="3187"/>
      <c r="L51" s="3187"/>
      <c r="M51" s="3187"/>
      <c r="N51" s="3187"/>
      <c r="O51" s="3187"/>
      <c r="P51" s="3187"/>
      <c r="Q51" s="3187"/>
      <c r="R51" s="3188"/>
    </row>
    <row r="52" spans="1:18" x14ac:dyDescent="0.2">
      <c r="A52" s="218" t="s">
        <v>20</v>
      </c>
      <c r="B52" s="3117" t="s">
        <v>24</v>
      </c>
      <c r="C52" s="2912" t="s">
        <v>20</v>
      </c>
      <c r="D52" s="3242" t="s">
        <v>118</v>
      </c>
      <c r="E52" s="3252"/>
      <c r="F52" s="3247">
        <v>2</v>
      </c>
      <c r="G52" s="1051" t="s">
        <v>22</v>
      </c>
      <c r="H52" s="942">
        <f>65/3.4528*1000</f>
        <v>18825.30120481928</v>
      </c>
      <c r="I52" s="308">
        <f>J52+L52</f>
        <v>65.400000000000006</v>
      </c>
      <c r="J52" s="48">
        <v>65.400000000000006</v>
      </c>
      <c r="K52" s="48"/>
      <c r="L52" s="49"/>
      <c r="M52" s="22">
        <f>65.4</f>
        <v>65.400000000000006</v>
      </c>
      <c r="N52" s="22">
        <f>65.4</f>
        <v>65.400000000000006</v>
      </c>
      <c r="O52" s="190" t="s">
        <v>261</v>
      </c>
      <c r="P52" s="191">
        <v>20</v>
      </c>
      <c r="Q52" s="191">
        <v>20</v>
      </c>
      <c r="R52" s="192">
        <v>20</v>
      </c>
    </row>
    <row r="53" spans="1:18" ht="26.25" thickBot="1" x14ac:dyDescent="0.25">
      <c r="A53" s="1033"/>
      <c r="B53" s="3118"/>
      <c r="C53" s="2913"/>
      <c r="D53" s="3271"/>
      <c r="E53" s="3370"/>
      <c r="F53" s="3371"/>
      <c r="G53" s="805" t="s">
        <v>23</v>
      </c>
      <c r="H53" s="943">
        <f>H52</f>
        <v>18825.30120481928</v>
      </c>
      <c r="I53" s="806">
        <f>SUM(I52)</f>
        <v>65.400000000000006</v>
      </c>
      <c r="J53" s="807">
        <f>SUM(J52)</f>
        <v>65.400000000000006</v>
      </c>
      <c r="K53" s="808"/>
      <c r="L53" s="809"/>
      <c r="M53" s="810">
        <f>SUM(M52)</f>
        <v>65.400000000000006</v>
      </c>
      <c r="N53" s="810">
        <f>SUM(N52)</f>
        <v>65.400000000000006</v>
      </c>
      <c r="O53" s="193" t="s">
        <v>119</v>
      </c>
      <c r="P53" s="194">
        <v>36</v>
      </c>
      <c r="Q53" s="194">
        <v>36</v>
      </c>
      <c r="R53" s="195">
        <v>36</v>
      </c>
    </row>
    <row r="54" spans="1:18" x14ac:dyDescent="0.2">
      <c r="A54" s="3221" t="s">
        <v>20</v>
      </c>
      <c r="B54" s="3117" t="s">
        <v>24</v>
      </c>
      <c r="C54" s="3227" t="s">
        <v>24</v>
      </c>
      <c r="D54" s="3095" t="s">
        <v>263</v>
      </c>
      <c r="E54" s="3252"/>
      <c r="F54" s="3244">
        <v>2</v>
      </c>
      <c r="G54" s="651" t="s">
        <v>25</v>
      </c>
      <c r="H54" s="933">
        <f>105/3.4528*1000</f>
        <v>30410.101946246526</v>
      </c>
      <c r="I54" s="308">
        <f>J54+L54</f>
        <v>104.8</v>
      </c>
      <c r="J54" s="736">
        <v>104.8</v>
      </c>
      <c r="K54" s="19">
        <v>80</v>
      </c>
      <c r="L54" s="226"/>
      <c r="M54" s="1204">
        <f>105</f>
        <v>105</v>
      </c>
      <c r="N54" s="225">
        <f>105</f>
        <v>105</v>
      </c>
      <c r="O54" s="3076" t="s">
        <v>299</v>
      </c>
      <c r="P54" s="138">
        <v>17</v>
      </c>
      <c r="Q54" s="138">
        <v>17</v>
      </c>
      <c r="R54" s="137">
        <v>17</v>
      </c>
    </row>
    <row r="55" spans="1:18" ht="13.5" thickBot="1" x14ac:dyDescent="0.25">
      <c r="A55" s="3241"/>
      <c r="B55" s="3251"/>
      <c r="C55" s="3240"/>
      <c r="D55" s="3096"/>
      <c r="E55" s="3253"/>
      <c r="F55" s="3245"/>
      <c r="G55" s="298" t="s">
        <v>23</v>
      </c>
      <c r="H55" s="944">
        <f>H54</f>
        <v>30410.101946246526</v>
      </c>
      <c r="I55" s="313">
        <f>SUM(I54)</f>
        <v>104.8</v>
      </c>
      <c r="J55" s="292">
        <f>SUM(J54)</f>
        <v>104.8</v>
      </c>
      <c r="K55" s="291">
        <f>SUM(K54)</f>
        <v>80</v>
      </c>
      <c r="L55" s="295"/>
      <c r="M55" s="300">
        <f>SUM(M54)</f>
        <v>105</v>
      </c>
      <c r="N55" s="291">
        <f>SUM(N54)</f>
        <v>105</v>
      </c>
      <c r="O55" s="3077"/>
      <c r="P55" s="762"/>
      <c r="Q55" s="762"/>
      <c r="R55" s="763"/>
    </row>
    <row r="56" spans="1:18" x14ac:dyDescent="0.2">
      <c r="A56" s="3154" t="s">
        <v>20</v>
      </c>
      <c r="B56" s="1008" t="s">
        <v>24</v>
      </c>
      <c r="C56" s="3230" t="s">
        <v>26</v>
      </c>
      <c r="D56" s="3208" t="s">
        <v>45</v>
      </c>
      <c r="E56" s="3210"/>
      <c r="F56" s="3092">
        <v>2</v>
      </c>
      <c r="G56" s="748" t="s">
        <v>22</v>
      </c>
      <c r="H56" s="945">
        <f>137/3.4528*1000</f>
        <v>39677.942539388328</v>
      </c>
      <c r="I56" s="369">
        <f>J56+L56</f>
        <v>136.69999999999999</v>
      </c>
      <c r="J56" s="42">
        <v>136.69999999999999</v>
      </c>
      <c r="K56" s="42"/>
      <c r="L56" s="43"/>
      <c r="M56" s="22">
        <f>140</f>
        <v>140</v>
      </c>
      <c r="N56" s="19">
        <f>140</f>
        <v>140</v>
      </c>
      <c r="O56" s="764" t="s">
        <v>300</v>
      </c>
      <c r="P56" s="759">
        <v>180</v>
      </c>
      <c r="Q56" s="1019">
        <v>180</v>
      </c>
      <c r="R56" s="671">
        <v>180</v>
      </c>
    </row>
    <row r="57" spans="1:18" ht="13.5" thickBot="1" x14ac:dyDescent="0.25">
      <c r="A57" s="3156"/>
      <c r="B57" s="1009"/>
      <c r="C57" s="3231"/>
      <c r="D57" s="3209"/>
      <c r="E57" s="3211"/>
      <c r="F57" s="3093"/>
      <c r="G57" s="999" t="s">
        <v>23</v>
      </c>
      <c r="H57" s="944">
        <f>H56</f>
        <v>39677.942539388328</v>
      </c>
      <c r="I57" s="321">
        <f>SUM(I56)</f>
        <v>136.69999999999999</v>
      </c>
      <c r="J57" s="320">
        <f>SUM(J56)</f>
        <v>136.69999999999999</v>
      </c>
      <c r="K57" s="317"/>
      <c r="L57" s="318"/>
      <c r="M57" s="300">
        <f>SUM(M56)</f>
        <v>140</v>
      </c>
      <c r="N57" s="301">
        <f>SUM(N56)</f>
        <v>140</v>
      </c>
      <c r="O57" s="765"/>
      <c r="P57" s="766"/>
      <c r="Q57" s="746"/>
      <c r="R57" s="1042"/>
    </row>
    <row r="58" spans="1:18" x14ac:dyDescent="0.2">
      <c r="A58" s="3221" t="s">
        <v>20</v>
      </c>
      <c r="B58" s="3117" t="s">
        <v>24</v>
      </c>
      <c r="C58" s="3227" t="s">
        <v>28</v>
      </c>
      <c r="D58" s="3208" t="s">
        <v>310</v>
      </c>
      <c r="E58" s="3366" t="s">
        <v>123</v>
      </c>
      <c r="F58" s="3090">
        <v>2</v>
      </c>
      <c r="G58" s="646" t="s">
        <v>25</v>
      </c>
      <c r="H58" s="941">
        <f>134/3.4528*1000</f>
        <v>38809.082483781283</v>
      </c>
      <c r="I58" s="308">
        <f>J58+L58</f>
        <v>133.5</v>
      </c>
      <c r="J58" s="738">
        <v>102.5</v>
      </c>
      <c r="K58" s="738">
        <v>78.3</v>
      </c>
      <c r="L58" s="739">
        <v>31</v>
      </c>
      <c r="M58" s="740">
        <f>102.5</f>
        <v>102.5</v>
      </c>
      <c r="N58" s="739"/>
      <c r="O58" s="196" t="s">
        <v>66</v>
      </c>
      <c r="P58" s="138">
        <v>2</v>
      </c>
      <c r="Q58" s="138">
        <v>1</v>
      </c>
      <c r="R58" s="745"/>
    </row>
    <row r="59" spans="1:18" x14ac:dyDescent="0.2">
      <c r="A59" s="3155"/>
      <c r="B59" s="3159"/>
      <c r="C59" s="3228"/>
      <c r="D59" s="3263"/>
      <c r="E59" s="3308"/>
      <c r="F59" s="3239"/>
      <c r="G59" s="116"/>
      <c r="H59" s="930"/>
      <c r="I59" s="263"/>
      <c r="J59" s="737"/>
      <c r="K59" s="737"/>
      <c r="L59" s="512"/>
      <c r="M59" s="742"/>
      <c r="N59" s="741"/>
      <c r="O59" s="767"/>
      <c r="P59" s="175"/>
      <c r="Q59" s="175"/>
      <c r="R59" s="671"/>
    </row>
    <row r="60" spans="1:18" ht="13.5" thickBot="1" x14ac:dyDescent="0.25">
      <c r="A60" s="3241"/>
      <c r="B60" s="3251"/>
      <c r="C60" s="3240"/>
      <c r="D60" s="3368"/>
      <c r="E60" s="3351"/>
      <c r="F60" s="3369"/>
      <c r="G60" s="298" t="s">
        <v>23</v>
      </c>
      <c r="H60" s="940">
        <f>H58</f>
        <v>38809.082483781283</v>
      </c>
      <c r="I60" s="321">
        <f t="shared" ref="I60:N60" si="6">I58</f>
        <v>133.5</v>
      </c>
      <c r="J60" s="337">
        <f t="shared" si="6"/>
        <v>102.5</v>
      </c>
      <c r="K60" s="337">
        <f t="shared" si="6"/>
        <v>78.3</v>
      </c>
      <c r="L60" s="318">
        <f t="shared" si="6"/>
        <v>31</v>
      </c>
      <c r="M60" s="315">
        <f t="shared" si="6"/>
        <v>102.5</v>
      </c>
      <c r="N60" s="317">
        <f t="shared" si="6"/>
        <v>0</v>
      </c>
      <c r="O60" s="1039"/>
      <c r="P60" s="762"/>
      <c r="Q60" s="762"/>
      <c r="R60" s="763"/>
    </row>
    <row r="61" spans="1:18" x14ac:dyDescent="0.2">
      <c r="A61" s="3221" t="s">
        <v>20</v>
      </c>
      <c r="B61" s="3117" t="s">
        <v>24</v>
      </c>
      <c r="C61" s="3227" t="s">
        <v>29</v>
      </c>
      <c r="D61" s="3208" t="s">
        <v>124</v>
      </c>
      <c r="E61" s="3366"/>
      <c r="F61" s="3090">
        <v>2</v>
      </c>
      <c r="G61" s="651" t="s">
        <v>25</v>
      </c>
      <c r="H61" s="933">
        <f>1280/3.4528*1000</f>
        <v>370713.62372567196</v>
      </c>
      <c r="I61" s="373">
        <f>J61+L61</f>
        <v>1279.8</v>
      </c>
      <c r="J61" s="237">
        <v>1279.8</v>
      </c>
      <c r="K61" s="238">
        <v>977.1</v>
      </c>
      <c r="L61" s="239"/>
      <c r="M61" s="507">
        <f>1313.3</f>
        <v>1313.3</v>
      </c>
      <c r="N61" s="10">
        <f>1313.3</f>
        <v>1313.3</v>
      </c>
      <c r="O61" s="743" t="s">
        <v>66</v>
      </c>
      <c r="P61" s="744">
        <v>34</v>
      </c>
      <c r="Q61" s="744">
        <v>34</v>
      </c>
      <c r="R61" s="745">
        <v>34</v>
      </c>
    </row>
    <row r="62" spans="1:18" ht="13.5" thickBot="1" x14ac:dyDescent="0.25">
      <c r="A62" s="3241"/>
      <c r="B62" s="3251"/>
      <c r="C62" s="3240"/>
      <c r="D62" s="3368"/>
      <c r="E62" s="3351"/>
      <c r="F62" s="3369"/>
      <c r="G62" s="298" t="s">
        <v>23</v>
      </c>
      <c r="H62" s="944">
        <f>H61</f>
        <v>370713.62372567196</v>
      </c>
      <c r="I62" s="337">
        <f>SUM(I61)</f>
        <v>1279.8</v>
      </c>
      <c r="J62" s="320">
        <f>SUM(J61)</f>
        <v>1279.8</v>
      </c>
      <c r="K62" s="317">
        <f>K61</f>
        <v>977.1</v>
      </c>
      <c r="L62" s="318"/>
      <c r="M62" s="300">
        <f>SUM(M61)</f>
        <v>1313.3</v>
      </c>
      <c r="N62" s="291">
        <f>SUM(N61)</f>
        <v>1313.3</v>
      </c>
      <c r="O62" s="1039"/>
      <c r="P62" s="762"/>
      <c r="Q62" s="762"/>
      <c r="R62" s="763"/>
    </row>
    <row r="63" spans="1:18" x14ac:dyDescent="0.2">
      <c r="A63" s="3154" t="s">
        <v>20</v>
      </c>
      <c r="B63" s="1008" t="s">
        <v>24</v>
      </c>
      <c r="C63" s="3230" t="s">
        <v>30</v>
      </c>
      <c r="D63" s="3208" t="s">
        <v>262</v>
      </c>
      <c r="E63" s="3366"/>
      <c r="F63" s="3092">
        <v>2</v>
      </c>
      <c r="G63" s="748" t="s">
        <v>22</v>
      </c>
      <c r="H63" s="945">
        <f>30/3.4528*1000</f>
        <v>8688.6005560704343</v>
      </c>
      <c r="I63" s="369">
        <f>J63+L63</f>
        <v>30</v>
      </c>
      <c r="J63" s="42">
        <v>30</v>
      </c>
      <c r="K63" s="42"/>
      <c r="L63" s="43"/>
      <c r="M63" s="22">
        <f>30</f>
        <v>30</v>
      </c>
      <c r="N63" s="19">
        <f>30</f>
        <v>30</v>
      </c>
      <c r="O63" s="764" t="s">
        <v>140</v>
      </c>
      <c r="P63" s="677">
        <v>5000</v>
      </c>
      <c r="Q63" s="768">
        <v>5000</v>
      </c>
      <c r="R63" s="804">
        <v>5000</v>
      </c>
    </row>
    <row r="64" spans="1:18" ht="13.5" thickBot="1" x14ac:dyDescent="0.25">
      <c r="A64" s="3156"/>
      <c r="B64" s="1009"/>
      <c r="C64" s="3231"/>
      <c r="D64" s="3209"/>
      <c r="E64" s="3367"/>
      <c r="F64" s="3093"/>
      <c r="G64" s="999" t="s">
        <v>23</v>
      </c>
      <c r="H64" s="944">
        <f>H63</f>
        <v>8688.6005560704343</v>
      </c>
      <c r="I64" s="321">
        <f>SUM(I63)</f>
        <v>30</v>
      </c>
      <c r="J64" s="320">
        <f>SUM(J63)</f>
        <v>30</v>
      </c>
      <c r="K64" s="317"/>
      <c r="L64" s="318"/>
      <c r="M64" s="300">
        <f>SUM(M63)</f>
        <v>30</v>
      </c>
      <c r="N64" s="301">
        <f>SUM(N63)</f>
        <v>30</v>
      </c>
      <c r="O64" s="765"/>
      <c r="P64" s="766"/>
      <c r="Q64" s="746"/>
      <c r="R64" s="1042"/>
    </row>
    <row r="65" spans="1:18" x14ac:dyDescent="0.2">
      <c r="A65" s="3154" t="s">
        <v>20</v>
      </c>
      <c r="B65" s="1008" t="s">
        <v>24</v>
      </c>
      <c r="C65" s="3230" t="s">
        <v>55</v>
      </c>
      <c r="D65" s="3208" t="s">
        <v>272</v>
      </c>
      <c r="E65" s="3366" t="s">
        <v>133</v>
      </c>
      <c r="F65" s="3092">
        <v>2</v>
      </c>
      <c r="G65" s="748" t="s">
        <v>22</v>
      </c>
      <c r="H65" s="993">
        <f>439/3.4528*1000</f>
        <v>127143.18813716405</v>
      </c>
      <c r="I65" s="369">
        <f>J65+L65</f>
        <v>438.6</v>
      </c>
      <c r="J65" s="42">
        <v>438.6</v>
      </c>
      <c r="K65" s="42"/>
      <c r="L65" s="43"/>
      <c r="M65" s="22">
        <f>295.5</f>
        <v>295.5</v>
      </c>
      <c r="N65" s="19"/>
      <c r="O65" s="2984" t="s">
        <v>214</v>
      </c>
      <c r="P65" s="759">
        <f>24+29</f>
        <v>53</v>
      </c>
      <c r="Q65" s="1019">
        <v>25</v>
      </c>
      <c r="R65" s="671"/>
    </row>
    <row r="66" spans="1:18" ht="38.25" customHeight="1" thickBot="1" x14ac:dyDescent="0.25">
      <c r="A66" s="3156"/>
      <c r="B66" s="1009"/>
      <c r="C66" s="3231"/>
      <c r="D66" s="3209"/>
      <c r="E66" s="3367"/>
      <c r="F66" s="3093"/>
      <c r="G66" s="999" t="s">
        <v>23</v>
      </c>
      <c r="H66" s="944">
        <f>H65</f>
        <v>127143.18813716405</v>
      </c>
      <c r="I66" s="321">
        <f>SUM(I65)</f>
        <v>438.6</v>
      </c>
      <c r="J66" s="320">
        <f>SUM(J65)</f>
        <v>438.6</v>
      </c>
      <c r="K66" s="317"/>
      <c r="L66" s="318"/>
      <c r="M66" s="300">
        <f>SUM(M65)</f>
        <v>295.5</v>
      </c>
      <c r="N66" s="301"/>
      <c r="O66" s="2985"/>
      <c r="P66" s="766"/>
      <c r="Q66" s="746"/>
      <c r="R66" s="1042"/>
    </row>
    <row r="67" spans="1:18" ht="13.5" thickBot="1" x14ac:dyDescent="0.25">
      <c r="A67" s="15" t="s">
        <v>20</v>
      </c>
      <c r="B67" s="14" t="s">
        <v>24</v>
      </c>
      <c r="C67" s="3104" t="s">
        <v>27</v>
      </c>
      <c r="D67" s="3104"/>
      <c r="E67" s="3104"/>
      <c r="F67" s="3104"/>
      <c r="G67" s="3104"/>
      <c r="H67" s="990">
        <f>H66+H64+H62+H60+H57+H55+H53</f>
        <v>634267.84059314185</v>
      </c>
      <c r="I67" s="1">
        <f>J67+L67</f>
        <v>2188.8000000000002</v>
      </c>
      <c r="J67" s="1">
        <f t="shared" ref="J67:N67" si="7">J57+J62+J60+J55+J53+J64+J66</f>
        <v>2157.8000000000002</v>
      </c>
      <c r="K67" s="1">
        <f t="shared" si="7"/>
        <v>1135.4000000000001</v>
      </c>
      <c r="L67" s="1">
        <f t="shared" si="7"/>
        <v>31</v>
      </c>
      <c r="M67" s="1210">
        <f>M57+M62+M60+M55+M53+M64+M66</f>
        <v>2051.6999999999998</v>
      </c>
      <c r="N67" s="29">
        <f t="shared" si="7"/>
        <v>1653.7</v>
      </c>
      <c r="O67" s="1004"/>
      <c r="P67" s="3360"/>
      <c r="Q67" s="3360"/>
      <c r="R67" s="3361"/>
    </row>
    <row r="68" spans="1:18" ht="13.5" thickBot="1" x14ac:dyDescent="0.25">
      <c r="A68" s="15" t="s">
        <v>20</v>
      </c>
      <c r="B68" s="3362" t="s">
        <v>10</v>
      </c>
      <c r="C68" s="3149"/>
      <c r="D68" s="3149"/>
      <c r="E68" s="3149"/>
      <c r="F68" s="3149"/>
      <c r="G68" s="3149"/>
      <c r="H68" s="984">
        <f>H67+H50</f>
        <v>55626042.632066734</v>
      </c>
      <c r="I68" s="20">
        <f>J68+L68</f>
        <v>192092.79999999999</v>
      </c>
      <c r="J68" s="20">
        <f t="shared" ref="J68:N68" si="8">J67+J50</f>
        <v>191792.59999999998</v>
      </c>
      <c r="K68" s="20">
        <f t="shared" si="8"/>
        <v>128493.80000000002</v>
      </c>
      <c r="L68" s="20">
        <f t="shared" si="8"/>
        <v>300.2</v>
      </c>
      <c r="M68" s="1211">
        <f t="shared" si="8"/>
        <v>191973.7</v>
      </c>
      <c r="N68" s="769">
        <f t="shared" si="8"/>
        <v>191575.7</v>
      </c>
      <c r="O68" s="3363"/>
      <c r="P68" s="3364"/>
      <c r="Q68" s="3364"/>
      <c r="R68" s="3365"/>
    </row>
    <row r="69" spans="1:18" ht="13.5" thickBot="1" x14ac:dyDescent="0.25">
      <c r="A69" s="1000" t="s">
        <v>24</v>
      </c>
      <c r="B69" s="3258" t="s">
        <v>56</v>
      </c>
      <c r="C69" s="3259"/>
      <c r="D69" s="3259"/>
      <c r="E69" s="3259"/>
      <c r="F69" s="3259"/>
      <c r="G69" s="3259"/>
      <c r="H69" s="3259"/>
      <c r="I69" s="3259"/>
      <c r="J69" s="3259"/>
      <c r="K69" s="3259"/>
      <c r="L69" s="3259"/>
      <c r="M69" s="3259"/>
      <c r="N69" s="3259"/>
      <c r="O69" s="3259"/>
      <c r="P69" s="3259"/>
      <c r="Q69" s="3259"/>
      <c r="R69" s="3260"/>
    </row>
    <row r="70" spans="1:18" ht="13.5" thickBot="1" x14ac:dyDescent="0.25">
      <c r="A70" s="23" t="s">
        <v>24</v>
      </c>
      <c r="B70" s="17" t="s">
        <v>20</v>
      </c>
      <c r="C70" s="3359" t="s">
        <v>47</v>
      </c>
      <c r="D70" s="3012"/>
      <c r="E70" s="3012"/>
      <c r="F70" s="3012"/>
      <c r="G70" s="3012"/>
      <c r="H70" s="3012"/>
      <c r="I70" s="3012"/>
      <c r="J70" s="3012"/>
      <c r="K70" s="3012"/>
      <c r="L70" s="3012"/>
      <c r="M70" s="3012"/>
      <c r="N70" s="3012"/>
      <c r="O70" s="3012"/>
      <c r="P70" s="3012"/>
      <c r="Q70" s="3012"/>
      <c r="R70" s="3013"/>
    </row>
    <row r="71" spans="1:18" ht="25.5" x14ac:dyDescent="0.2">
      <c r="A71" s="1006" t="s">
        <v>24</v>
      </c>
      <c r="B71" s="1008" t="s">
        <v>20</v>
      </c>
      <c r="C71" s="1036" t="s">
        <v>20</v>
      </c>
      <c r="D71" s="126" t="s">
        <v>57</v>
      </c>
      <c r="E71" s="248"/>
      <c r="F71" s="124"/>
      <c r="G71" s="1051"/>
      <c r="H71" s="942"/>
      <c r="I71" s="308"/>
      <c r="J71" s="48"/>
      <c r="K71" s="48"/>
      <c r="L71" s="49"/>
      <c r="M71" s="22"/>
      <c r="N71" s="41"/>
      <c r="O71" s="66"/>
      <c r="P71" s="673"/>
      <c r="Q71" s="86"/>
      <c r="R71" s="674"/>
    </row>
    <row r="72" spans="1:18" s="4" customFormat="1" x14ac:dyDescent="0.2">
      <c r="A72" s="1021"/>
      <c r="B72" s="995"/>
      <c r="C72" s="1003"/>
      <c r="D72" s="3195" t="s">
        <v>233</v>
      </c>
      <c r="E72" s="1035" t="s">
        <v>4</v>
      </c>
      <c r="F72" s="221">
        <v>5</v>
      </c>
      <c r="G72" s="24" t="s">
        <v>22</v>
      </c>
      <c r="H72" s="946">
        <f>921/3.4528*1000</f>
        <v>266740.03707136237</v>
      </c>
      <c r="I72" s="355">
        <f>J72+L72</f>
        <v>921.4</v>
      </c>
      <c r="J72" s="145"/>
      <c r="K72" s="145"/>
      <c r="L72" s="159">
        <f>108.4+813</f>
        <v>921.4</v>
      </c>
      <c r="M72" s="121"/>
      <c r="N72" s="37"/>
      <c r="O72" s="3217" t="s">
        <v>103</v>
      </c>
      <c r="P72" s="148"/>
      <c r="Q72" s="87"/>
      <c r="R72" s="100"/>
    </row>
    <row r="73" spans="1:18" s="4" customFormat="1" x14ac:dyDescent="0.2">
      <c r="A73" s="1021"/>
      <c r="B73" s="995"/>
      <c r="C73" s="1003"/>
      <c r="D73" s="3196"/>
      <c r="E73" s="1053"/>
      <c r="F73" s="222"/>
      <c r="G73" s="378" t="s">
        <v>6</v>
      </c>
      <c r="H73" s="947">
        <f>1103/3.4528*1000</f>
        <v>319450.88044485636</v>
      </c>
      <c r="I73" s="287">
        <f>J73+L73</f>
        <v>1102.9000000000001</v>
      </c>
      <c r="J73" s="46">
        <v>17.399999999999999</v>
      </c>
      <c r="K73" s="46">
        <v>13.3</v>
      </c>
      <c r="L73" s="50">
        <v>1085.5</v>
      </c>
      <c r="M73" s="121"/>
      <c r="N73" s="37"/>
      <c r="O73" s="3218"/>
      <c r="P73" s="675"/>
      <c r="Q73" s="88"/>
      <c r="R73" s="101"/>
    </row>
    <row r="74" spans="1:18" s="4" customFormat="1" x14ac:dyDescent="0.2">
      <c r="A74" s="1021"/>
      <c r="B74" s="995"/>
      <c r="C74" s="1003"/>
      <c r="D74" s="3196"/>
      <c r="E74" s="1053"/>
      <c r="F74" s="222"/>
      <c r="G74" s="379"/>
      <c r="H74" s="937"/>
      <c r="I74" s="263"/>
      <c r="J74" s="424"/>
      <c r="K74" s="424"/>
      <c r="L74" s="140"/>
      <c r="M74" s="524"/>
      <c r="N74" s="10"/>
      <c r="O74" s="3218"/>
      <c r="P74" s="770">
        <v>100</v>
      </c>
      <c r="Q74" s="771"/>
      <c r="R74" s="101"/>
    </row>
    <row r="75" spans="1:18" s="4" customFormat="1" ht="13.5" thickBot="1" x14ac:dyDescent="0.25">
      <c r="A75" s="1021"/>
      <c r="B75" s="995"/>
      <c r="C75" s="1003"/>
      <c r="D75" s="3197"/>
      <c r="E75" s="1043"/>
      <c r="F75" s="155"/>
      <c r="G75" s="362" t="s">
        <v>23</v>
      </c>
      <c r="H75" s="948">
        <f>SUM(H72:H74)</f>
        <v>586190.91751621873</v>
      </c>
      <c r="I75" s="334">
        <f>J75+L75</f>
        <v>2024.3000000000002</v>
      </c>
      <c r="J75" s="333">
        <f t="shared" ref="J75:L75" si="9">SUM(J72:J74)</f>
        <v>17.399999999999999</v>
      </c>
      <c r="K75" s="333">
        <f t="shared" si="9"/>
        <v>13.3</v>
      </c>
      <c r="L75" s="357">
        <f t="shared" si="9"/>
        <v>2006.9</v>
      </c>
      <c r="M75" s="747"/>
      <c r="N75" s="357"/>
      <c r="O75" s="67"/>
      <c r="P75" s="89"/>
      <c r="Q75" s="90"/>
      <c r="R75" s="102"/>
    </row>
    <row r="76" spans="1:18" ht="25.5" x14ac:dyDescent="0.2">
      <c r="A76" s="1006" t="s">
        <v>24</v>
      </c>
      <c r="B76" s="1008" t="s">
        <v>20</v>
      </c>
      <c r="C76" s="1036" t="s">
        <v>24</v>
      </c>
      <c r="D76" s="868" t="s">
        <v>235</v>
      </c>
      <c r="E76" s="861" t="s">
        <v>58</v>
      </c>
      <c r="F76" s="124">
        <v>5</v>
      </c>
      <c r="G76" s="1051"/>
      <c r="H76" s="942"/>
      <c r="I76" s="308"/>
      <c r="J76" s="48"/>
      <c r="K76" s="48"/>
      <c r="L76" s="49"/>
      <c r="M76" s="22"/>
      <c r="N76" s="41"/>
      <c r="O76" s="66"/>
      <c r="P76" s="673"/>
      <c r="Q76" s="86"/>
      <c r="R76" s="674"/>
    </row>
    <row r="77" spans="1:18" ht="38.25" x14ac:dyDescent="0.2">
      <c r="A77" s="1021"/>
      <c r="B77" s="995"/>
      <c r="C77" s="1027"/>
      <c r="D77" s="3350" t="s">
        <v>315</v>
      </c>
      <c r="E77" s="467"/>
      <c r="F77" s="621"/>
      <c r="G77" s="169" t="s">
        <v>22</v>
      </c>
      <c r="H77" s="949">
        <f>6/3.4528*1000</f>
        <v>1737.7201112140872</v>
      </c>
      <c r="I77" s="287">
        <f>J77+L77</f>
        <v>6</v>
      </c>
      <c r="J77" s="157"/>
      <c r="K77" s="157"/>
      <c r="L77" s="159">
        <v>6</v>
      </c>
      <c r="M77" s="55">
        <f>145.9</f>
        <v>145.9</v>
      </c>
      <c r="N77" s="35"/>
      <c r="O77" s="704" t="s">
        <v>281</v>
      </c>
      <c r="P77" s="1013">
        <v>1</v>
      </c>
      <c r="Q77" s="1013"/>
      <c r="R77" s="705"/>
    </row>
    <row r="78" spans="1:18" ht="25.5" x14ac:dyDescent="0.2">
      <c r="A78" s="1021"/>
      <c r="B78" s="995"/>
      <c r="C78" s="1027"/>
      <c r="D78" s="3232"/>
      <c r="E78" s="1045"/>
      <c r="F78" s="222"/>
      <c r="G78" s="901" t="s">
        <v>6</v>
      </c>
      <c r="H78" s="949"/>
      <c r="I78" s="287"/>
      <c r="J78" s="157"/>
      <c r="K78" s="157"/>
      <c r="L78" s="50"/>
      <c r="M78" s="31"/>
      <c r="N78" s="37">
        <f>2061.1</f>
        <v>2061.1</v>
      </c>
      <c r="O78" s="860" t="s">
        <v>237</v>
      </c>
      <c r="P78" s="1014"/>
      <c r="Q78" s="1014">
        <v>1</v>
      </c>
      <c r="R78" s="706"/>
    </row>
    <row r="79" spans="1:18" x14ac:dyDescent="0.2">
      <c r="A79" s="1021"/>
      <c r="B79" s="995"/>
      <c r="C79" s="1027"/>
      <c r="D79" s="3232"/>
      <c r="E79" s="1045"/>
      <c r="F79" s="222"/>
      <c r="G79" s="903"/>
      <c r="H79" s="950"/>
      <c r="I79" s="310"/>
      <c r="J79" s="174"/>
      <c r="K79" s="174"/>
      <c r="L79" s="53"/>
      <c r="M79" s="507"/>
      <c r="N79" s="10"/>
      <c r="O79" s="860" t="s">
        <v>285</v>
      </c>
      <c r="P79" s="1014"/>
      <c r="Q79" s="1014"/>
      <c r="R79" s="706">
        <v>75</v>
      </c>
    </row>
    <row r="80" spans="1:18" ht="38.25" x14ac:dyDescent="0.2">
      <c r="A80" s="1021"/>
      <c r="B80" s="995"/>
      <c r="C80" s="1027"/>
      <c r="D80" s="3350" t="s">
        <v>314</v>
      </c>
      <c r="E80" s="466"/>
      <c r="F80" s="221"/>
      <c r="G80" s="169" t="s">
        <v>22</v>
      </c>
      <c r="H80" s="949">
        <f>6/3.4528*1000</f>
        <v>1737.7201112140872</v>
      </c>
      <c r="I80" s="287">
        <f>J80+L80</f>
        <v>6</v>
      </c>
      <c r="J80" s="157"/>
      <c r="K80" s="157"/>
      <c r="L80" s="159">
        <v>6</v>
      </c>
      <c r="M80" s="55">
        <f>145.9</f>
        <v>145.9</v>
      </c>
      <c r="N80" s="35"/>
      <c r="O80" s="704" t="s">
        <v>281</v>
      </c>
      <c r="P80" s="1013">
        <v>1</v>
      </c>
      <c r="Q80" s="1013"/>
      <c r="R80" s="705"/>
    </row>
    <row r="81" spans="1:18" ht="25.5" x14ac:dyDescent="0.2">
      <c r="A81" s="1021"/>
      <c r="B81" s="995"/>
      <c r="C81" s="1027"/>
      <c r="D81" s="3232"/>
      <c r="E81" s="1053"/>
      <c r="F81" s="222"/>
      <c r="G81" s="901" t="s">
        <v>6</v>
      </c>
      <c r="H81" s="949"/>
      <c r="I81" s="287"/>
      <c r="J81" s="157"/>
      <c r="K81" s="157"/>
      <c r="L81" s="50"/>
      <c r="M81" s="31"/>
      <c r="N81" s="37">
        <f>2061.1</f>
        <v>2061.1</v>
      </c>
      <c r="O81" s="860" t="s">
        <v>237</v>
      </c>
      <c r="P81" s="1014"/>
      <c r="Q81" s="1014">
        <v>1</v>
      </c>
      <c r="R81" s="706"/>
    </row>
    <row r="82" spans="1:18" x14ac:dyDescent="0.2">
      <c r="A82" s="1021"/>
      <c r="B82" s="995"/>
      <c r="C82" s="1027"/>
      <c r="D82" s="3232"/>
      <c r="E82" s="1053"/>
      <c r="F82" s="222"/>
      <c r="G82" s="703"/>
      <c r="H82" s="951"/>
      <c r="I82" s="517"/>
      <c r="J82" s="52"/>
      <c r="K82" s="52"/>
      <c r="L82" s="1212"/>
      <c r="M82" s="508"/>
      <c r="N82" s="21"/>
      <c r="O82" s="905" t="s">
        <v>285</v>
      </c>
      <c r="P82" s="785"/>
      <c r="Q82" s="785"/>
      <c r="R82" s="904">
        <v>75</v>
      </c>
    </row>
    <row r="83" spans="1:18" ht="38.25" x14ac:dyDescent="0.2">
      <c r="A83" s="1021"/>
      <c r="B83" s="995"/>
      <c r="C83" s="1027"/>
      <c r="D83" s="3350" t="s">
        <v>313</v>
      </c>
      <c r="E83" s="466"/>
      <c r="F83" s="221"/>
      <c r="G83" s="169" t="s">
        <v>22</v>
      </c>
      <c r="H83" s="949">
        <f>6/3.4528*1000</f>
        <v>1737.7201112140872</v>
      </c>
      <c r="I83" s="287">
        <f>J83+L83</f>
        <v>6</v>
      </c>
      <c r="J83" s="157"/>
      <c r="K83" s="157"/>
      <c r="L83" s="159">
        <v>6</v>
      </c>
      <c r="M83" s="55">
        <f>145.9</f>
        <v>145.9</v>
      </c>
      <c r="N83" s="35"/>
      <c r="O83" s="704" t="s">
        <v>281</v>
      </c>
      <c r="P83" s="1013">
        <v>1</v>
      </c>
      <c r="Q83" s="1013"/>
      <c r="R83" s="705"/>
    </row>
    <row r="84" spans="1:18" ht="25.5" x14ac:dyDescent="0.2">
      <c r="A84" s="1021"/>
      <c r="B84" s="995"/>
      <c r="C84" s="1027"/>
      <c r="D84" s="3232"/>
      <c r="E84" s="862"/>
      <c r="F84" s="222"/>
      <c r="G84" s="901" t="s">
        <v>6</v>
      </c>
      <c r="H84" s="949"/>
      <c r="I84" s="287"/>
      <c r="J84" s="157"/>
      <c r="K84" s="157"/>
      <c r="L84" s="50"/>
      <c r="M84" s="31"/>
      <c r="N84" s="37">
        <f>2061.1</f>
        <v>2061.1</v>
      </c>
      <c r="O84" s="860" t="s">
        <v>237</v>
      </c>
      <c r="P84" s="1014"/>
      <c r="Q84" s="1014">
        <v>1</v>
      </c>
      <c r="R84" s="706"/>
    </row>
    <row r="85" spans="1:18" x14ac:dyDescent="0.2">
      <c r="A85" s="1021"/>
      <c r="B85" s="995"/>
      <c r="C85" s="1027"/>
      <c r="D85" s="3358"/>
      <c r="E85" s="902"/>
      <c r="F85" s="155"/>
      <c r="G85" s="703"/>
      <c r="H85" s="951"/>
      <c r="I85" s="517"/>
      <c r="J85" s="52"/>
      <c r="K85" s="52"/>
      <c r="L85" s="1212"/>
      <c r="M85" s="508"/>
      <c r="N85" s="21"/>
      <c r="O85" s="905" t="s">
        <v>285</v>
      </c>
      <c r="P85" s="785"/>
      <c r="Q85" s="785"/>
      <c r="R85" s="904">
        <v>75</v>
      </c>
    </row>
    <row r="86" spans="1:18" ht="38.25" x14ac:dyDescent="0.2">
      <c r="A86" s="1021"/>
      <c r="B86" s="995"/>
      <c r="C86" s="1027"/>
      <c r="D86" s="3232" t="s">
        <v>323</v>
      </c>
      <c r="E86" s="467"/>
      <c r="F86" s="222"/>
      <c r="G86" s="703" t="s">
        <v>22</v>
      </c>
      <c r="H86" s="949">
        <f>6/3.4528*1000</f>
        <v>1737.7201112140872</v>
      </c>
      <c r="I86" s="287">
        <f>J86+L86</f>
        <v>6</v>
      </c>
      <c r="J86" s="157"/>
      <c r="K86" s="157"/>
      <c r="L86" s="159">
        <v>6</v>
      </c>
      <c r="M86" s="55">
        <f>145.9</f>
        <v>145.9</v>
      </c>
      <c r="N86" s="21"/>
      <c r="O86" s="704" t="s">
        <v>281</v>
      </c>
      <c r="P86" s="1013">
        <v>1</v>
      </c>
      <c r="Q86" s="1013"/>
      <c r="R86" s="705"/>
    </row>
    <row r="87" spans="1:18" ht="25.5" x14ac:dyDescent="0.2">
      <c r="A87" s="1021"/>
      <c r="B87" s="995"/>
      <c r="C87" s="1027"/>
      <c r="D87" s="3232"/>
      <c r="E87" s="3354"/>
      <c r="F87" s="222"/>
      <c r="G87" s="901" t="s">
        <v>6</v>
      </c>
      <c r="H87" s="949"/>
      <c r="I87" s="287"/>
      <c r="J87" s="157"/>
      <c r="K87" s="157"/>
      <c r="L87" s="50"/>
      <c r="M87" s="31"/>
      <c r="N87" s="37">
        <f>2061.1</f>
        <v>2061.1</v>
      </c>
      <c r="O87" s="860" t="s">
        <v>237</v>
      </c>
      <c r="P87" s="1014"/>
      <c r="Q87" s="1014">
        <v>1</v>
      </c>
      <c r="R87" s="706"/>
    </row>
    <row r="88" spans="1:18" x14ac:dyDescent="0.2">
      <c r="A88" s="1021"/>
      <c r="B88" s="995"/>
      <c r="C88" s="1027"/>
      <c r="D88" s="3232"/>
      <c r="E88" s="3354"/>
      <c r="F88" s="222"/>
      <c r="G88" s="903"/>
      <c r="H88" s="950"/>
      <c r="I88" s="502"/>
      <c r="J88" s="174"/>
      <c r="K88" s="174"/>
      <c r="L88" s="51"/>
      <c r="M88" s="507"/>
      <c r="N88" s="10"/>
      <c r="O88" s="860" t="s">
        <v>285</v>
      </c>
      <c r="P88" s="1014"/>
      <c r="Q88" s="1014"/>
      <c r="R88" s="706">
        <v>75</v>
      </c>
    </row>
    <row r="89" spans="1:18" ht="38.25" x14ac:dyDescent="0.2">
      <c r="A89" s="1021"/>
      <c r="B89" s="995"/>
      <c r="C89" s="1027"/>
      <c r="D89" s="3350" t="s">
        <v>322</v>
      </c>
      <c r="E89" s="466"/>
      <c r="F89" s="221"/>
      <c r="G89" s="169" t="s">
        <v>22</v>
      </c>
      <c r="H89" s="949">
        <f>6/3.4528*1000</f>
        <v>1737.7201112140872</v>
      </c>
      <c r="I89" s="287">
        <f>J89+L89</f>
        <v>6</v>
      </c>
      <c r="J89" s="157"/>
      <c r="K89" s="157"/>
      <c r="L89" s="159">
        <v>6</v>
      </c>
      <c r="M89" s="55"/>
      <c r="N89" s="35"/>
      <c r="O89" s="704" t="s">
        <v>281</v>
      </c>
      <c r="P89" s="1013">
        <v>1</v>
      </c>
      <c r="Q89" s="1013"/>
      <c r="R89" s="705"/>
    </row>
    <row r="90" spans="1:18" ht="25.5" x14ac:dyDescent="0.2">
      <c r="A90" s="1021"/>
      <c r="B90" s="995"/>
      <c r="C90" s="1027"/>
      <c r="D90" s="3232"/>
      <c r="E90" s="3354"/>
      <c r="F90" s="222"/>
      <c r="G90" s="169" t="s">
        <v>53</v>
      </c>
      <c r="H90" s="949"/>
      <c r="I90" s="287"/>
      <c r="J90" s="157"/>
      <c r="K90" s="157"/>
      <c r="L90" s="159"/>
      <c r="M90" s="507">
        <f>150</f>
        <v>150</v>
      </c>
      <c r="N90" s="10"/>
      <c r="O90" s="860" t="s">
        <v>237</v>
      </c>
      <c r="P90" s="1014"/>
      <c r="Q90" s="1014">
        <v>1</v>
      </c>
      <c r="R90" s="706"/>
    </row>
    <row r="91" spans="1:18" x14ac:dyDescent="0.2">
      <c r="A91" s="1021"/>
      <c r="B91" s="995"/>
      <c r="C91" s="1027"/>
      <c r="D91" s="3232"/>
      <c r="E91" s="3354"/>
      <c r="F91" s="222"/>
      <c r="G91" s="901" t="s">
        <v>6</v>
      </c>
      <c r="H91" s="949"/>
      <c r="I91" s="287"/>
      <c r="J91" s="157"/>
      <c r="K91" s="157"/>
      <c r="L91" s="50"/>
      <c r="M91" s="31"/>
      <c r="N91" s="37">
        <f>2133</f>
        <v>2133</v>
      </c>
      <c r="O91" s="860" t="s">
        <v>285</v>
      </c>
      <c r="P91" s="1014"/>
      <c r="Q91" s="1014"/>
      <c r="R91" s="706">
        <v>75</v>
      </c>
    </row>
    <row r="92" spans="1:18" ht="38.25" x14ac:dyDescent="0.2">
      <c r="A92" s="1002"/>
      <c r="B92" s="995"/>
      <c r="C92" s="3018"/>
      <c r="D92" s="3355" t="s">
        <v>162</v>
      </c>
      <c r="E92" s="702"/>
      <c r="F92" s="3357"/>
      <c r="G92" s="906" t="s">
        <v>22</v>
      </c>
      <c r="H92" s="952"/>
      <c r="I92" s="287"/>
      <c r="J92" s="1213"/>
      <c r="K92" s="157"/>
      <c r="L92" s="1214"/>
      <c r="M92" s="31">
        <f>62.3</f>
        <v>62.3</v>
      </c>
      <c r="N92" s="37"/>
      <c r="O92" s="908" t="s">
        <v>165</v>
      </c>
      <c r="P92" s="1060"/>
      <c r="Q92" s="907">
        <v>1</v>
      </c>
      <c r="R92" s="98"/>
    </row>
    <row r="93" spans="1:18" x14ac:dyDescent="0.2">
      <c r="A93" s="1002"/>
      <c r="B93" s="995"/>
      <c r="C93" s="3018"/>
      <c r="D93" s="3356"/>
      <c r="E93" s="863"/>
      <c r="F93" s="3098"/>
      <c r="G93" s="172" t="s">
        <v>6</v>
      </c>
      <c r="H93" s="1083"/>
      <c r="I93" s="355"/>
      <c r="J93" s="47"/>
      <c r="K93" s="158"/>
      <c r="L93" s="173"/>
      <c r="M93" s="55">
        <f>388.9</f>
        <v>388.9</v>
      </c>
      <c r="N93" s="35">
        <f>388.9</f>
        <v>388.9</v>
      </c>
      <c r="O93" s="910" t="s">
        <v>285</v>
      </c>
      <c r="P93" s="675"/>
      <c r="Q93" s="88">
        <v>50</v>
      </c>
      <c r="R93" s="621">
        <v>50</v>
      </c>
    </row>
    <row r="94" spans="1:18" ht="13.5" thickBot="1" x14ac:dyDescent="0.25">
      <c r="A94" s="1002"/>
      <c r="B94" s="995"/>
      <c r="C94" s="3018"/>
      <c r="D94" s="3356"/>
      <c r="E94" s="911"/>
      <c r="F94" s="3098"/>
      <c r="G94" s="685" t="s">
        <v>23</v>
      </c>
      <c r="H94" s="953">
        <f>SUM(H77:H93)</f>
        <v>8688.6005560704361</v>
      </c>
      <c r="I94" s="347">
        <f>SUM(I77:I93)</f>
        <v>30</v>
      </c>
      <c r="J94" s="345"/>
      <c r="K94" s="344"/>
      <c r="L94" s="349">
        <f>SUM(L77:L93)</f>
        <v>30</v>
      </c>
      <c r="M94" s="315">
        <f>SUM(M77:M93)</f>
        <v>1184.8</v>
      </c>
      <c r="N94" s="349">
        <f>SUM(N77:N93)</f>
        <v>10766.3</v>
      </c>
      <c r="O94" s="909"/>
      <c r="P94" s="675"/>
      <c r="Q94" s="88"/>
      <c r="R94" s="621"/>
    </row>
    <row r="95" spans="1:18" ht="25.5" x14ac:dyDescent="0.2">
      <c r="A95" s="1006" t="s">
        <v>24</v>
      </c>
      <c r="B95" s="1008" t="s">
        <v>20</v>
      </c>
      <c r="C95" s="1026" t="s">
        <v>26</v>
      </c>
      <c r="D95" s="126" t="s">
        <v>46</v>
      </c>
      <c r="E95" s="525"/>
      <c r="F95" s="1016"/>
      <c r="G95" s="1051"/>
      <c r="H95" s="942"/>
      <c r="I95" s="308"/>
      <c r="J95" s="991"/>
      <c r="K95" s="48"/>
      <c r="L95" s="49"/>
      <c r="M95" s="22"/>
      <c r="N95" s="41"/>
      <c r="O95" s="772"/>
      <c r="P95" s="673"/>
      <c r="Q95" s="773"/>
      <c r="R95" s="674"/>
    </row>
    <row r="96" spans="1:18" x14ac:dyDescent="0.2">
      <c r="A96" s="1021"/>
      <c r="B96" s="995"/>
      <c r="C96" s="1027"/>
      <c r="D96" s="3196" t="s">
        <v>70</v>
      </c>
      <c r="E96" s="250" t="s">
        <v>4</v>
      </c>
      <c r="F96" s="151">
        <v>5</v>
      </c>
      <c r="G96" s="12" t="s">
        <v>22</v>
      </c>
      <c r="H96" s="1083">
        <f>568/3.4528*1000</f>
        <v>164504.1705282669</v>
      </c>
      <c r="I96" s="355">
        <f>J96+L96</f>
        <v>567.9</v>
      </c>
      <c r="J96" s="234"/>
      <c r="K96" s="235"/>
      <c r="L96" s="233">
        <v>567.9</v>
      </c>
      <c r="M96" s="55"/>
      <c r="N96" s="35"/>
      <c r="O96" s="3343" t="s">
        <v>155</v>
      </c>
      <c r="P96" s="1047"/>
      <c r="Q96" s="114"/>
      <c r="R96" s="98"/>
    </row>
    <row r="97" spans="1:18" s="4" customFormat="1" x14ac:dyDescent="0.2">
      <c r="A97" s="1021"/>
      <c r="B97" s="995"/>
      <c r="C97" s="1003"/>
      <c r="D97" s="3196"/>
      <c r="E97" s="1053"/>
      <c r="F97" s="222"/>
      <c r="G97" s="170" t="s">
        <v>53</v>
      </c>
      <c r="H97" s="954"/>
      <c r="I97" s="355"/>
      <c r="J97" s="45"/>
      <c r="K97" s="158"/>
      <c r="L97" s="159"/>
      <c r="M97" s="121"/>
      <c r="N97" s="37"/>
      <c r="O97" s="3344"/>
      <c r="P97" s="1048"/>
      <c r="Q97" s="81"/>
      <c r="R97" s="621"/>
    </row>
    <row r="98" spans="1:18" s="4" customFormat="1" x14ac:dyDescent="0.2">
      <c r="A98" s="1021"/>
      <c r="B98" s="995"/>
      <c r="C98" s="1003"/>
      <c r="D98" s="3196"/>
      <c r="E98" s="1053"/>
      <c r="F98" s="222"/>
      <c r="G98" s="1057" t="s">
        <v>5</v>
      </c>
      <c r="H98" s="955"/>
      <c r="I98" s="287"/>
      <c r="J98" s="168"/>
      <c r="K98" s="157"/>
      <c r="L98" s="50"/>
      <c r="M98" s="31"/>
      <c r="N98" s="37"/>
      <c r="O98" s="3344"/>
      <c r="P98" s="1048"/>
      <c r="Q98" s="81"/>
      <c r="R98" s="621"/>
    </row>
    <row r="99" spans="1:18" s="4" customFormat="1" x14ac:dyDescent="0.2">
      <c r="A99" s="1021"/>
      <c r="B99" s="995"/>
      <c r="C99" s="1003"/>
      <c r="D99" s="3196"/>
      <c r="E99" s="1053"/>
      <c r="F99" s="222"/>
      <c r="G99" s="1057" t="s">
        <v>6</v>
      </c>
      <c r="H99" s="955"/>
      <c r="I99" s="287"/>
      <c r="J99" s="168"/>
      <c r="K99" s="157"/>
      <c r="L99" s="50"/>
      <c r="M99" s="55"/>
      <c r="N99" s="35"/>
      <c r="O99" s="3344"/>
      <c r="P99" s="1048"/>
      <c r="Q99" s="81"/>
      <c r="R99" s="621"/>
    </row>
    <row r="100" spans="1:18" s="4" customFormat="1" x14ac:dyDescent="0.2">
      <c r="A100" s="1021"/>
      <c r="B100" s="995"/>
      <c r="C100" s="1003"/>
      <c r="D100" s="129"/>
      <c r="E100" s="1043"/>
      <c r="F100" s="155"/>
      <c r="G100" s="342" t="s">
        <v>23</v>
      </c>
      <c r="H100" s="953">
        <f>SUM(H96:H99)</f>
        <v>164504.1705282669</v>
      </c>
      <c r="I100" s="347">
        <f>SUM(I96:I99)</f>
        <v>567.9</v>
      </c>
      <c r="J100" s="348"/>
      <c r="K100" s="344"/>
      <c r="L100" s="346">
        <f>SUM(L95:L99)</f>
        <v>567.9</v>
      </c>
      <c r="M100" s="350"/>
      <c r="N100" s="349"/>
      <c r="O100" s="3344"/>
      <c r="P100" s="1048">
        <v>100</v>
      </c>
      <c r="Q100" s="81"/>
      <c r="R100" s="621"/>
    </row>
    <row r="101" spans="1:18" ht="38.25" x14ac:dyDescent="0.2">
      <c r="A101" s="1021"/>
      <c r="B101" s="995"/>
      <c r="C101" s="1027"/>
      <c r="D101" s="3195" t="s">
        <v>316</v>
      </c>
      <c r="E101" s="466" t="s">
        <v>4</v>
      </c>
      <c r="F101" s="222">
        <v>5</v>
      </c>
      <c r="G101" s="1059" t="s">
        <v>22</v>
      </c>
      <c r="H101" s="952">
        <f>862/3.4528*1000</f>
        <v>249652.4559777572</v>
      </c>
      <c r="I101" s="287">
        <f>J101+L101</f>
        <v>861.9</v>
      </c>
      <c r="J101" s="168"/>
      <c r="K101" s="157"/>
      <c r="L101" s="50">
        <v>861.9</v>
      </c>
      <c r="M101" s="121"/>
      <c r="N101" s="36"/>
      <c r="O101" s="912" t="s">
        <v>165</v>
      </c>
      <c r="P101" s="1060" t="s">
        <v>287</v>
      </c>
      <c r="Q101" s="913"/>
      <c r="R101" s="914"/>
    </row>
    <row r="102" spans="1:18" ht="25.5" x14ac:dyDescent="0.2">
      <c r="A102" s="1021"/>
      <c r="B102" s="995"/>
      <c r="C102" s="1027"/>
      <c r="D102" s="3196"/>
      <c r="E102" s="467"/>
      <c r="F102" s="222"/>
      <c r="G102" s="381" t="s">
        <v>23</v>
      </c>
      <c r="H102" s="956">
        <f>H101</f>
        <v>249652.4559777572</v>
      </c>
      <c r="I102" s="334">
        <f>SUM(I101:I101)</f>
        <v>861.9</v>
      </c>
      <c r="J102" s="333"/>
      <c r="K102" s="306"/>
      <c r="L102" s="333">
        <f>SUM(L101:L101)</f>
        <v>861.9</v>
      </c>
      <c r="M102" s="747"/>
      <c r="N102" s="358"/>
      <c r="O102" s="915" t="s">
        <v>236</v>
      </c>
      <c r="P102" s="916">
        <v>100</v>
      </c>
      <c r="Q102" s="917"/>
      <c r="R102" s="918"/>
    </row>
    <row r="103" spans="1:18" x14ac:dyDescent="0.2">
      <c r="A103" s="1021"/>
      <c r="B103" s="995"/>
      <c r="C103" s="1027"/>
      <c r="D103" s="3270" t="s">
        <v>317</v>
      </c>
      <c r="E103" s="466" t="s">
        <v>4</v>
      </c>
      <c r="F103" s="221">
        <v>5</v>
      </c>
      <c r="G103" s="1059" t="s">
        <v>22</v>
      </c>
      <c r="H103" s="952"/>
      <c r="I103" s="287"/>
      <c r="J103" s="168"/>
      <c r="K103" s="157"/>
      <c r="L103" s="50"/>
      <c r="M103" s="121">
        <f>60</f>
        <v>60</v>
      </c>
      <c r="N103" s="36">
        <f>150</f>
        <v>150</v>
      </c>
      <c r="O103" s="3272" t="s">
        <v>165</v>
      </c>
      <c r="P103" s="3275"/>
      <c r="Q103" s="3275"/>
      <c r="R103" s="3340">
        <v>1</v>
      </c>
    </row>
    <row r="104" spans="1:18" x14ac:dyDescent="0.2">
      <c r="A104" s="1002"/>
      <c r="B104" s="995"/>
      <c r="C104" s="462"/>
      <c r="D104" s="3243"/>
      <c r="E104" s="467"/>
      <c r="F104" s="222"/>
      <c r="G104" s="342" t="s">
        <v>23</v>
      </c>
      <c r="H104" s="953"/>
      <c r="I104" s="347"/>
      <c r="J104" s="348"/>
      <c r="K104" s="344"/>
      <c r="L104" s="346"/>
      <c r="M104" s="364">
        <f>SUM(M103)</f>
        <v>60</v>
      </c>
      <c r="N104" s="361">
        <f>SUM(N103)</f>
        <v>150</v>
      </c>
      <c r="O104" s="3273"/>
      <c r="P104" s="3276"/>
      <c r="Q104" s="3276"/>
      <c r="R104" s="3341"/>
    </row>
    <row r="105" spans="1:18" ht="13.5" thickBot="1" x14ac:dyDescent="0.25">
      <c r="A105" s="1001"/>
      <c r="B105" s="1009"/>
      <c r="C105" s="1049"/>
      <c r="D105" s="3271"/>
      <c r="E105" s="3277" t="s">
        <v>218</v>
      </c>
      <c r="F105" s="3278"/>
      <c r="G105" s="3279"/>
      <c r="H105" s="944">
        <f>H104+H102+H100</f>
        <v>414156.6265060241</v>
      </c>
      <c r="I105" s="319">
        <f>J105+L105</f>
        <v>1429.8</v>
      </c>
      <c r="J105" s="354"/>
      <c r="K105" s="320"/>
      <c r="L105" s="318">
        <f>L104+L102+L100</f>
        <v>1429.8</v>
      </c>
      <c r="M105" s="315">
        <f>M104+M102+M100</f>
        <v>60</v>
      </c>
      <c r="N105" s="318">
        <f>N104+N102+N100</f>
        <v>150</v>
      </c>
      <c r="O105" s="3274"/>
      <c r="P105" s="2962"/>
      <c r="Q105" s="2962"/>
      <c r="R105" s="3342"/>
    </row>
    <row r="106" spans="1:18" x14ac:dyDescent="0.2">
      <c r="A106" s="1006" t="s">
        <v>24</v>
      </c>
      <c r="B106" s="1008" t="s">
        <v>20</v>
      </c>
      <c r="C106" s="886" t="s">
        <v>28</v>
      </c>
      <c r="D106" s="2914" t="s">
        <v>271</v>
      </c>
      <c r="E106" s="3332" t="s">
        <v>127</v>
      </c>
      <c r="F106" s="3334">
        <v>2</v>
      </c>
      <c r="G106" s="1051" t="s">
        <v>22</v>
      </c>
      <c r="H106" s="942">
        <f>50/3.4528*1000</f>
        <v>14481.00092678406</v>
      </c>
      <c r="I106" s="370">
        <f>J106+L106</f>
        <v>50</v>
      </c>
      <c r="J106" s="781">
        <v>50</v>
      </c>
      <c r="K106" s="801"/>
      <c r="L106" s="802"/>
      <c r="M106" s="63"/>
      <c r="N106" s="63"/>
      <c r="O106" s="3337" t="s">
        <v>66</v>
      </c>
      <c r="P106" s="774">
        <v>3</v>
      </c>
      <c r="Q106" s="775"/>
      <c r="R106" s="674"/>
    </row>
    <row r="107" spans="1:18" ht="21" customHeight="1" x14ac:dyDescent="0.2">
      <c r="A107" s="1021"/>
      <c r="B107" s="995"/>
      <c r="C107" s="185"/>
      <c r="D107" s="3232"/>
      <c r="E107" s="3333"/>
      <c r="F107" s="3335"/>
      <c r="G107" s="1052"/>
      <c r="H107" s="957"/>
      <c r="I107" s="648"/>
      <c r="J107" s="798"/>
      <c r="K107" s="799"/>
      <c r="L107" s="800"/>
      <c r="M107" s="649"/>
      <c r="N107" s="649"/>
      <c r="O107" s="3338"/>
      <c r="P107" s="1048"/>
      <c r="Q107" s="81"/>
      <c r="R107" s="621"/>
    </row>
    <row r="108" spans="1:18" ht="13.5" thickBot="1" x14ac:dyDescent="0.25">
      <c r="A108" s="1021"/>
      <c r="B108" s="995"/>
      <c r="C108" s="185"/>
      <c r="D108" s="2915"/>
      <c r="E108" s="779" t="s">
        <v>327</v>
      </c>
      <c r="F108" s="3336"/>
      <c r="G108" s="298" t="s">
        <v>23</v>
      </c>
      <c r="H108" s="940">
        <f>H106</f>
        <v>14481.00092678406</v>
      </c>
      <c r="I108" s="319">
        <f>I106</f>
        <v>50</v>
      </c>
      <c r="J108" s="354">
        <f>J106</f>
        <v>50</v>
      </c>
      <c r="K108" s="320"/>
      <c r="L108" s="318"/>
      <c r="M108" s="315"/>
      <c r="N108" s="315"/>
      <c r="O108" s="3339"/>
      <c r="P108" s="78"/>
      <c r="Q108" s="1062"/>
      <c r="R108" s="645"/>
    </row>
    <row r="109" spans="1:18" x14ac:dyDescent="0.2">
      <c r="A109" s="1006" t="s">
        <v>24</v>
      </c>
      <c r="B109" s="1008" t="s">
        <v>20</v>
      </c>
      <c r="C109" s="886" t="s">
        <v>29</v>
      </c>
      <c r="D109" s="2914" t="s">
        <v>318</v>
      </c>
      <c r="E109" s="3078"/>
      <c r="F109" s="3334">
        <v>2</v>
      </c>
      <c r="G109" s="1051" t="s">
        <v>22</v>
      </c>
      <c r="H109" s="942">
        <f>100/3.4528*1000</f>
        <v>28962.001853568119</v>
      </c>
      <c r="I109" s="370">
        <f>J109+L109</f>
        <v>100</v>
      </c>
      <c r="J109" s="781"/>
      <c r="K109" s="801"/>
      <c r="L109" s="802">
        <v>100</v>
      </c>
      <c r="M109" s="485">
        <f>100</f>
        <v>100</v>
      </c>
      <c r="N109" s="63"/>
      <c r="O109" s="3337" t="s">
        <v>270</v>
      </c>
      <c r="P109" s="774"/>
      <c r="Q109" s="775">
        <v>152</v>
      </c>
      <c r="R109" s="674"/>
    </row>
    <row r="110" spans="1:18" x14ac:dyDescent="0.2">
      <c r="A110" s="1021"/>
      <c r="B110" s="995"/>
      <c r="C110" s="185"/>
      <c r="D110" s="3232"/>
      <c r="E110" s="3157"/>
      <c r="F110" s="3335"/>
      <c r="G110" s="1052"/>
      <c r="H110" s="957"/>
      <c r="I110" s="648"/>
      <c r="J110" s="798"/>
      <c r="K110" s="799"/>
      <c r="L110" s="800"/>
      <c r="M110" s="649"/>
      <c r="N110" s="649"/>
      <c r="O110" s="3338"/>
      <c r="P110" s="1048"/>
      <c r="Q110" s="81"/>
      <c r="R110" s="621"/>
    </row>
    <row r="111" spans="1:18" ht="38.25" customHeight="1" thickBot="1" x14ac:dyDescent="0.25">
      <c r="A111" s="1021"/>
      <c r="B111" s="995"/>
      <c r="C111" s="185"/>
      <c r="D111" s="3232"/>
      <c r="E111" s="3157"/>
      <c r="F111" s="3335"/>
      <c r="G111" s="342" t="s">
        <v>23</v>
      </c>
      <c r="H111" s="953">
        <f>SUM(H109:H110)</f>
        <v>28962.001853568119</v>
      </c>
      <c r="I111" s="347">
        <f>I109</f>
        <v>100</v>
      </c>
      <c r="J111" s="348"/>
      <c r="K111" s="344"/>
      <c r="L111" s="346">
        <f>SUM(L109:L110)</f>
        <v>100</v>
      </c>
      <c r="M111" s="350">
        <f>SUM(M109:M110)</f>
        <v>100</v>
      </c>
      <c r="N111" s="350"/>
      <c r="O111" s="3338"/>
      <c r="P111" s="777"/>
      <c r="Q111" s="778"/>
      <c r="R111" s="621"/>
    </row>
    <row r="112" spans="1:18" ht="25.5" x14ac:dyDescent="0.2">
      <c r="A112" s="1006" t="s">
        <v>24</v>
      </c>
      <c r="B112" s="1008" t="s">
        <v>20</v>
      </c>
      <c r="C112" s="1026" t="s">
        <v>30</v>
      </c>
      <c r="D112" s="919" t="s">
        <v>195</v>
      </c>
      <c r="E112" s="920" t="s">
        <v>4</v>
      </c>
      <c r="F112" s="921"/>
      <c r="G112" s="13"/>
      <c r="H112" s="958"/>
      <c r="I112" s="369"/>
      <c r="J112" s="1215"/>
      <c r="K112" s="42"/>
      <c r="L112" s="1216"/>
      <c r="M112" s="723"/>
      <c r="N112" s="723"/>
      <c r="O112" s="922"/>
      <c r="P112" s="923"/>
      <c r="Q112" s="924"/>
      <c r="R112" s="925"/>
    </row>
    <row r="113" spans="1:18" ht="38.25" x14ac:dyDescent="0.2">
      <c r="A113" s="1021"/>
      <c r="B113" s="995"/>
      <c r="C113" s="1027"/>
      <c r="D113" s="3350" t="s">
        <v>268</v>
      </c>
      <c r="E113" s="3351" t="s">
        <v>128</v>
      </c>
      <c r="F113" s="3349">
        <v>6</v>
      </c>
      <c r="G113" s="1059" t="s">
        <v>282</v>
      </c>
      <c r="H113" s="952">
        <f>3515/3.4528*1000</f>
        <v>1018014.3651529193</v>
      </c>
      <c r="I113" s="287">
        <f>+J113+L113</f>
        <v>3515</v>
      </c>
      <c r="J113" s="215">
        <v>15</v>
      </c>
      <c r="K113" s="215"/>
      <c r="L113" s="216">
        <v>3500</v>
      </c>
      <c r="M113" s="803">
        <f>3000</f>
        <v>3000</v>
      </c>
      <c r="N113" s="803"/>
      <c r="O113" s="519" t="s">
        <v>165</v>
      </c>
      <c r="P113" s="785">
        <v>100</v>
      </c>
      <c r="Q113" s="785"/>
      <c r="R113" s="520"/>
    </row>
    <row r="114" spans="1:18" x14ac:dyDescent="0.2">
      <c r="A114" s="1021"/>
      <c r="B114" s="995"/>
      <c r="C114" s="1027"/>
      <c r="D114" s="3232"/>
      <c r="E114" s="3308"/>
      <c r="F114" s="3349"/>
      <c r="G114" s="1058"/>
      <c r="H114" s="957"/>
      <c r="I114" s="502"/>
      <c r="J114" s="224"/>
      <c r="K114" s="224"/>
      <c r="L114" s="226"/>
      <c r="M114" s="1217"/>
      <c r="N114" s="508"/>
      <c r="O114" s="3206" t="s">
        <v>173</v>
      </c>
      <c r="P114" s="1013">
        <v>50</v>
      </c>
      <c r="Q114" s="1013">
        <v>50</v>
      </c>
      <c r="R114" s="1041"/>
    </row>
    <row r="115" spans="1:18" ht="13.5" thickBot="1" x14ac:dyDescent="0.25">
      <c r="A115" s="1001"/>
      <c r="B115" s="1009"/>
      <c r="C115" s="1049"/>
      <c r="D115" s="2915"/>
      <c r="E115" s="3309"/>
      <c r="F115" s="926"/>
      <c r="G115" s="312" t="s">
        <v>23</v>
      </c>
      <c r="H115" s="940">
        <f>SUM(H113:H114)</f>
        <v>1018014.3651529193</v>
      </c>
      <c r="I115" s="311">
        <f t="shared" ref="I115:L115" si="10">SUM(I113:I114)</f>
        <v>3515</v>
      </c>
      <c r="J115" s="291">
        <f t="shared" si="10"/>
        <v>15</v>
      </c>
      <c r="K115" s="292">
        <f t="shared" si="10"/>
        <v>0</v>
      </c>
      <c r="L115" s="301">
        <f t="shared" si="10"/>
        <v>3500</v>
      </c>
      <c r="M115" s="300">
        <f>SUM(M113:M114)</f>
        <v>3000</v>
      </c>
      <c r="N115" s="300"/>
      <c r="O115" s="2923"/>
      <c r="P115" s="618"/>
      <c r="Q115" s="80"/>
      <c r="R115" s="1042"/>
    </row>
    <row r="116" spans="1:18" x14ac:dyDescent="0.2">
      <c r="A116" s="1021" t="s">
        <v>24</v>
      </c>
      <c r="B116" s="995" t="s">
        <v>20</v>
      </c>
      <c r="C116" s="1027" t="s">
        <v>30</v>
      </c>
      <c r="D116" s="3232" t="s">
        <v>274</v>
      </c>
      <c r="E116" s="3157"/>
      <c r="F116" s="1028">
        <v>6</v>
      </c>
      <c r="G116" s="1058" t="s">
        <v>22</v>
      </c>
      <c r="H116" s="959">
        <f>350/3.4528*1000</f>
        <v>101367.00648748843</v>
      </c>
      <c r="I116" s="263">
        <f>J116+L116</f>
        <v>350</v>
      </c>
      <c r="J116" s="788"/>
      <c r="K116" s="52"/>
      <c r="L116" s="212">
        <v>350</v>
      </c>
      <c r="M116" s="109"/>
      <c r="N116" s="109"/>
      <c r="O116" s="776" t="s">
        <v>273</v>
      </c>
      <c r="P116" s="675">
        <v>100</v>
      </c>
      <c r="Q116" s="88"/>
      <c r="R116" s="621"/>
    </row>
    <row r="117" spans="1:18" ht="13.5" thickBot="1" x14ac:dyDescent="0.25">
      <c r="A117" s="1007"/>
      <c r="B117" s="1009"/>
      <c r="C117" s="998"/>
      <c r="D117" s="2915"/>
      <c r="E117" s="3079"/>
      <c r="F117" s="786"/>
      <c r="G117" s="631" t="s">
        <v>23</v>
      </c>
      <c r="H117" s="960">
        <f>H116</f>
        <v>101367.00648748843</v>
      </c>
      <c r="I117" s="338">
        <f>J117+L117</f>
        <v>350</v>
      </c>
      <c r="J117" s="339"/>
      <c r="K117" s="340"/>
      <c r="L117" s="341">
        <f>L116</f>
        <v>350</v>
      </c>
      <c r="M117" s="787"/>
      <c r="N117" s="787"/>
      <c r="O117" s="69"/>
      <c r="P117" s="78"/>
      <c r="Q117" s="1062"/>
      <c r="R117" s="645"/>
    </row>
    <row r="118" spans="1:18" ht="13.5" thickBot="1" x14ac:dyDescent="0.25">
      <c r="A118" s="1001" t="s">
        <v>24</v>
      </c>
      <c r="B118" s="14" t="s">
        <v>20</v>
      </c>
      <c r="C118" s="3089" t="s">
        <v>27</v>
      </c>
      <c r="D118" s="3104"/>
      <c r="E118" s="3104"/>
      <c r="F118" s="3104"/>
      <c r="G118" s="3104"/>
      <c r="H118" s="974">
        <f>H117+H115+H111+H108+H105+H94+H75</f>
        <v>2171860.5189990727</v>
      </c>
      <c r="I118" s="1137">
        <f>I117+I111+I105+I108+I115+I94+I75</f>
        <v>7499.1</v>
      </c>
      <c r="J118" s="541">
        <f t="shared" ref="J118:N118" si="11">J117+J111+J105+J108+J115+J94+J75</f>
        <v>82.4</v>
      </c>
      <c r="K118" s="1138">
        <f t="shared" si="11"/>
        <v>13.3</v>
      </c>
      <c r="L118" s="1218">
        <f t="shared" si="11"/>
        <v>7416.7000000000007</v>
      </c>
      <c r="M118" s="1210">
        <f t="shared" si="11"/>
        <v>4344.8</v>
      </c>
      <c r="N118" s="29">
        <f t="shared" si="11"/>
        <v>10916.3</v>
      </c>
      <c r="O118" s="3189"/>
      <c r="P118" s="3190"/>
      <c r="Q118" s="3190"/>
      <c r="R118" s="3191"/>
    </row>
    <row r="119" spans="1:18" ht="13.5" thickBot="1" x14ac:dyDescent="0.25">
      <c r="A119" s="1002" t="s">
        <v>24</v>
      </c>
      <c r="B119" s="14" t="s">
        <v>24</v>
      </c>
      <c r="C119" s="3102" t="s">
        <v>49</v>
      </c>
      <c r="D119" s="3103"/>
      <c r="E119" s="3103"/>
      <c r="F119" s="1010"/>
      <c r="G119" s="112"/>
      <c r="H119" s="975"/>
      <c r="I119" s="1219"/>
      <c r="J119" s="1219"/>
      <c r="K119" s="1219"/>
      <c r="L119" s="1219"/>
      <c r="M119" s="1219"/>
      <c r="N119" s="1219"/>
      <c r="O119" s="61"/>
      <c r="P119" s="61"/>
      <c r="Q119" s="3236"/>
      <c r="R119" s="3237"/>
    </row>
    <row r="120" spans="1:18" ht="26.25" customHeight="1" x14ac:dyDescent="0.2">
      <c r="A120" s="3151" t="s">
        <v>24</v>
      </c>
      <c r="B120" s="3158" t="s">
        <v>24</v>
      </c>
      <c r="C120" s="997" t="s">
        <v>20</v>
      </c>
      <c r="D120" s="2925" t="s">
        <v>284</v>
      </c>
      <c r="E120" s="3307" t="s">
        <v>132</v>
      </c>
      <c r="F120" s="3223">
        <v>2</v>
      </c>
      <c r="G120" s="111" t="s">
        <v>22</v>
      </c>
      <c r="H120" s="983">
        <v>0</v>
      </c>
      <c r="I120" s="308">
        <f>J120+L120</f>
        <v>0</v>
      </c>
      <c r="J120" s="48">
        <f>100-100</f>
        <v>0</v>
      </c>
      <c r="K120" s="48"/>
      <c r="L120" s="49"/>
      <c r="M120" s="41">
        <f>100</f>
        <v>100</v>
      </c>
      <c r="N120" s="41">
        <f>100</f>
        <v>100</v>
      </c>
      <c r="O120" s="3076" t="s">
        <v>88</v>
      </c>
      <c r="P120" s="725"/>
      <c r="Q120" s="725">
        <v>320</v>
      </c>
      <c r="R120" s="732">
        <v>320</v>
      </c>
    </row>
    <row r="121" spans="1:18" ht="13.5" thickBot="1" x14ac:dyDescent="0.25">
      <c r="A121" s="3153"/>
      <c r="B121" s="3160"/>
      <c r="C121" s="998"/>
      <c r="D121" s="3083"/>
      <c r="E121" s="3309"/>
      <c r="F121" s="3224"/>
      <c r="G121" s="312" t="s">
        <v>23</v>
      </c>
      <c r="H121" s="987">
        <f>H120</f>
        <v>0</v>
      </c>
      <c r="I121" s="299">
        <f>J121+L121</f>
        <v>0</v>
      </c>
      <c r="J121" s="292">
        <f>SUM(J120)</f>
        <v>0</v>
      </c>
      <c r="K121" s="292"/>
      <c r="L121" s="295"/>
      <c r="M121" s="300">
        <f>SUM(M120)</f>
        <v>100</v>
      </c>
      <c r="N121" s="301">
        <f>SUM(N120)</f>
        <v>100</v>
      </c>
      <c r="O121" s="3077"/>
      <c r="P121" s="128"/>
      <c r="Q121" s="128"/>
      <c r="R121" s="202"/>
    </row>
    <row r="122" spans="1:18" x14ac:dyDescent="0.2">
      <c r="A122" s="1000" t="s">
        <v>24</v>
      </c>
      <c r="B122" s="1008" t="s">
        <v>24</v>
      </c>
      <c r="C122" s="997" t="s">
        <v>24</v>
      </c>
      <c r="D122" s="3323" t="s">
        <v>276</v>
      </c>
      <c r="E122" s="3326"/>
      <c r="F122" s="3329">
        <v>2</v>
      </c>
      <c r="G122" s="927" t="s">
        <v>22</v>
      </c>
      <c r="H122" s="988">
        <f>1060/3.4528*1000</f>
        <v>306997.21964782209</v>
      </c>
      <c r="I122" s="322">
        <f>J122+L122</f>
        <v>1060</v>
      </c>
      <c r="J122" s="694">
        <v>1060</v>
      </c>
      <c r="K122" s="729"/>
      <c r="L122" s="811"/>
      <c r="M122" s="485">
        <f>900</f>
        <v>900</v>
      </c>
      <c r="N122" s="486">
        <f>900</f>
        <v>900</v>
      </c>
      <c r="O122" s="812" t="s">
        <v>277</v>
      </c>
      <c r="P122" s="813">
        <v>315</v>
      </c>
      <c r="Q122" s="813">
        <v>250</v>
      </c>
      <c r="R122" s="814">
        <v>250</v>
      </c>
    </row>
    <row r="123" spans="1:18" ht="25.5" x14ac:dyDescent="0.2">
      <c r="A123" s="1002"/>
      <c r="B123" s="995"/>
      <c r="C123" s="1003"/>
      <c r="D123" s="3324"/>
      <c r="E123" s="3327"/>
      <c r="F123" s="3330"/>
      <c r="G123" s="986"/>
      <c r="H123" s="982"/>
      <c r="I123" s="325"/>
      <c r="J123" s="695"/>
      <c r="K123" s="753"/>
      <c r="L123" s="239"/>
      <c r="M123" s="795"/>
      <c r="N123" s="239"/>
      <c r="O123" s="1074" t="s">
        <v>278</v>
      </c>
      <c r="P123" s="815">
        <v>15</v>
      </c>
      <c r="Q123" s="815">
        <v>3</v>
      </c>
      <c r="R123" s="816">
        <v>3</v>
      </c>
    </row>
    <row r="124" spans="1:18" ht="13.5" thickBot="1" x14ac:dyDescent="0.25">
      <c r="A124" s="1001"/>
      <c r="B124" s="817"/>
      <c r="C124" s="998"/>
      <c r="D124" s="3325"/>
      <c r="E124" s="3328"/>
      <c r="F124" s="3331"/>
      <c r="G124" s="928" t="s">
        <v>23</v>
      </c>
      <c r="H124" s="989">
        <f>SUM(H122:H123)</f>
        <v>306997.21964782209</v>
      </c>
      <c r="I124" s="321">
        <f>SUM(I122:I122)</f>
        <v>1060</v>
      </c>
      <c r="J124" s="320">
        <f>SUM(J122:J122)</f>
        <v>1060</v>
      </c>
      <c r="K124" s="354"/>
      <c r="L124" s="316"/>
      <c r="M124" s="315">
        <f>SUM(M122:M122)</f>
        <v>900</v>
      </c>
      <c r="N124" s="316">
        <f>SUM(N122:N122)</f>
        <v>900</v>
      </c>
      <c r="O124" s="818" t="s">
        <v>130</v>
      </c>
      <c r="P124" s="819">
        <v>285</v>
      </c>
      <c r="Q124" s="819">
        <v>60</v>
      </c>
      <c r="R124" s="820">
        <v>60</v>
      </c>
    </row>
    <row r="125" spans="1:18" ht="13.5" thickBot="1" x14ac:dyDescent="0.25">
      <c r="A125" s="15" t="s">
        <v>24</v>
      </c>
      <c r="B125" s="14" t="s">
        <v>24</v>
      </c>
      <c r="C125" s="3089" t="s">
        <v>27</v>
      </c>
      <c r="D125" s="3104"/>
      <c r="E125" s="3104"/>
      <c r="F125" s="3104"/>
      <c r="G125" s="3104"/>
      <c r="H125" s="990">
        <f>H124+H121</f>
        <v>306997.21964782209</v>
      </c>
      <c r="I125" s="1">
        <f t="shared" ref="I125:N125" si="12">I124+I121</f>
        <v>1060</v>
      </c>
      <c r="J125" s="1092">
        <f>J124+J121</f>
        <v>1060</v>
      </c>
      <c r="K125" s="242">
        <f t="shared" si="12"/>
        <v>0</v>
      </c>
      <c r="L125" s="241">
        <f t="shared" si="12"/>
        <v>0</v>
      </c>
      <c r="M125" s="1">
        <f t="shared" si="12"/>
        <v>1000</v>
      </c>
      <c r="N125" s="1">
        <f t="shared" si="12"/>
        <v>1000</v>
      </c>
      <c r="O125" s="2935"/>
      <c r="P125" s="2936"/>
      <c r="Q125" s="2936"/>
      <c r="R125" s="2937"/>
    </row>
    <row r="126" spans="1:18" ht="13.5" thickBot="1" x14ac:dyDescent="0.25">
      <c r="A126" s="1000" t="s">
        <v>24</v>
      </c>
      <c r="B126" s="133" t="s">
        <v>26</v>
      </c>
      <c r="C126" s="3322" t="s">
        <v>48</v>
      </c>
      <c r="D126" s="3187"/>
      <c r="E126" s="3187"/>
      <c r="F126" s="3187"/>
      <c r="G126" s="3187"/>
      <c r="H126" s="3187"/>
      <c r="I126" s="3187"/>
      <c r="J126" s="3187"/>
      <c r="K126" s="3187"/>
      <c r="L126" s="3187"/>
      <c r="M126" s="3187"/>
      <c r="N126" s="3187"/>
      <c r="O126" s="3187"/>
      <c r="P126" s="3187"/>
      <c r="Q126" s="3187"/>
      <c r="R126" s="3188"/>
    </row>
    <row r="127" spans="1:18" ht="25.5" x14ac:dyDescent="0.2">
      <c r="A127" s="1006" t="s">
        <v>24</v>
      </c>
      <c r="B127" s="1008" t="s">
        <v>26</v>
      </c>
      <c r="C127" s="997" t="s">
        <v>20</v>
      </c>
      <c r="D127" s="821" t="s">
        <v>50</v>
      </c>
      <c r="E127" s="1071"/>
      <c r="F127" s="822">
        <v>6</v>
      </c>
      <c r="G127" s="1050" t="s">
        <v>22</v>
      </c>
      <c r="H127" s="964">
        <f>4348/3.4528*1000</f>
        <v>1259267.840593142</v>
      </c>
      <c r="I127" s="322">
        <f>J127+L127</f>
        <v>4348.2</v>
      </c>
      <c r="J127" s="823">
        <v>4268.2</v>
      </c>
      <c r="K127" s="824"/>
      <c r="L127" s="802">
        <v>80</v>
      </c>
      <c r="M127" s="63">
        <f>4896</f>
        <v>4896</v>
      </c>
      <c r="N127" s="62">
        <f>4863</f>
        <v>4863</v>
      </c>
      <c r="O127" s="825"/>
      <c r="P127" s="826"/>
      <c r="Q127" s="827"/>
      <c r="R127" s="674"/>
    </row>
    <row r="128" spans="1:18" ht="25.5" x14ac:dyDescent="0.2">
      <c r="A128" s="1021"/>
      <c r="B128" s="995"/>
      <c r="C128" s="1003"/>
      <c r="D128" s="828" t="s">
        <v>90</v>
      </c>
      <c r="E128" s="1061"/>
      <c r="F128" s="1073"/>
      <c r="G128" s="829"/>
      <c r="H128" s="965"/>
      <c r="I128" s="1177"/>
      <c r="J128" s="236"/>
      <c r="K128" s="830"/>
      <c r="L128" s="471"/>
      <c r="M128" s="794"/>
      <c r="N128" s="794"/>
      <c r="O128" s="1018" t="s">
        <v>301</v>
      </c>
      <c r="P128" s="831">
        <v>13</v>
      </c>
      <c r="Q128" s="831">
        <v>14</v>
      </c>
      <c r="R128" s="832">
        <v>14</v>
      </c>
    </row>
    <row r="129" spans="1:21" ht="25.5" x14ac:dyDescent="0.2">
      <c r="A129" s="1021"/>
      <c r="B129" s="995"/>
      <c r="C129" s="146"/>
      <c r="D129" s="828" t="s">
        <v>61</v>
      </c>
      <c r="E129" s="996"/>
      <c r="F129" s="1073"/>
      <c r="G129" s="833"/>
      <c r="H129" s="966"/>
      <c r="I129" s="1177"/>
      <c r="J129" s="834"/>
      <c r="K129" s="790"/>
      <c r="L129" s="800"/>
      <c r="M129" s="794"/>
      <c r="N129" s="794"/>
      <c r="O129" s="1018" t="s">
        <v>302</v>
      </c>
      <c r="P129" s="835">
        <v>95</v>
      </c>
      <c r="Q129" s="835">
        <v>95</v>
      </c>
      <c r="R129" s="836">
        <v>95</v>
      </c>
    </row>
    <row r="130" spans="1:21" s="4" customFormat="1" ht="25.5" x14ac:dyDescent="0.2">
      <c r="A130" s="1021"/>
      <c r="B130" s="995"/>
      <c r="C130" s="1003"/>
      <c r="D130" s="837" t="s">
        <v>63</v>
      </c>
      <c r="E130" s="996"/>
      <c r="F130" s="1011"/>
      <c r="G130" s="1063"/>
      <c r="H130" s="967"/>
      <c r="I130" s="648"/>
      <c r="J130" s="838"/>
      <c r="K130" s="798"/>
      <c r="L130" s="839"/>
      <c r="M130" s="793"/>
      <c r="N130" s="793"/>
      <c r="O130" s="1017" t="s">
        <v>309</v>
      </c>
      <c r="P130" s="840">
        <v>30</v>
      </c>
      <c r="Q130" s="840">
        <v>30</v>
      </c>
      <c r="R130" s="841">
        <v>30</v>
      </c>
    </row>
    <row r="131" spans="1:21" ht="25.5" x14ac:dyDescent="0.2">
      <c r="A131" s="1021"/>
      <c r="B131" s="995"/>
      <c r="C131" s="146"/>
      <c r="D131" s="828" t="s">
        <v>71</v>
      </c>
      <c r="E131" s="996"/>
      <c r="F131" s="1073"/>
      <c r="G131" s="829"/>
      <c r="H131" s="965"/>
      <c r="I131" s="1177"/>
      <c r="J131" s="834"/>
      <c r="K131" s="830"/>
      <c r="L131" s="471"/>
      <c r="M131" s="794"/>
      <c r="N131" s="794"/>
      <c r="O131" s="1018" t="s">
        <v>303</v>
      </c>
      <c r="P131" s="835">
        <v>6</v>
      </c>
      <c r="Q131" s="835">
        <v>5</v>
      </c>
      <c r="R131" s="836">
        <v>5</v>
      </c>
    </row>
    <row r="132" spans="1:21" s="4" customFormat="1" x14ac:dyDescent="0.2">
      <c r="A132" s="1021"/>
      <c r="B132" s="995"/>
      <c r="C132" s="146"/>
      <c r="D132" s="828" t="s">
        <v>62</v>
      </c>
      <c r="E132" s="1072"/>
      <c r="F132" s="1073"/>
      <c r="G132" s="829"/>
      <c r="H132" s="965"/>
      <c r="I132" s="1177"/>
      <c r="J132" s="834"/>
      <c r="K132" s="830"/>
      <c r="L132" s="471"/>
      <c r="M132" s="794"/>
      <c r="N132" s="794"/>
      <c r="O132" s="1018" t="s">
        <v>80</v>
      </c>
      <c r="P132" s="236">
        <v>40.1</v>
      </c>
      <c r="Q132" s="236">
        <v>40.1</v>
      </c>
      <c r="R132" s="693">
        <v>40.1</v>
      </c>
    </row>
    <row r="133" spans="1:21" x14ac:dyDescent="0.2">
      <c r="A133" s="1021"/>
      <c r="B133" s="995"/>
      <c r="C133" s="1003"/>
      <c r="D133" s="837" t="s">
        <v>64</v>
      </c>
      <c r="E133" s="1072"/>
      <c r="F133" s="1073"/>
      <c r="G133" s="833"/>
      <c r="H133" s="966"/>
      <c r="I133" s="373"/>
      <c r="J133" s="695"/>
      <c r="K133" s="842"/>
      <c r="L133" s="843"/>
      <c r="M133" s="793"/>
      <c r="N133" s="793"/>
      <c r="O133" s="1064" t="s">
        <v>304</v>
      </c>
      <c r="P133" s="1065">
        <v>100</v>
      </c>
      <c r="Q133" s="1065">
        <v>100</v>
      </c>
      <c r="R133" s="1066">
        <v>100</v>
      </c>
    </row>
    <row r="134" spans="1:21" s="699" customFormat="1" ht="25.5" x14ac:dyDescent="0.2">
      <c r="A134" s="1021"/>
      <c r="B134" s="995"/>
      <c r="C134" s="1003"/>
      <c r="D134" s="867" t="s">
        <v>138</v>
      </c>
      <c r="E134" s="845"/>
      <c r="F134" s="1079"/>
      <c r="G134" s="844"/>
      <c r="H134" s="968"/>
      <c r="I134" s="1177"/>
      <c r="J134" s="236"/>
      <c r="K134" s="236"/>
      <c r="L134" s="780"/>
      <c r="M134" s="793"/>
      <c r="N134" s="793"/>
      <c r="O134" s="864" t="s">
        <v>305</v>
      </c>
      <c r="P134" s="847">
        <v>11</v>
      </c>
      <c r="Q134" s="847">
        <v>13</v>
      </c>
      <c r="R134" s="848">
        <v>16</v>
      </c>
      <c r="S134" s="698"/>
      <c r="U134" s="700"/>
    </row>
    <row r="135" spans="1:21" s="699" customFormat="1" ht="30" customHeight="1" x14ac:dyDescent="0.2">
      <c r="A135" s="1021"/>
      <c r="B135" s="995"/>
      <c r="C135" s="1003"/>
      <c r="D135" s="3352" t="s">
        <v>319</v>
      </c>
      <c r="E135" s="3345"/>
      <c r="F135" s="3347"/>
      <c r="G135" s="846"/>
      <c r="H135" s="969"/>
      <c r="I135" s="1177"/>
      <c r="J135" s="695"/>
      <c r="K135" s="236"/>
      <c r="L135" s="693"/>
      <c r="M135" s="793"/>
      <c r="N135" s="793"/>
      <c r="O135" s="1077" t="s">
        <v>306</v>
      </c>
      <c r="P135" s="847">
        <v>1</v>
      </c>
      <c r="Q135" s="847">
        <v>1</v>
      </c>
      <c r="R135" s="848">
        <v>1</v>
      </c>
      <c r="S135" s="698"/>
      <c r="U135" s="700"/>
    </row>
    <row r="136" spans="1:21" ht="13.5" thickBot="1" x14ac:dyDescent="0.25">
      <c r="A136" s="1021"/>
      <c r="B136" s="995"/>
      <c r="C136" s="1003"/>
      <c r="D136" s="3353"/>
      <c r="E136" s="3346"/>
      <c r="F136" s="3348"/>
      <c r="G136" s="368" t="s">
        <v>23</v>
      </c>
      <c r="H136" s="963">
        <f>SUM(H127:H135)</f>
        <v>1259267.840593142</v>
      </c>
      <c r="I136" s="321">
        <f>SUM(I127:I135)</f>
        <v>4348.2</v>
      </c>
      <c r="J136" s="321">
        <f t="shared" ref="J136:N136" si="13">SUM(J127:J135)</f>
        <v>4268.2</v>
      </c>
      <c r="K136" s="321">
        <f t="shared" si="13"/>
        <v>0</v>
      </c>
      <c r="L136" s="321">
        <f t="shared" si="13"/>
        <v>80</v>
      </c>
      <c r="M136" s="321">
        <f t="shared" si="13"/>
        <v>4896</v>
      </c>
      <c r="N136" s="321">
        <f t="shared" si="13"/>
        <v>4863</v>
      </c>
      <c r="O136" s="865"/>
      <c r="P136" s="78"/>
      <c r="Q136" s="1062"/>
      <c r="R136" s="645"/>
    </row>
    <row r="137" spans="1:21" ht="28.5" customHeight="1" x14ac:dyDescent="0.2">
      <c r="A137" s="1006" t="s">
        <v>24</v>
      </c>
      <c r="B137" s="1008" t="s">
        <v>26</v>
      </c>
      <c r="C137" s="997" t="s">
        <v>24</v>
      </c>
      <c r="D137" s="3317" t="s">
        <v>264</v>
      </c>
      <c r="E137" s="3315" t="s">
        <v>136</v>
      </c>
      <c r="F137" s="3319">
        <v>6</v>
      </c>
      <c r="G137" s="849" t="s">
        <v>22</v>
      </c>
      <c r="H137" s="964">
        <f>73/3.4528*1000</f>
        <v>21142.261353104728</v>
      </c>
      <c r="I137" s="322">
        <f>J137+L137</f>
        <v>73</v>
      </c>
      <c r="J137" s="823"/>
      <c r="K137" s="781"/>
      <c r="L137" s="802">
        <v>73</v>
      </c>
      <c r="M137" s="63">
        <f>210</f>
        <v>210</v>
      </c>
      <c r="N137" s="62">
        <f>320</f>
        <v>320</v>
      </c>
      <c r="O137" s="3320" t="s">
        <v>137</v>
      </c>
      <c r="P137" s="774">
        <v>1</v>
      </c>
      <c r="Q137" s="775">
        <v>4</v>
      </c>
      <c r="R137" s="674">
        <v>6</v>
      </c>
    </row>
    <row r="138" spans="1:21" ht="13.5" thickBot="1" x14ac:dyDescent="0.25">
      <c r="A138" s="1007"/>
      <c r="B138" s="1009"/>
      <c r="C138" s="998"/>
      <c r="D138" s="3318"/>
      <c r="E138" s="3316"/>
      <c r="F138" s="3269"/>
      <c r="G138" s="368" t="s">
        <v>23</v>
      </c>
      <c r="H138" s="963">
        <f>SUM(H137)</f>
        <v>21142.261353104728</v>
      </c>
      <c r="I138" s="321">
        <f>J138+L138</f>
        <v>73</v>
      </c>
      <c r="J138" s="320"/>
      <c r="K138" s="320"/>
      <c r="L138" s="318">
        <f>L137</f>
        <v>73</v>
      </c>
      <c r="M138" s="315">
        <f>SUM(M137)</f>
        <v>210</v>
      </c>
      <c r="N138" s="316">
        <f>SUM(N137)</f>
        <v>320</v>
      </c>
      <c r="O138" s="3321"/>
      <c r="P138" s="78"/>
      <c r="Q138" s="1062"/>
      <c r="R138" s="645"/>
    </row>
    <row r="139" spans="1:21" x14ac:dyDescent="0.2">
      <c r="A139" s="3154" t="s">
        <v>24</v>
      </c>
      <c r="B139" s="3117" t="s">
        <v>26</v>
      </c>
      <c r="C139" s="132" t="s">
        <v>26</v>
      </c>
      <c r="D139" s="3314" t="s">
        <v>59</v>
      </c>
      <c r="E139" s="3315"/>
      <c r="F139" s="3310">
        <v>2</v>
      </c>
      <c r="G139" s="850" t="s">
        <v>22</v>
      </c>
      <c r="H139" s="970">
        <f>108/3.4528*1000</f>
        <v>31278.962001853568</v>
      </c>
      <c r="I139" s="1220">
        <f>J139+L139</f>
        <v>108</v>
      </c>
      <c r="J139" s="851">
        <v>108</v>
      </c>
      <c r="K139" s="42"/>
      <c r="L139" s="43"/>
      <c r="M139" s="63">
        <f>100</f>
        <v>100</v>
      </c>
      <c r="N139" s="63">
        <f>100</f>
        <v>100</v>
      </c>
      <c r="O139" s="2946" t="s">
        <v>307</v>
      </c>
      <c r="P139" s="852">
        <v>320</v>
      </c>
      <c r="Q139" s="853">
        <v>300</v>
      </c>
      <c r="R139" s="674">
        <v>300</v>
      </c>
    </row>
    <row r="140" spans="1:21" ht="26.25" customHeight="1" thickBot="1" x14ac:dyDescent="0.25">
      <c r="A140" s="3156"/>
      <c r="B140" s="3118"/>
      <c r="C140" s="130"/>
      <c r="D140" s="3306"/>
      <c r="E140" s="3316"/>
      <c r="F140" s="3312"/>
      <c r="G140" s="368" t="s">
        <v>23</v>
      </c>
      <c r="H140" s="971">
        <f>H139</f>
        <v>31278.962001853568</v>
      </c>
      <c r="I140" s="315">
        <f>J140+L140</f>
        <v>108</v>
      </c>
      <c r="J140" s="348">
        <f>SUM(J139)</f>
        <v>108</v>
      </c>
      <c r="K140" s="344"/>
      <c r="L140" s="346"/>
      <c r="M140" s="315">
        <f>SUM(M139)</f>
        <v>100</v>
      </c>
      <c r="N140" s="349">
        <f>SUM(N139)</f>
        <v>100</v>
      </c>
      <c r="O140" s="2948"/>
      <c r="P140" s="78"/>
      <c r="Q140" s="1062"/>
      <c r="R140" s="645"/>
    </row>
    <row r="141" spans="1:21" x14ac:dyDescent="0.2">
      <c r="A141" s="1006" t="s">
        <v>24</v>
      </c>
      <c r="B141" s="1008" t="s">
        <v>26</v>
      </c>
      <c r="C141" s="132" t="s">
        <v>28</v>
      </c>
      <c r="D141" s="1067" t="s">
        <v>269</v>
      </c>
      <c r="E141" s="1081"/>
      <c r="F141" s="1068">
        <v>2</v>
      </c>
      <c r="G141" s="857" t="s">
        <v>22</v>
      </c>
      <c r="H141" s="961"/>
      <c r="I141" s="370"/>
      <c r="J141" s="694"/>
      <c r="K141" s="694"/>
      <c r="L141" s="811"/>
      <c r="M141" s="63">
        <f>250</f>
        <v>250</v>
      </c>
      <c r="N141" s="62"/>
      <c r="O141" s="877" t="s">
        <v>308</v>
      </c>
      <c r="P141" s="878"/>
      <c r="Q141" s="854">
        <v>10</v>
      </c>
      <c r="R141" s="674"/>
    </row>
    <row r="142" spans="1:21" x14ac:dyDescent="0.2">
      <c r="A142" s="1021"/>
      <c r="B142" s="995"/>
      <c r="C142" s="131"/>
      <c r="D142" s="3313" t="s">
        <v>320</v>
      </c>
      <c r="E142" s="1078"/>
      <c r="F142" s="1069"/>
      <c r="G142" s="857"/>
      <c r="H142" s="962"/>
      <c r="I142" s="648"/>
      <c r="J142" s="238"/>
      <c r="K142" s="238"/>
      <c r="L142" s="697"/>
      <c r="M142" s="649"/>
      <c r="N142" s="40"/>
      <c r="O142" s="877"/>
      <c r="P142" s="878"/>
      <c r="Q142" s="854"/>
      <c r="R142" s="621"/>
    </row>
    <row r="143" spans="1:21" ht="13.5" thickBot="1" x14ac:dyDescent="0.25">
      <c r="A143" s="1007"/>
      <c r="B143" s="1009"/>
      <c r="C143" s="130"/>
      <c r="D143" s="3306"/>
      <c r="E143" s="1080"/>
      <c r="F143" s="1070"/>
      <c r="G143" s="368" t="s">
        <v>23</v>
      </c>
      <c r="H143" s="963"/>
      <c r="I143" s="319">
        <f t="shared" ref="I143:L143" si="14">SUM(I142:I142)</f>
        <v>0</v>
      </c>
      <c r="J143" s="354">
        <f t="shared" si="14"/>
        <v>0</v>
      </c>
      <c r="K143" s="354">
        <f t="shared" si="14"/>
        <v>0</v>
      </c>
      <c r="L143" s="316">
        <f t="shared" si="14"/>
        <v>0</v>
      </c>
      <c r="M143" s="315">
        <f>SUM(M141:M142)</f>
        <v>250</v>
      </c>
      <c r="N143" s="316"/>
      <c r="O143" s="1038"/>
      <c r="P143" s="78"/>
      <c r="Q143" s="1062"/>
      <c r="R143" s="645"/>
    </row>
    <row r="144" spans="1:21" ht="45.75" customHeight="1" x14ac:dyDescent="0.2">
      <c r="A144" s="3151" t="s">
        <v>24</v>
      </c>
      <c r="B144" s="3158" t="s">
        <v>26</v>
      </c>
      <c r="C144" s="132" t="s">
        <v>29</v>
      </c>
      <c r="D144" s="3304" t="s">
        <v>291</v>
      </c>
      <c r="E144" s="3307" t="s">
        <v>132</v>
      </c>
      <c r="F144" s="3310">
        <v>2</v>
      </c>
      <c r="G144" s="542" t="s">
        <v>22</v>
      </c>
      <c r="H144" s="961">
        <f>64/3.4528*1000</f>
        <v>18535.681186283597</v>
      </c>
      <c r="I144" s="370">
        <f>J144+L144</f>
        <v>64</v>
      </c>
      <c r="J144" s="694"/>
      <c r="K144" s="694"/>
      <c r="L144" s="811">
        <v>64</v>
      </c>
      <c r="M144" s="63">
        <f>74</f>
        <v>74</v>
      </c>
      <c r="N144" s="62">
        <f>67</f>
        <v>67</v>
      </c>
      <c r="O144" s="855" t="s">
        <v>87</v>
      </c>
      <c r="P144" s="856">
        <v>9</v>
      </c>
      <c r="Q144" s="853">
        <v>10</v>
      </c>
      <c r="R144" s="674">
        <v>10</v>
      </c>
    </row>
    <row r="145" spans="1:21" ht="45.75" customHeight="1" x14ac:dyDescent="0.2">
      <c r="A145" s="3152"/>
      <c r="B145" s="3159"/>
      <c r="C145" s="131"/>
      <c r="D145" s="3305"/>
      <c r="E145" s="3308"/>
      <c r="F145" s="3311"/>
      <c r="G145" s="857"/>
      <c r="H145" s="962"/>
      <c r="I145" s="648"/>
      <c r="J145" s="238"/>
      <c r="K145" s="238"/>
      <c r="L145" s="697"/>
      <c r="M145" s="109"/>
      <c r="N145" s="110"/>
      <c r="O145" s="858"/>
      <c r="P145" s="475"/>
      <c r="Q145" s="854"/>
      <c r="R145" s="621"/>
    </row>
    <row r="146" spans="1:21" ht="13.5" thickBot="1" x14ac:dyDescent="0.25">
      <c r="A146" s="3153"/>
      <c r="B146" s="3160"/>
      <c r="C146" s="130"/>
      <c r="D146" s="3306"/>
      <c r="E146" s="3309"/>
      <c r="F146" s="3312"/>
      <c r="G146" s="368" t="s">
        <v>23</v>
      </c>
      <c r="H146" s="963">
        <f>SUM(H144:H145)</f>
        <v>18535.681186283597</v>
      </c>
      <c r="I146" s="319">
        <f>J146+L146</f>
        <v>64</v>
      </c>
      <c r="J146" s="320"/>
      <c r="K146" s="320"/>
      <c r="L146" s="318">
        <f>SUM(L144)</f>
        <v>64</v>
      </c>
      <c r="M146" s="315">
        <f>SUM(M144)</f>
        <v>74</v>
      </c>
      <c r="N146" s="316">
        <f>SUM(N144)</f>
        <v>67</v>
      </c>
      <c r="O146" s="859"/>
      <c r="P146" s="78"/>
      <c r="Q146" s="1062"/>
      <c r="R146" s="645"/>
    </row>
    <row r="147" spans="1:21" ht="13.5" thickBot="1" x14ac:dyDescent="0.25">
      <c r="A147" s="30" t="s">
        <v>24</v>
      </c>
      <c r="B147" s="32" t="s">
        <v>26</v>
      </c>
      <c r="C147" s="3089" t="s">
        <v>27</v>
      </c>
      <c r="D147" s="3104"/>
      <c r="E147" s="3104"/>
      <c r="F147" s="3104"/>
      <c r="G147" s="3303"/>
      <c r="H147" s="974">
        <f>H146+H143+H140+H138+H136</f>
        <v>1330224.7451343839</v>
      </c>
      <c r="I147" s="1091">
        <f t="shared" ref="I147:N147" si="15">I146+I140+I138+I136+I143</f>
        <v>4593.2</v>
      </c>
      <c r="J147" s="242">
        <f t="shared" si="15"/>
        <v>4376.2</v>
      </c>
      <c r="K147" s="1092">
        <f t="shared" si="15"/>
        <v>0</v>
      </c>
      <c r="L147" s="240">
        <f t="shared" si="15"/>
        <v>217</v>
      </c>
      <c r="M147" s="1">
        <f t="shared" si="15"/>
        <v>5530</v>
      </c>
      <c r="N147" s="1">
        <f t="shared" si="15"/>
        <v>5350</v>
      </c>
      <c r="O147" s="2935"/>
      <c r="P147" s="2936"/>
      <c r="Q147" s="2936"/>
      <c r="R147" s="2937"/>
    </row>
    <row r="148" spans="1:21" ht="13.5" thickBot="1" x14ac:dyDescent="0.25">
      <c r="A148" s="30" t="s">
        <v>24</v>
      </c>
      <c r="B148" s="3149" t="s">
        <v>10</v>
      </c>
      <c r="C148" s="3149"/>
      <c r="D148" s="3149"/>
      <c r="E148" s="3149"/>
      <c r="F148" s="3149"/>
      <c r="G148" s="3149"/>
      <c r="H148" s="984">
        <f>H147+H125+H118</f>
        <v>3809082.4837812786</v>
      </c>
      <c r="I148" s="251">
        <f>J148+L148</f>
        <v>13152.3</v>
      </c>
      <c r="J148" s="252">
        <f>J147+J125+J118</f>
        <v>5518.5999999999995</v>
      </c>
      <c r="K148" s="252">
        <f>K147+K125+K118</f>
        <v>13.3</v>
      </c>
      <c r="L148" s="253">
        <f>L147+L125+L118</f>
        <v>7633.7000000000007</v>
      </c>
      <c r="M148" s="254">
        <f>M147+M125+M118</f>
        <v>10874.8</v>
      </c>
      <c r="N148" s="1119">
        <f>N147+N125+N118</f>
        <v>17266.3</v>
      </c>
      <c r="O148" s="3109"/>
      <c r="P148" s="3110"/>
      <c r="Q148" s="3110"/>
      <c r="R148" s="3111"/>
    </row>
    <row r="149" spans="1:21" ht="13.5" thickBot="1" x14ac:dyDescent="0.25">
      <c r="A149" s="33" t="s">
        <v>9</v>
      </c>
      <c r="B149" s="3150" t="s">
        <v>11</v>
      </c>
      <c r="C149" s="3150"/>
      <c r="D149" s="3150"/>
      <c r="E149" s="3150"/>
      <c r="F149" s="3150"/>
      <c r="G149" s="3150"/>
      <c r="H149" s="985">
        <f>H148+H68</f>
        <v>59435125.115848012</v>
      </c>
      <c r="I149" s="255">
        <f>J149+L149</f>
        <v>205245.09999999998</v>
      </c>
      <c r="J149" s="256">
        <f>J148+J68</f>
        <v>197311.19999999998</v>
      </c>
      <c r="K149" s="256">
        <f>K148+K68</f>
        <v>128507.10000000002</v>
      </c>
      <c r="L149" s="257">
        <f>L148+L68</f>
        <v>7933.9000000000005</v>
      </c>
      <c r="M149" s="258">
        <f>M148+M68</f>
        <v>202848.5</v>
      </c>
      <c r="N149" s="1120">
        <f>N148+N68</f>
        <v>208842</v>
      </c>
      <c r="O149" s="3113"/>
      <c r="P149" s="3114"/>
      <c r="Q149" s="3114"/>
      <c r="R149" s="3115"/>
    </row>
    <row r="150" spans="1:21" s="209" customFormat="1" x14ac:dyDescent="0.2">
      <c r="A150" s="1496"/>
      <c r="B150" s="1086"/>
      <c r="C150" s="1086"/>
      <c r="D150" s="1086"/>
      <c r="E150" s="1497"/>
      <c r="F150" s="1497"/>
      <c r="G150" s="1497"/>
      <c r="H150" s="1498"/>
      <c r="I150" s="1084"/>
      <c r="J150" s="1084"/>
      <c r="K150" s="1084"/>
      <c r="L150" s="1084"/>
      <c r="M150" s="1084"/>
      <c r="N150" s="1084"/>
      <c r="O150" s="1084"/>
      <c r="P150" s="1084"/>
      <c r="Q150" s="1084"/>
      <c r="R150" s="1084"/>
    </row>
    <row r="151" spans="1:21" s="5" customFormat="1" ht="13.5" thickBot="1" x14ac:dyDescent="0.25">
      <c r="A151" s="3116" t="s">
        <v>2</v>
      </c>
      <c r="B151" s="3116"/>
      <c r="C151" s="3116"/>
      <c r="D151" s="3116"/>
      <c r="E151" s="3116"/>
      <c r="F151" s="3116"/>
      <c r="G151" s="3116"/>
      <c r="H151" s="3116"/>
      <c r="I151" s="3116"/>
      <c r="J151" s="3116"/>
      <c r="K151" s="3116"/>
      <c r="L151" s="3116"/>
      <c r="M151" s="3116"/>
      <c r="N151" s="3116"/>
      <c r="O151" s="259"/>
      <c r="P151" s="259"/>
      <c r="Q151" s="259"/>
      <c r="R151" s="95"/>
    </row>
    <row r="152" spans="1:21" s="6" customFormat="1" ht="39" thickBot="1" x14ac:dyDescent="0.25">
      <c r="A152" s="3146" t="s">
        <v>3</v>
      </c>
      <c r="B152" s="3147"/>
      <c r="C152" s="3147"/>
      <c r="D152" s="3147"/>
      <c r="E152" s="3147"/>
      <c r="F152" s="3147"/>
      <c r="G152" s="3148"/>
      <c r="H152" s="1082" t="s">
        <v>289</v>
      </c>
      <c r="I152" s="3814" t="s">
        <v>289</v>
      </c>
      <c r="J152" s="3815"/>
      <c r="K152" s="3815"/>
      <c r="L152" s="3816"/>
      <c r="M152" s="1221" t="s">
        <v>290</v>
      </c>
      <c r="N152" s="1221" t="s">
        <v>290</v>
      </c>
      <c r="O152" s="71"/>
      <c r="P152" s="3112"/>
      <c r="Q152" s="3112"/>
      <c r="R152" s="60"/>
      <c r="T152" s="2"/>
      <c r="U152" s="2"/>
    </row>
    <row r="153" spans="1:21" s="6" customFormat="1" x14ac:dyDescent="0.2">
      <c r="A153" s="3136" t="s">
        <v>33</v>
      </c>
      <c r="B153" s="3137"/>
      <c r="C153" s="3137"/>
      <c r="D153" s="3137"/>
      <c r="E153" s="3137"/>
      <c r="F153" s="3137"/>
      <c r="G153" s="3138"/>
      <c r="H153" s="976">
        <f>SUM(H154:H157)</f>
        <v>58097659.870250233</v>
      </c>
      <c r="I153" s="3134">
        <f>SUM(I154:L157)</f>
        <v>200627.19999999995</v>
      </c>
      <c r="J153" s="3135"/>
      <c r="K153" s="3135"/>
      <c r="L153" s="3817"/>
      <c r="M153" s="74">
        <f>SUM(M154:M157)</f>
        <v>199459.59999999998</v>
      </c>
      <c r="N153" s="74">
        <f>SUM(N154:N157)</f>
        <v>198075.7</v>
      </c>
      <c r="O153" s="72"/>
      <c r="P153" s="3128"/>
      <c r="Q153" s="3128"/>
      <c r="R153" s="60"/>
    </row>
    <row r="154" spans="1:21" s="6" customFormat="1" x14ac:dyDescent="0.2">
      <c r="A154" s="3131" t="s">
        <v>36</v>
      </c>
      <c r="B154" s="3132"/>
      <c r="C154" s="3132"/>
      <c r="D154" s="3132"/>
      <c r="E154" s="3132"/>
      <c r="F154" s="3132"/>
      <c r="G154" s="3133"/>
      <c r="H154" s="977">
        <f>SUMIF(G12:G144,"sb",H12:H144)</f>
        <v>22897677.247451346</v>
      </c>
      <c r="I154" s="3124">
        <f>SUMIF(G12:G145,"sb",I12:I145)</f>
        <v>79089.999999999971</v>
      </c>
      <c r="J154" s="3125"/>
      <c r="K154" s="3125"/>
      <c r="L154" s="3818"/>
      <c r="M154" s="56">
        <f>SUMIF(G12:G146,"sb",M12:M146)</f>
        <v>77751.699999999968</v>
      </c>
      <c r="N154" s="56">
        <f>SUMIF(G12:G146,"sb",N12:N146)</f>
        <v>76620.299999999988</v>
      </c>
      <c r="O154" s="70"/>
      <c r="P154" s="3119"/>
      <c r="Q154" s="3119"/>
      <c r="R154" s="60"/>
    </row>
    <row r="155" spans="1:21" s="6" customFormat="1" x14ac:dyDescent="0.2">
      <c r="A155" s="3131" t="s">
        <v>44</v>
      </c>
      <c r="B155" s="3132"/>
      <c r="C155" s="3132"/>
      <c r="D155" s="3132"/>
      <c r="E155" s="3132"/>
      <c r="F155" s="3132"/>
      <c r="G155" s="3133"/>
      <c r="H155" s="977">
        <f>SUMIF(G12:G144,"sb(sp)",H12:H144)</f>
        <v>5008398.9805375347</v>
      </c>
      <c r="I155" s="3820">
        <f>SUMIF(G12:G146,"sb(sp)",I12:I146)</f>
        <v>17292.599999999999</v>
      </c>
      <c r="J155" s="3821"/>
      <c r="K155" s="3821"/>
      <c r="L155" s="3822"/>
      <c r="M155" s="56">
        <f>SUMIF(G12:G146,"sb(sp)",M12:M146)</f>
        <v>17293</v>
      </c>
      <c r="N155" s="56">
        <f>SUMIF(G12:G146,"sb(sp)",N12:N146)</f>
        <v>17293</v>
      </c>
      <c r="O155" s="70"/>
      <c r="P155" s="3119"/>
      <c r="Q155" s="3119"/>
      <c r="R155" s="60"/>
    </row>
    <row r="156" spans="1:21" s="6" customFormat="1" x14ac:dyDescent="0.2">
      <c r="A156" s="3131" t="s">
        <v>37</v>
      </c>
      <c r="B156" s="3132"/>
      <c r="C156" s="3132"/>
      <c r="D156" s="3132"/>
      <c r="E156" s="3132"/>
      <c r="F156" s="3132"/>
      <c r="G156" s="3133"/>
      <c r="H156" s="977">
        <f>SUMIF(G12:G144,"sb(vb)",H12:H144)</f>
        <v>30191583.642261352</v>
      </c>
      <c r="I156" s="3124">
        <f>SUMIF(G12:G146,"sb(vb)",I12:I146)</f>
        <v>104244.59999999999</v>
      </c>
      <c r="J156" s="3125"/>
      <c r="K156" s="3125"/>
      <c r="L156" s="3818"/>
      <c r="M156" s="57">
        <f>SUMIF(G12:G144,G13,M12:M144)</f>
        <v>104264.90000000001</v>
      </c>
      <c r="N156" s="57">
        <f>SUMIF(G12:G144,G13,N12:N144)</f>
        <v>104162.40000000001</v>
      </c>
      <c r="O156" s="70"/>
      <c r="P156" s="3119"/>
      <c r="Q156" s="3119"/>
      <c r="R156" s="60"/>
    </row>
    <row r="157" spans="1:21" s="6" customFormat="1" ht="13.5" thickBot="1" x14ac:dyDescent="0.25">
      <c r="A157" s="3131" t="s">
        <v>54</v>
      </c>
      <c r="B157" s="3132"/>
      <c r="C157" s="3132"/>
      <c r="D157" s="3132"/>
      <c r="E157" s="3132"/>
      <c r="F157" s="3132"/>
      <c r="G157" s="3133"/>
      <c r="H157" s="977">
        <f>SUMIF(G12:G144,"sb(p)",H12:H144)</f>
        <v>0</v>
      </c>
      <c r="I157" s="3107">
        <f>SUMIF(G15:G146,"sb(p)",I15:I146)</f>
        <v>0</v>
      </c>
      <c r="J157" s="3108"/>
      <c r="K157" s="3108"/>
      <c r="L157" s="3819"/>
      <c r="M157" s="39">
        <f>SUMIF(G15:G146,"sb(p)",M15:M146)</f>
        <v>150</v>
      </c>
      <c r="N157" s="39">
        <f>SUMIF(G15:G146,#REF!,N15:N146)</f>
        <v>0</v>
      </c>
      <c r="O157" s="70"/>
      <c r="P157" s="3119"/>
      <c r="Q157" s="3119"/>
      <c r="R157" s="60"/>
    </row>
    <row r="158" spans="1:21" s="6" customFormat="1" ht="13.5" thickBot="1" x14ac:dyDescent="0.25">
      <c r="A158" s="3167" t="s">
        <v>34</v>
      </c>
      <c r="B158" s="3168"/>
      <c r="C158" s="3168"/>
      <c r="D158" s="3168"/>
      <c r="E158" s="3168"/>
      <c r="F158" s="3168"/>
      <c r="G158" s="3169"/>
      <c r="H158" s="978">
        <f>SUM(H159:H160)</f>
        <v>1337465.2455977756</v>
      </c>
      <c r="I158" s="3121">
        <f>SUM(I159:L160)</f>
        <v>4617.8999999999996</v>
      </c>
      <c r="J158" s="3122"/>
      <c r="K158" s="3122"/>
      <c r="L158" s="3823"/>
      <c r="M158" s="34">
        <f>SUM(M159:M160)</f>
        <v>3388.9</v>
      </c>
      <c r="N158" s="34">
        <f>SUM(N159:N159)</f>
        <v>10766.3</v>
      </c>
      <c r="O158" s="54"/>
      <c r="P158" s="3129"/>
      <c r="Q158" s="3129"/>
      <c r="R158" s="60"/>
      <c r="S158" s="1512"/>
      <c r="T158" s="1512"/>
    </row>
    <row r="159" spans="1:21" s="6" customFormat="1" x14ac:dyDescent="0.2">
      <c r="A159" s="3170" t="s">
        <v>38</v>
      </c>
      <c r="B159" s="3171"/>
      <c r="C159" s="3171"/>
      <c r="D159" s="3171"/>
      <c r="E159" s="3171"/>
      <c r="F159" s="3171"/>
      <c r="G159" s="3172"/>
      <c r="H159" s="979">
        <f>SUMIF(G12:G144,"es",H12:H144)</f>
        <v>319450.88044485636</v>
      </c>
      <c r="I159" s="3107">
        <f>SUMIF(G15:G146,"es",I15:I146)</f>
        <v>1102.9000000000001</v>
      </c>
      <c r="J159" s="3108"/>
      <c r="K159" s="3108"/>
      <c r="L159" s="3108"/>
      <c r="M159" s="9">
        <f>SUMIF(G15:G144,"es",M15:M144)</f>
        <v>388.9</v>
      </c>
      <c r="N159" s="9">
        <f>SUMIF(G15:G146,"es",N15:N146)</f>
        <v>10766.3</v>
      </c>
      <c r="O159" s="44"/>
      <c r="P159" s="3123"/>
      <c r="Q159" s="3123"/>
      <c r="R159" s="60"/>
    </row>
    <row r="160" spans="1:21" s="6" customFormat="1" ht="13.5" thickBot="1" x14ac:dyDescent="0.25">
      <c r="A160" s="3282" t="s">
        <v>283</v>
      </c>
      <c r="B160" s="3283"/>
      <c r="C160" s="3283"/>
      <c r="D160" s="3283"/>
      <c r="E160" s="3283"/>
      <c r="F160" s="3283"/>
      <c r="G160" s="3284"/>
      <c r="H160" s="980">
        <f>SUMIF(G12:G144,"KVJUD ",H12:H144)</f>
        <v>1018014.3651529193</v>
      </c>
      <c r="I160" s="3124">
        <f>SUMIF(G12:G144,G113,I12:I144)</f>
        <v>3515</v>
      </c>
      <c r="J160" s="3125"/>
      <c r="K160" s="3125"/>
      <c r="L160" s="3818"/>
      <c r="M160" s="58">
        <f>SUMIF(G12:G144,"KVJUD ",M12:M144)</f>
        <v>3000</v>
      </c>
      <c r="N160" s="58"/>
      <c r="O160" s="44"/>
      <c r="P160" s="1022"/>
      <c r="Q160" s="1022"/>
      <c r="R160" s="60"/>
    </row>
    <row r="161" spans="1:18" ht="13.5" thickBot="1" x14ac:dyDescent="0.25">
      <c r="A161" s="3164" t="s">
        <v>35</v>
      </c>
      <c r="B161" s="3165"/>
      <c r="C161" s="3165"/>
      <c r="D161" s="3165"/>
      <c r="E161" s="3165"/>
      <c r="F161" s="3165"/>
      <c r="G161" s="3166"/>
      <c r="H161" s="981">
        <f>H158+H153</f>
        <v>59435125.115848005</v>
      </c>
      <c r="I161" s="3105">
        <f>I158+I153</f>
        <v>205245.09999999995</v>
      </c>
      <c r="J161" s="3106"/>
      <c r="K161" s="3106"/>
      <c r="L161" s="3106"/>
      <c r="M161" s="374">
        <f>M153+M158</f>
        <v>202848.49999999997</v>
      </c>
      <c r="N161" s="374">
        <f>N158+N153</f>
        <v>208842</v>
      </c>
      <c r="O161" s="72"/>
      <c r="P161" s="3128"/>
      <c r="Q161" s="3128"/>
    </row>
    <row r="163" spans="1:18" x14ac:dyDescent="0.2">
      <c r="D163" s="2"/>
      <c r="E163" s="214"/>
      <c r="F163" s="1044"/>
      <c r="G163" s="113"/>
      <c r="H163" s="973"/>
      <c r="I163" s="796"/>
      <c r="J163" s="797"/>
      <c r="K163" s="1222"/>
      <c r="L163" s="156"/>
      <c r="M163" s="156"/>
      <c r="N163" s="156"/>
    </row>
    <row r="164" spans="1:18" x14ac:dyDescent="0.2">
      <c r="D164" s="2"/>
      <c r="E164" s="214"/>
      <c r="F164" s="1044"/>
      <c r="G164" s="113"/>
      <c r="H164" s="973"/>
      <c r="I164" s="156"/>
      <c r="J164" s="1222"/>
      <c r="K164" s="1222"/>
      <c r="L164" s="156"/>
      <c r="M164" s="156"/>
      <c r="N164" s="156"/>
      <c r="P164" s="707"/>
    </row>
    <row r="165" spans="1:18" x14ac:dyDescent="0.2">
      <c r="D165" s="2"/>
      <c r="E165" s="214"/>
      <c r="F165" s="1044"/>
      <c r="G165" s="113"/>
      <c r="H165" s="973"/>
      <c r="I165" s="156"/>
      <c r="J165" s="708"/>
      <c r="K165" s="1222"/>
      <c r="L165" s="156"/>
      <c r="M165" s="156"/>
      <c r="N165" s="156"/>
    </row>
    <row r="166" spans="1:18" x14ac:dyDescent="0.2">
      <c r="D166" s="2"/>
      <c r="E166" s="214"/>
      <c r="F166" s="1044"/>
      <c r="G166" s="113"/>
      <c r="H166" s="973"/>
      <c r="I166" s="156"/>
      <c r="J166" s="156"/>
      <c r="K166" s="156"/>
      <c r="L166" s="156"/>
      <c r="M166" s="156"/>
      <c r="N166" s="156"/>
    </row>
    <row r="167" spans="1:18" x14ac:dyDescent="0.2">
      <c r="D167" s="2"/>
      <c r="E167" s="214"/>
      <c r="F167" s="1044"/>
      <c r="G167" s="113"/>
      <c r="H167" s="973"/>
      <c r="I167" s="156"/>
      <c r="J167" s="156"/>
      <c r="K167" s="156"/>
      <c r="L167" s="156"/>
      <c r="M167" s="156"/>
      <c r="N167" s="156"/>
    </row>
    <row r="168" spans="1:18" x14ac:dyDescent="0.2">
      <c r="D168" s="2"/>
      <c r="E168" s="214"/>
      <c r="F168" s="1044"/>
      <c r="G168" s="113"/>
      <c r="H168" s="973"/>
      <c r="I168" s="156"/>
      <c r="J168" s="156"/>
      <c r="K168" s="156"/>
      <c r="L168" s="156"/>
      <c r="M168" s="156"/>
      <c r="N168" s="156"/>
    </row>
    <row r="169" spans="1:18" x14ac:dyDescent="0.2">
      <c r="D169" s="2"/>
      <c r="E169" s="214"/>
      <c r="F169" s="1044"/>
      <c r="G169" s="113"/>
      <c r="H169" s="973"/>
      <c r="I169" s="156"/>
      <c r="J169" s="156"/>
      <c r="K169" s="156"/>
      <c r="L169" s="156"/>
      <c r="M169" s="156"/>
      <c r="N169" s="156"/>
    </row>
    <row r="170" spans="1:18" x14ac:dyDescent="0.2">
      <c r="D170" s="2"/>
      <c r="E170" s="214"/>
      <c r="F170" s="1044"/>
      <c r="G170" s="113"/>
      <c r="H170" s="973"/>
      <c r="I170" s="156"/>
      <c r="J170" s="156"/>
      <c r="K170" s="156"/>
      <c r="L170" s="156"/>
      <c r="M170" s="156"/>
      <c r="N170" s="156"/>
    </row>
    <row r="171" spans="1:18" x14ac:dyDescent="0.2">
      <c r="D171" s="2"/>
      <c r="E171" s="214"/>
      <c r="F171" s="1044"/>
      <c r="G171" s="113"/>
      <c r="H171" s="973"/>
      <c r="I171" s="156"/>
      <c r="J171" s="156"/>
      <c r="K171" s="156"/>
      <c r="L171" s="156"/>
      <c r="M171" s="156"/>
      <c r="N171" s="156"/>
    </row>
    <row r="172" spans="1:18" x14ac:dyDescent="0.2">
      <c r="D172" s="2"/>
      <c r="E172" s="214"/>
      <c r="F172" s="1044"/>
      <c r="G172" s="113"/>
      <c r="H172" s="973"/>
      <c r="I172" s="156"/>
      <c r="J172" s="156"/>
      <c r="K172" s="156"/>
      <c r="L172" s="156"/>
      <c r="M172" s="156"/>
      <c r="N172" s="156"/>
    </row>
    <row r="173" spans="1:18" x14ac:dyDescent="0.2">
      <c r="D173" s="2"/>
      <c r="E173" s="214"/>
      <c r="F173" s="1044"/>
      <c r="G173" s="113"/>
      <c r="H173" s="973"/>
      <c r="I173" s="156"/>
      <c r="J173" s="156"/>
      <c r="K173" s="156"/>
      <c r="L173" s="156"/>
      <c r="M173" s="156"/>
      <c r="N173" s="156"/>
    </row>
    <row r="174" spans="1:18" x14ac:dyDescent="0.2">
      <c r="A174" s="2"/>
      <c r="B174" s="2"/>
      <c r="C174" s="2"/>
      <c r="D174" s="2"/>
      <c r="E174" s="214"/>
      <c r="F174" s="1044"/>
      <c r="G174" s="113"/>
      <c r="H174" s="973"/>
      <c r="I174" s="156"/>
      <c r="J174" s="156"/>
      <c r="K174" s="156"/>
      <c r="L174" s="156"/>
      <c r="M174" s="156"/>
      <c r="N174" s="156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14"/>
      <c r="F175" s="1044"/>
      <c r="G175" s="113"/>
      <c r="H175" s="973"/>
      <c r="I175" s="156"/>
      <c r="J175" s="156"/>
      <c r="K175" s="156"/>
      <c r="L175" s="156"/>
      <c r="M175" s="156"/>
      <c r="N175" s="156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14"/>
      <c r="F176" s="1044"/>
      <c r="G176" s="113"/>
      <c r="H176" s="973"/>
      <c r="I176" s="156"/>
      <c r="J176" s="156"/>
      <c r="K176" s="156"/>
      <c r="L176" s="156"/>
      <c r="M176" s="156"/>
      <c r="N176" s="156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14"/>
      <c r="F177" s="1044"/>
      <c r="G177" s="113"/>
      <c r="H177" s="973"/>
      <c r="I177" s="156"/>
      <c r="J177" s="156"/>
      <c r="K177" s="156"/>
      <c r="L177" s="156"/>
      <c r="M177" s="156"/>
      <c r="N177" s="156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14"/>
      <c r="F178" s="1044"/>
      <c r="G178" s="113"/>
      <c r="H178" s="973"/>
      <c r="I178" s="156"/>
      <c r="J178" s="156"/>
      <c r="K178" s="156"/>
      <c r="L178" s="156"/>
      <c r="M178" s="156"/>
      <c r="N178" s="156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14"/>
      <c r="F179" s="1044"/>
      <c r="G179" s="113"/>
      <c r="H179" s="973"/>
      <c r="I179" s="156"/>
      <c r="J179" s="156"/>
      <c r="K179" s="156"/>
      <c r="L179" s="156"/>
      <c r="M179" s="156"/>
      <c r="N179" s="156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14"/>
      <c r="F180" s="1044"/>
      <c r="G180" s="113"/>
      <c r="H180" s="973"/>
      <c r="I180" s="156"/>
      <c r="J180" s="156"/>
      <c r="K180" s="156"/>
      <c r="L180" s="156"/>
      <c r="M180" s="156"/>
      <c r="N180" s="156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14"/>
      <c r="F181" s="1044"/>
      <c r="G181" s="113"/>
      <c r="H181" s="973"/>
      <c r="I181" s="156"/>
      <c r="J181" s="156"/>
      <c r="K181" s="156"/>
      <c r="L181" s="156"/>
      <c r="M181" s="156"/>
      <c r="N181" s="156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4"/>
      <c r="F182" s="1044"/>
      <c r="G182" s="113"/>
      <c r="H182" s="973"/>
      <c r="I182" s="156"/>
      <c r="J182" s="156"/>
      <c r="K182" s="156"/>
      <c r="L182" s="156"/>
      <c r="M182" s="156"/>
      <c r="N182" s="156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4"/>
      <c r="F183" s="1044"/>
      <c r="G183" s="113"/>
      <c r="H183" s="973"/>
      <c r="I183" s="156"/>
      <c r="J183" s="156"/>
      <c r="K183" s="156"/>
      <c r="L183" s="156"/>
      <c r="M183" s="156"/>
      <c r="N183" s="156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4"/>
      <c r="F184" s="1044"/>
      <c r="G184" s="113"/>
      <c r="H184" s="973"/>
      <c r="I184" s="156"/>
      <c r="J184" s="156"/>
      <c r="K184" s="156"/>
      <c r="L184" s="156"/>
      <c r="M184" s="156"/>
      <c r="N184" s="156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4"/>
      <c r="F185" s="1044"/>
      <c r="G185" s="113"/>
      <c r="H185" s="973"/>
      <c r="I185" s="156"/>
      <c r="J185" s="156"/>
      <c r="K185" s="156"/>
      <c r="L185" s="156"/>
      <c r="M185" s="156"/>
      <c r="N185" s="156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14"/>
      <c r="F186" s="1044"/>
      <c r="G186" s="113"/>
      <c r="H186" s="973"/>
      <c r="I186" s="156"/>
      <c r="J186" s="156"/>
      <c r="K186" s="156"/>
      <c r="L186" s="156"/>
      <c r="M186" s="156"/>
      <c r="N186" s="156"/>
      <c r="O186" s="2"/>
      <c r="P186" s="2"/>
      <c r="Q186" s="2"/>
      <c r="R186" s="2"/>
    </row>
  </sheetData>
  <mergeCells count="251">
    <mergeCell ref="A160:G160"/>
    <mergeCell ref="I160:L160"/>
    <mergeCell ref="A161:G161"/>
    <mergeCell ref="I161:L161"/>
    <mergeCell ref="P161:Q161"/>
    <mergeCell ref="A158:G158"/>
    <mergeCell ref="I158:L158"/>
    <mergeCell ref="P158:Q158"/>
    <mergeCell ref="A159:G159"/>
    <mergeCell ref="I159:L159"/>
    <mergeCell ref="P159:Q159"/>
    <mergeCell ref="A156:G156"/>
    <mergeCell ref="I156:L156"/>
    <mergeCell ref="P156:Q156"/>
    <mergeCell ref="A157:G157"/>
    <mergeCell ref="I157:L157"/>
    <mergeCell ref="P157:Q157"/>
    <mergeCell ref="A154:G154"/>
    <mergeCell ref="I154:L154"/>
    <mergeCell ref="P154:Q154"/>
    <mergeCell ref="A155:G155"/>
    <mergeCell ref="I155:L155"/>
    <mergeCell ref="P155:Q155"/>
    <mergeCell ref="A151:N151"/>
    <mergeCell ref="A152:G152"/>
    <mergeCell ref="I152:L152"/>
    <mergeCell ref="P152:Q152"/>
    <mergeCell ref="A153:G153"/>
    <mergeCell ref="I153:L153"/>
    <mergeCell ref="P153:Q153"/>
    <mergeCell ref="C147:G147"/>
    <mergeCell ref="O147:R147"/>
    <mergeCell ref="B148:G148"/>
    <mergeCell ref="O148:R148"/>
    <mergeCell ref="B149:G149"/>
    <mergeCell ref="O149:R149"/>
    <mergeCell ref="D142:D143"/>
    <mergeCell ref="A144:A146"/>
    <mergeCell ref="B144:B146"/>
    <mergeCell ref="D144:D146"/>
    <mergeCell ref="E144:E146"/>
    <mergeCell ref="F144:F146"/>
    <mergeCell ref="O137:O138"/>
    <mergeCell ref="A139:A140"/>
    <mergeCell ref="B139:B140"/>
    <mergeCell ref="D139:D140"/>
    <mergeCell ref="E139:E140"/>
    <mergeCell ref="F139:F140"/>
    <mergeCell ref="O139:O140"/>
    <mergeCell ref="D135:D136"/>
    <mergeCell ref="E135:E136"/>
    <mergeCell ref="F135:F136"/>
    <mergeCell ref="D137:D138"/>
    <mergeCell ref="E137:E138"/>
    <mergeCell ref="F137:F138"/>
    <mergeCell ref="D122:D124"/>
    <mergeCell ref="E122:E124"/>
    <mergeCell ref="F122:F124"/>
    <mergeCell ref="C125:G125"/>
    <mergeCell ref="O125:R125"/>
    <mergeCell ref="C126:R126"/>
    <mergeCell ref="A120:A121"/>
    <mergeCell ref="B120:B121"/>
    <mergeCell ref="D120:D121"/>
    <mergeCell ref="E120:E121"/>
    <mergeCell ref="F120:F121"/>
    <mergeCell ref="O120:O121"/>
    <mergeCell ref="D116:D117"/>
    <mergeCell ref="E116:E117"/>
    <mergeCell ref="C118:G118"/>
    <mergeCell ref="O118:R118"/>
    <mergeCell ref="C119:E119"/>
    <mergeCell ref="Q119:R119"/>
    <mergeCell ref="D109:D111"/>
    <mergeCell ref="E109:E111"/>
    <mergeCell ref="F109:F111"/>
    <mergeCell ref="O109:O111"/>
    <mergeCell ref="D113:D115"/>
    <mergeCell ref="E113:E115"/>
    <mergeCell ref="F113:F114"/>
    <mergeCell ref="O114:O115"/>
    <mergeCell ref="P103:P105"/>
    <mergeCell ref="Q103:Q105"/>
    <mergeCell ref="R103:R105"/>
    <mergeCell ref="E105:G105"/>
    <mergeCell ref="D106:D108"/>
    <mergeCell ref="E106:E107"/>
    <mergeCell ref="F106:F108"/>
    <mergeCell ref="O106:O108"/>
    <mergeCell ref="F92:F94"/>
    <mergeCell ref="D96:D99"/>
    <mergeCell ref="O96:O100"/>
    <mergeCell ref="D101:D102"/>
    <mergeCell ref="D103:D105"/>
    <mergeCell ref="O103:O105"/>
    <mergeCell ref="D86:D88"/>
    <mergeCell ref="E87:E88"/>
    <mergeCell ref="D89:D91"/>
    <mergeCell ref="E90:E91"/>
    <mergeCell ref="C92:C94"/>
    <mergeCell ref="D92:D94"/>
    <mergeCell ref="C70:R70"/>
    <mergeCell ref="D72:D75"/>
    <mergeCell ref="O72:O74"/>
    <mergeCell ref="D77:D79"/>
    <mergeCell ref="D80:D82"/>
    <mergeCell ref="D83:D85"/>
    <mergeCell ref="O65:O66"/>
    <mergeCell ref="C67:G67"/>
    <mergeCell ref="P67:R67"/>
    <mergeCell ref="B68:G68"/>
    <mergeCell ref="O68:R68"/>
    <mergeCell ref="B69:R69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1:A62"/>
    <mergeCell ref="B61:B62"/>
    <mergeCell ref="C61:C62"/>
    <mergeCell ref="D61:D62"/>
    <mergeCell ref="E61:E62"/>
    <mergeCell ref="F61:F62"/>
    <mergeCell ref="A58:A60"/>
    <mergeCell ref="B58:B60"/>
    <mergeCell ref="C58:C60"/>
    <mergeCell ref="D58:D60"/>
    <mergeCell ref="E58:E60"/>
    <mergeCell ref="F58:F60"/>
    <mergeCell ref="O54:O55"/>
    <mergeCell ref="A56:A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R48:R49"/>
    <mergeCell ref="C50:G50"/>
    <mergeCell ref="O50:R50"/>
    <mergeCell ref="C51:R51"/>
    <mergeCell ref="B52:B53"/>
    <mergeCell ref="C52:C53"/>
    <mergeCell ref="D52:D53"/>
    <mergeCell ref="E52:E53"/>
    <mergeCell ref="F52:F53"/>
    <mergeCell ref="D48:D49"/>
    <mergeCell ref="E48:E49"/>
    <mergeCell ref="F48:F49"/>
    <mergeCell ref="O48:O49"/>
    <mergeCell ref="P48:P49"/>
    <mergeCell ref="Q48:Q49"/>
    <mergeCell ref="R42:R43"/>
    <mergeCell ref="D44:D45"/>
    <mergeCell ref="E44:E45"/>
    <mergeCell ref="F44:F45"/>
    <mergeCell ref="O44:O45"/>
    <mergeCell ref="D46:D47"/>
    <mergeCell ref="E46:E47"/>
    <mergeCell ref="F46:F47"/>
    <mergeCell ref="O40:O41"/>
    <mergeCell ref="P40:P41"/>
    <mergeCell ref="Q40:Q41"/>
    <mergeCell ref="R40:R41"/>
    <mergeCell ref="D42:D43"/>
    <mergeCell ref="E42:E43"/>
    <mergeCell ref="F42:F43"/>
    <mergeCell ref="O42:O43"/>
    <mergeCell ref="P42:P43"/>
    <mergeCell ref="Q42:Q43"/>
    <mergeCell ref="D38:D39"/>
    <mergeCell ref="E38:E39"/>
    <mergeCell ref="F38:F39"/>
    <mergeCell ref="D40:D41"/>
    <mergeCell ref="E40:E41"/>
    <mergeCell ref="F40:F41"/>
    <mergeCell ref="D34:D35"/>
    <mergeCell ref="E34:E35"/>
    <mergeCell ref="F34:F35"/>
    <mergeCell ref="O34:O35"/>
    <mergeCell ref="D36:D37"/>
    <mergeCell ref="O29:O31"/>
    <mergeCell ref="P29:P31"/>
    <mergeCell ref="Q29:Q31"/>
    <mergeCell ref="R29:R31"/>
    <mergeCell ref="D32:D33"/>
    <mergeCell ref="E32:E33"/>
    <mergeCell ref="F32:F33"/>
    <mergeCell ref="A29:A31"/>
    <mergeCell ref="B29:B31"/>
    <mergeCell ref="C29:C31"/>
    <mergeCell ref="D29:D31"/>
    <mergeCell ref="E29:E31"/>
    <mergeCell ref="F29:F31"/>
    <mergeCell ref="A27:A28"/>
    <mergeCell ref="B27:B28"/>
    <mergeCell ref="C27:C28"/>
    <mergeCell ref="D27:D28"/>
    <mergeCell ref="E27:E28"/>
    <mergeCell ref="F27:F28"/>
    <mergeCell ref="P20:P21"/>
    <mergeCell ref="Q20:Q21"/>
    <mergeCell ref="R20:R21"/>
    <mergeCell ref="A24:A26"/>
    <mergeCell ref="C24:C26"/>
    <mergeCell ref="D24:D26"/>
    <mergeCell ref="E24:E26"/>
    <mergeCell ref="F24:F26"/>
    <mergeCell ref="D15:D16"/>
    <mergeCell ref="O17:O18"/>
    <mergeCell ref="A20:A22"/>
    <mergeCell ref="C20:C22"/>
    <mergeCell ref="D20:D22"/>
    <mergeCell ref="E20:E22"/>
    <mergeCell ref="F20:F22"/>
    <mergeCell ref="O20:O21"/>
    <mergeCell ref="A8:R8"/>
    <mergeCell ref="A9:R9"/>
    <mergeCell ref="B10:R10"/>
    <mergeCell ref="C11:R11"/>
    <mergeCell ref="C12:C13"/>
    <mergeCell ref="D12:D13"/>
    <mergeCell ref="E12:E13"/>
    <mergeCell ref="G5:G7"/>
    <mergeCell ref="H5:H7"/>
    <mergeCell ref="I5:L7"/>
    <mergeCell ref="M5:M7"/>
    <mergeCell ref="N5:N7"/>
    <mergeCell ref="O5:R5"/>
    <mergeCell ref="O6:O7"/>
    <mergeCell ref="P6:R6"/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F5:F7"/>
  </mergeCells>
  <printOptions horizontalCentered="1"/>
  <pageMargins left="0.78740157480314965" right="0.19685039370078741" top="0.39370078740157483" bottom="0.39370078740157483" header="0.31496062992125984" footer="0"/>
  <pageSetup paperSize="9" scale="73" orientation="portrait" r:id="rId1"/>
  <rowBreaks count="2" manualBreakCount="2">
    <brk id="68" max="17" man="1"/>
    <brk id="11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10</vt:i4>
      </vt:variant>
    </vt:vector>
  </HeadingPairs>
  <TitlesOfParts>
    <vt:vector size="16" baseType="lpstr">
      <vt:lpstr>2014-2016 SVP</vt:lpstr>
      <vt:lpstr>Asignavimu valdytojų kodai</vt:lpstr>
      <vt:lpstr>10 programa </vt:lpstr>
      <vt:lpstr>10 programa</vt:lpstr>
      <vt:lpstr>Aiškinamoji lentelė</vt:lpstr>
      <vt:lpstr>10 pr. Lt</vt:lpstr>
      <vt:lpstr>'10 pr. Lt'!Print_Area</vt:lpstr>
      <vt:lpstr>'10 programa'!Print_Area</vt:lpstr>
      <vt:lpstr>'10 programa '!Print_Area</vt:lpstr>
      <vt:lpstr>'2014-2016 SVP'!Print_Area</vt:lpstr>
      <vt:lpstr>'Aiškinamoji lentelė'!Print_Area</vt:lpstr>
      <vt:lpstr>'10 pr. Lt'!Print_Titles</vt:lpstr>
      <vt:lpstr>'10 programa'!Print_Titles</vt:lpstr>
      <vt:lpstr>'10 programa '!Print_Titles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Snieguole Kacerauskaite</cp:lastModifiedBy>
  <cp:lastPrinted>2015-12-22T09:38:25Z</cp:lastPrinted>
  <dcterms:created xsi:type="dcterms:W3CDTF">2006-05-12T05:50:12Z</dcterms:created>
  <dcterms:modified xsi:type="dcterms:W3CDTF">2015-12-22T09:38:47Z</dcterms:modified>
</cp:coreProperties>
</file>