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Palaimiene\Desktop\T1-81\"/>
    </mc:Choice>
  </mc:AlternateContent>
  <bookViews>
    <workbookView xWindow="30" yWindow="3825" windowWidth="15480" windowHeight="7560"/>
  </bookViews>
  <sheets>
    <sheet name="Ataskaita" sheetId="8" r:id="rId1"/>
    <sheet name="Priemonių suvestinė" sheetId="7" r:id="rId2"/>
    <sheet name="Asignavimų valdytojų kodai" sheetId="3" state="hidden" r:id="rId3"/>
  </sheets>
  <definedNames>
    <definedName name="_xlnm.Print_Area" localSheetId="0">Ataskaita!$A$1:$J$33</definedName>
    <definedName name="_xlnm.Print_Area" localSheetId="1">'Priemonių suvestinė'!$A$1:$O$176</definedName>
    <definedName name="_xlnm.Print_Titles" localSheetId="1">'Priemonių suvestinė'!$4:$6</definedName>
  </definedNames>
  <calcPr calcId="152511" fullPrecision="0"/>
</workbook>
</file>

<file path=xl/calcChain.xml><?xml version="1.0" encoding="utf-8"?>
<calcChain xmlns="http://schemas.openxmlformats.org/spreadsheetml/2006/main">
  <c r="J39" i="7" l="1"/>
  <c r="J63" i="7"/>
  <c r="J137" i="7" l="1"/>
  <c r="H110" i="7" l="1"/>
  <c r="H94" i="7"/>
  <c r="H42" i="7"/>
  <c r="I122" i="7" l="1"/>
  <c r="J126" i="7"/>
  <c r="J107" i="7" l="1"/>
  <c r="H123" i="7" l="1"/>
  <c r="H121" i="7"/>
  <c r="J26" i="7" l="1"/>
  <c r="J70" i="7" l="1"/>
  <c r="J54" i="7"/>
  <c r="J45" i="7"/>
  <c r="J153" i="7" l="1"/>
  <c r="J147" i="7"/>
  <c r="J144" i="7"/>
  <c r="J128" i="7"/>
  <c r="J113" i="7"/>
  <c r="J98" i="7"/>
  <c r="J76" i="7"/>
  <c r="J86" i="7" s="1"/>
  <c r="I169" i="7" l="1"/>
  <c r="I167" i="7"/>
  <c r="H150" i="7"/>
  <c r="H148" i="7"/>
  <c r="H145" i="7"/>
  <c r="H132" i="7"/>
  <c r="H137" i="7" s="1"/>
  <c r="H118" i="7"/>
  <c r="H117" i="7"/>
  <c r="H114" i="7"/>
  <c r="H104" i="7"/>
  <c r="H107" i="7" s="1"/>
  <c r="H99" i="7"/>
  <c r="H96" i="7"/>
  <c r="H90" i="7"/>
  <c r="H77" i="7"/>
  <c r="H76" i="7"/>
  <c r="H61" i="7" l="1"/>
  <c r="H62" i="7"/>
  <c r="H59" i="7" l="1"/>
  <c r="H60" i="7"/>
  <c r="H56" i="7"/>
  <c r="H63" i="7" s="1"/>
  <c r="I52" i="7"/>
  <c r="I47" i="7"/>
  <c r="I36" i="7" l="1"/>
  <c r="H36" i="7"/>
  <c r="H52" i="7"/>
  <c r="H50" i="7"/>
  <c r="H47" i="7"/>
  <c r="H41" i="7"/>
  <c r="H45" i="7" s="1"/>
  <c r="H35" i="7"/>
  <c r="H34" i="7"/>
  <c r="H33" i="7"/>
  <c r="H32" i="7"/>
  <c r="H31" i="7"/>
  <c r="H39" i="7" l="1"/>
  <c r="H54" i="7"/>
  <c r="I25" i="7"/>
  <c r="H25" i="7"/>
  <c r="I24" i="7"/>
  <c r="H24" i="7"/>
  <c r="H23" i="7"/>
  <c r="I152" i="7" l="1"/>
  <c r="I153" i="7" s="1"/>
  <c r="I148" i="7"/>
  <c r="I151" i="7" s="1"/>
  <c r="I146" i="7"/>
  <c r="I145" i="7"/>
  <c r="I143" i="7"/>
  <c r="I140" i="7"/>
  <c r="I132" i="7"/>
  <c r="I137" i="7" s="1"/>
  <c r="I128" i="7"/>
  <c r="I124" i="7"/>
  <c r="I123" i="7"/>
  <c r="I121" i="7"/>
  <c r="I118" i="7"/>
  <c r="I117" i="7"/>
  <c r="I114" i="7"/>
  <c r="I116" i="7" s="1"/>
  <c r="I109" i="7"/>
  <c r="I113" i="7" s="1"/>
  <c r="I104" i="7"/>
  <c r="I107" i="7" s="1"/>
  <c r="I99" i="7"/>
  <c r="I97" i="7"/>
  <c r="I90" i="7"/>
  <c r="I77" i="7"/>
  <c r="I76" i="7"/>
  <c r="I71" i="7"/>
  <c r="I69" i="7"/>
  <c r="I173" i="7" s="1"/>
  <c r="I68" i="7"/>
  <c r="I172" i="7" s="1"/>
  <c r="I65" i="7"/>
  <c r="I165" i="7" s="1"/>
  <c r="I59" i="7"/>
  <c r="I45" i="7"/>
  <c r="I35" i="7"/>
  <c r="I34" i="7"/>
  <c r="I33" i="7"/>
  <c r="I32" i="7"/>
  <c r="I31" i="7"/>
  <c r="I29" i="7"/>
  <c r="I39" i="7" s="1"/>
  <c r="I23" i="7"/>
  <c r="I22" i="7"/>
  <c r="I21" i="7"/>
  <c r="I19" i="7"/>
  <c r="I17" i="7"/>
  <c r="I126" i="7" l="1"/>
  <c r="I26" i="7"/>
  <c r="I103" i="7"/>
  <c r="J99" i="7"/>
  <c r="I63" i="7"/>
  <c r="I175" i="7"/>
  <c r="I166" i="7"/>
  <c r="I98" i="7"/>
  <c r="I170" i="7"/>
  <c r="I168" i="7"/>
  <c r="I73" i="7"/>
  <c r="I164" i="7"/>
  <c r="I86" i="7"/>
  <c r="I87" i="7" s="1"/>
  <c r="I147" i="7"/>
  <c r="I144" i="7"/>
  <c r="I54" i="7"/>
  <c r="I119" i="7"/>
  <c r="I70" i="7"/>
  <c r="I154" i="7" l="1"/>
  <c r="I74" i="7"/>
  <c r="I129" i="7"/>
  <c r="I155" i="7" l="1"/>
  <c r="I156" i="7" s="1"/>
  <c r="H167" i="7"/>
  <c r="H109" i="7" l="1"/>
  <c r="H151" i="7" l="1"/>
  <c r="H147" i="7" l="1"/>
  <c r="H143" i="7"/>
  <c r="H144" i="7" s="1"/>
  <c r="H17" i="7" l="1"/>
  <c r="H169" i="7" l="1"/>
  <c r="H68" i="7" l="1"/>
  <c r="J170" i="7" l="1"/>
  <c r="H65" i="7" l="1"/>
  <c r="H126" i="7" l="1"/>
  <c r="H71" i="7" l="1"/>
  <c r="H152" i="7" l="1"/>
  <c r="H128" i="7"/>
  <c r="H103" i="7"/>
  <c r="J103" i="7"/>
  <c r="H97" i="7"/>
  <c r="H69" i="7"/>
  <c r="J168" i="7"/>
  <c r="H168" i="7"/>
  <c r="H22" i="7"/>
  <c r="H21" i="7"/>
  <c r="H19" i="7"/>
  <c r="H170" i="7" l="1"/>
  <c r="H98" i="7"/>
  <c r="H26" i="7"/>
  <c r="J119" i="7" l="1"/>
  <c r="H119" i="7"/>
  <c r="J116" i="7"/>
  <c r="H116" i="7"/>
  <c r="H113" i="7"/>
  <c r="J151" i="7" l="1"/>
  <c r="J154" i="7" s="1"/>
  <c r="H175" i="7" l="1"/>
  <c r="H174" i="7"/>
  <c r="H173" i="7"/>
  <c r="H172" i="7"/>
  <c r="H166" i="7"/>
  <c r="H165" i="7"/>
  <c r="H164" i="7"/>
  <c r="J87" i="7"/>
  <c r="H86" i="7"/>
  <c r="H87" i="7" s="1"/>
  <c r="H153" i="7"/>
  <c r="H154" i="7" s="1"/>
  <c r="H73" i="7"/>
  <c r="H70" i="7"/>
  <c r="J175" i="7"/>
  <c r="J174" i="7"/>
  <c r="J173" i="7"/>
  <c r="J172" i="7"/>
  <c r="J169" i="7"/>
  <c r="J167" i="7"/>
  <c r="J166" i="7"/>
  <c r="J165" i="7"/>
  <c r="J164" i="7"/>
  <c r="J73" i="7"/>
  <c r="J74" i="7" l="1"/>
  <c r="H163" i="7"/>
  <c r="H162" i="7" s="1"/>
  <c r="J171" i="7"/>
  <c r="J163" i="7"/>
  <c r="J162" i="7" s="1"/>
  <c r="H171" i="7"/>
  <c r="J129" i="7"/>
  <c r="H129" i="7"/>
  <c r="H74" i="7"/>
  <c r="J176" i="7" l="1"/>
  <c r="H176" i="7"/>
  <c r="H155" i="7"/>
  <c r="J155" i="7"/>
  <c r="J156" i="7" s="1"/>
  <c r="H156" i="7" l="1"/>
  <c r="I174" i="7" l="1"/>
  <c r="I163" i="7" l="1"/>
  <c r="I162" i="7" s="1"/>
  <c r="I171" i="7"/>
  <c r="I176" i="7" l="1"/>
</calcChain>
</file>

<file path=xl/comments1.xml><?xml version="1.0" encoding="utf-8"?>
<comments xmlns="http://schemas.openxmlformats.org/spreadsheetml/2006/main">
  <authors>
    <author>Audra Cepiene</author>
    <author>Indre Buteniene</author>
  </authors>
  <commentList>
    <comment ref="M9" authorId="0" shapeId="0">
      <text>
        <r>
          <rPr>
            <sz val="9"/>
            <color indexed="81"/>
            <rFont val="Tahoma"/>
            <family val="2"/>
            <charset val="186"/>
          </rPr>
          <t xml:space="preserve">Bendras gatvių ilgis 2014 m. - 460 km, su patobulinta danga ilgis - 381 km.
</t>
        </r>
      </text>
    </comment>
    <comment ref="E15" authorId="0" shapeId="0">
      <text>
        <r>
          <rPr>
            <b/>
            <sz val="9"/>
            <color indexed="81"/>
            <rFont val="Tahoma"/>
            <family val="2"/>
            <charset val="186"/>
          </rPr>
          <t xml:space="preserve">KSP 2.1.2.11 Modernizuoti centrinės miesto dalies gatvių tinklą:
</t>
        </r>
        <r>
          <rPr>
            <sz val="9"/>
            <color indexed="81"/>
            <rFont val="Tahoma"/>
            <family val="2"/>
            <charset val="186"/>
          </rPr>
          <t> kapitališkai  suremontuoti Pilies tiltą per Danės upę;
 rekonstruoti Daržų g. ir kitas senamiesčio gatves;
 rekonstruoti Kūlių Vartų g., Galinio Pylimo g. ir Taikos pr. sankryžą;
 nutiesti Bastionų g. ir pastatyti naują tiltą per Danės upę;
 įrengti įvažiuojamąjį kelią į  Klaipėdos piliavietės teritoriją</t>
        </r>
        <r>
          <rPr>
            <b/>
            <sz val="9"/>
            <color indexed="81"/>
            <rFont val="Tahoma"/>
            <family val="2"/>
            <charset val="186"/>
          </rPr>
          <t xml:space="preserve">
</t>
        </r>
        <r>
          <rPr>
            <sz val="9"/>
            <color indexed="81"/>
            <rFont val="Tahoma"/>
            <family val="2"/>
            <charset val="186"/>
          </rPr>
          <t xml:space="preserve">
</t>
        </r>
      </text>
    </comment>
    <comment ref="D16" authorId="0" shapeId="0">
      <text>
        <r>
          <rPr>
            <sz val="8"/>
            <color indexed="81"/>
            <rFont val="Tahoma"/>
            <family val="2"/>
            <charset val="186"/>
          </rPr>
          <t>Projekto tikslas – pastatyti judantį (pakeliamą arba pasukamą) 4 (keturių) eismo juostų tiltą, su pėsčiųjų taku abiejose pusėse ir dviračių taku vienoje pusėje. Įrengti lietaus vandens nuo tilto pakloto ir vandens iš mechanizmų patalpų surinkimą bei nuvedimą į lietaus nuotekų tinklus su pirminiu vandens valymu nuo teršalų, įrengti apšvietimą. Sutvarkyti Danės upės krantinę (abiejose Danės upės krantinių pusėse įrengti dviračių ir pėsčiųjų takus, apšvietimą). Pastatyti 4 (keturių) eismo juostų gatvę su reikiama infrastruktūra, nutiesti pėsčiųjų takus abiejose gatvės pusėse  ir dviračių takus vienoje gatvės pusėje.</t>
        </r>
      </text>
    </comment>
    <comment ref="N17" authorId="0" shapeId="0">
      <text>
        <r>
          <rPr>
            <sz val="9"/>
            <color indexed="81"/>
            <rFont val="Tahoma"/>
            <family val="2"/>
            <charset val="186"/>
          </rPr>
          <t xml:space="preserve">2015 m. paskelbtas konkursas techniniam projektui parengti. Parinktas rangovas. Pasirašyta sutartis su AB „Kelprojektas“. Kaina –859,46 tūkst. Eur su PVM. Iš jų: TP kaina –753,13 tūkst. Eur; Projekto vykdymo priežiūra –106,33 tūkst. Eur.  </t>
        </r>
      </text>
    </comment>
    <comment ref="E27" authorId="0" shapeId="0">
      <text>
        <r>
          <rPr>
            <b/>
            <sz val="9"/>
            <color indexed="81"/>
            <rFont val="Tahoma"/>
            <family val="2"/>
            <charset val="186"/>
          </rPr>
          <t xml:space="preserve">KSP 2.1.2.13 Modernizuoti šiaurinės miesto dalies gatvių tinklą:
</t>
        </r>
        <r>
          <rPr>
            <sz val="9"/>
            <color indexed="81"/>
            <rFont val="Tahoma"/>
            <family val="2"/>
            <charset val="186"/>
          </rPr>
          <t xml:space="preserve"> rekonstruoti įvažiuojamąjį kelią į miestą per Tauralaukį (Pajūrio g.);
 rekonstruoti Utenos, Pakruojo, Radviliškio, Rokiškio g. įrengiant pratęsimą iki Šiaurės pr.; 
 rekonstruoti prioritetines Tauralaukio gyvenamųjų kvartalų gatves
</t>
        </r>
      </text>
    </comment>
    <comment ref="E40" authorId="0" shapeId="0">
      <text>
        <r>
          <rPr>
            <b/>
            <sz val="9"/>
            <color indexed="81"/>
            <rFont val="Tahoma"/>
            <family val="2"/>
            <charset val="186"/>
          </rPr>
          <t xml:space="preserve">KSP 2.1.2.11 Modernizuoti šiaurės–pietų transporto koridorių gatvių tinklą:
</t>
        </r>
        <r>
          <rPr>
            <sz val="9"/>
            <color indexed="81"/>
            <rFont val="Tahoma"/>
            <family val="2"/>
            <charset val="186"/>
          </rPr>
          <t> rekonstruoti Minijos g. nuo Baltijos pr. iki Jūrininkų pr.;
 rekonstruoti Tilžės g. nuo Šilutės pl. iki geležinkelio pervažos, pertvarkant žiedinę Mokyklos g. ir Šilutės pl. sankryžą; 
 rekonstruoti Taikos pr. nuo Sausio 15 osios g. iki Kauno g.;
 nutiesti Taikos pr. 2-ą juostą nuo Smiltelės g. iki Kairių g.;
 nutiesti Šilutės pl. tęsinį iki pietinio aplinkkelio</t>
        </r>
        <r>
          <rPr>
            <b/>
            <sz val="9"/>
            <color indexed="81"/>
            <rFont val="Tahoma"/>
            <family val="2"/>
            <charset val="186"/>
          </rPr>
          <t xml:space="preserve">
</t>
        </r>
        <r>
          <rPr>
            <sz val="9"/>
            <color indexed="81"/>
            <rFont val="Tahoma"/>
            <family val="2"/>
            <charset val="186"/>
          </rPr>
          <t xml:space="preserve">
</t>
        </r>
      </text>
    </comment>
    <comment ref="E46" authorId="0" shapeId="0">
      <text>
        <r>
          <rPr>
            <b/>
            <sz val="9"/>
            <color indexed="81"/>
            <rFont val="Tahoma"/>
            <family val="2"/>
            <charset val="186"/>
          </rPr>
          <t xml:space="preserve">KSP 2.1.2.15 Pagerinti susisiekimą su  rekreacinėmis  pajūrio teritorijomis:
 </t>
        </r>
        <r>
          <rPr>
            <sz val="9"/>
            <color indexed="81"/>
            <rFont val="Tahoma"/>
            <family val="2"/>
            <charset val="186"/>
          </rPr>
          <t>rekonstruoti Pamario g. ir jos priklausinius, pritaikant turizmui;
 nutiesti kelią nuo Medelyno g. ties Labrenciškėmis iki Girulių (Pamario g.)</t>
        </r>
        <r>
          <rPr>
            <b/>
            <sz val="9"/>
            <color indexed="81"/>
            <rFont val="Tahoma"/>
            <family val="2"/>
            <charset val="186"/>
          </rPr>
          <t xml:space="preserve">
</t>
        </r>
        <r>
          <rPr>
            <sz val="9"/>
            <color indexed="81"/>
            <rFont val="Tahoma"/>
            <family val="2"/>
            <charset val="186"/>
          </rPr>
          <t xml:space="preserve">
</t>
        </r>
      </text>
    </comment>
    <comment ref="E55" authorId="0" shapeId="0">
      <text>
        <r>
          <rPr>
            <b/>
            <sz val="9"/>
            <color indexed="81"/>
            <rFont val="Tahoma"/>
            <family val="2"/>
            <charset val="186"/>
          </rPr>
          <t>KSP 2.1.2.14 Modernizuoti rytų–vakarų krypties gatvių tinklą:</t>
        </r>
        <r>
          <rPr>
            <sz val="9"/>
            <color indexed="81"/>
            <rFont val="Tahoma"/>
            <family val="2"/>
            <charset val="186"/>
          </rPr>
          <t xml:space="preserve">
 rekonstruoti Joniškės g.;
 nutiesti Statybininkų pr. tęsinį nuo Šilutės pl. per LEZ teritoriją iki 141 kelio;
 rekonstruoti Klemiškės g.;
 įrengti Kauno gatvės tęsinį iki Palangos plento
</t>
        </r>
      </text>
    </comment>
    <comment ref="D62" authorId="1" shapeId="0">
      <text>
        <r>
          <rPr>
            <b/>
            <sz val="9"/>
            <color indexed="81"/>
            <rFont val="Tahoma"/>
            <family val="2"/>
            <charset val="186"/>
          </rPr>
          <t>Indre Buteniene:</t>
        </r>
        <r>
          <rPr>
            <sz val="9"/>
            <color indexed="81"/>
            <rFont val="Tahoma"/>
            <family val="2"/>
            <charset val="186"/>
          </rPr>
          <t xml:space="preserve">
Ūkio komiteto protokolas</t>
        </r>
      </text>
    </comment>
    <comment ref="E64" authorId="0" shapeId="0">
      <text>
        <r>
          <rPr>
            <b/>
            <sz val="10"/>
            <color indexed="81"/>
            <rFont val="Tahoma"/>
            <family val="2"/>
            <charset val="186"/>
          </rPr>
          <t xml:space="preserve">KSP 2.2.1.2. Plėtoti bendrus poreikius atitinkančią susisiekimo infrastruktūrą:
</t>
        </r>
        <r>
          <rPr>
            <sz val="10"/>
            <color indexed="81"/>
            <rFont val="Tahoma"/>
            <family val="2"/>
            <charset val="186"/>
          </rPr>
          <t xml:space="preserve"> parengti galimybių studiją ir projektinius pasiūlymus dėl Švyturio g. rekonstrukcijos;
 modernizuoti Klaipėdos valstybinio jūrų uosto centrinio įvado jungtį rekonstruojant Baltijos pr. su žiedinėmis sankryžomis;
 įrengti dviejų lygių sankryžą tarp Vilniaus g. ir Pramonės g.;
 nutiesti pietinę jungtį tarp Klaipėdos valstybinio jūrų uosto ir IXB transporto koridoriaus
</t>
        </r>
        <r>
          <rPr>
            <sz val="9"/>
            <color indexed="81"/>
            <rFont val="Tahoma"/>
            <family val="2"/>
            <charset val="186"/>
          </rPr>
          <t xml:space="preserve">
</t>
        </r>
      </text>
    </comment>
    <comment ref="E76" authorId="0" shapeId="0">
      <text>
        <r>
          <rPr>
            <b/>
            <sz val="9"/>
            <color indexed="81"/>
            <rFont val="Tahoma"/>
            <family val="2"/>
            <charset val="186"/>
          </rPr>
          <t xml:space="preserve">KSP 2.1.2.3 </t>
        </r>
        <r>
          <rPr>
            <sz val="9"/>
            <color indexed="81"/>
            <rFont val="Tahoma"/>
            <family val="2"/>
            <charset val="186"/>
          </rPr>
          <t xml:space="preserve">
Formuoti patogų gyventojams viešojo transporto tinklą, jį optimizuojant atsižvelgus į reguliarių keleivių srautų tyrimus</t>
        </r>
      </text>
    </comment>
    <comment ref="E110" authorId="0" shapeId="0">
      <text>
        <r>
          <rPr>
            <b/>
            <sz val="9"/>
            <color indexed="81"/>
            <rFont val="Tahoma"/>
            <family val="2"/>
            <charset val="186"/>
          </rPr>
          <t>KSP 2.1.2.10</t>
        </r>
        <r>
          <rPr>
            <sz val="9"/>
            <color indexed="81"/>
            <rFont val="Tahoma"/>
            <family val="2"/>
            <charset val="186"/>
          </rPr>
          <t xml:space="preserve"> Parengti ir įdiegti koordinuotą šviesoforų reguliavimo ir valdymo sistemą 
</t>
        </r>
      </text>
    </comment>
    <comment ref="K115" authorId="0" shapeId="0">
      <text>
        <r>
          <rPr>
            <sz val="9"/>
            <color indexed="81"/>
            <rFont val="Tahoma"/>
            <family val="2"/>
            <charset val="186"/>
          </rPr>
          <t>Iki 2014 m. buvo eksplotuojami 3 greičio matuokliai, 2015 m. bus papildomai įsigyti naujos kartos greičio matuokliai su galimybe skaityti transporto priemones</t>
        </r>
      </text>
    </comment>
    <comment ref="E120" authorId="0" shapeId="0">
      <text>
        <r>
          <rPr>
            <b/>
            <sz val="9"/>
            <color indexed="81"/>
            <rFont val="Tahoma"/>
            <family val="2"/>
            <charset val="186"/>
          </rPr>
          <t>KSP 2.1.2.2..</t>
        </r>
        <r>
          <rPr>
            <sz val="9"/>
            <color indexed="81"/>
            <rFont val="Tahoma"/>
            <family val="2"/>
            <charset val="186"/>
          </rPr>
          <t xml:space="preserve">
Plėtoti viešojo ir privataus transporto sąveikos sistemą įrengiant transporto priemonių laikymo aikšteles</t>
        </r>
      </text>
    </comment>
  </commentList>
</comments>
</file>

<file path=xl/sharedStrings.xml><?xml version="1.0" encoding="utf-8"?>
<sst xmlns="http://schemas.openxmlformats.org/spreadsheetml/2006/main" count="551" uniqueCount="316">
  <si>
    <t>Uždavinio kodas</t>
  </si>
  <si>
    <t>Priemonės kodas</t>
  </si>
  <si>
    <t>Priemonės požymis</t>
  </si>
  <si>
    <t>Asignavimų valdytojo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</si>
  <si>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</si>
  <si>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</si>
  <si>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</si>
  <si>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</si>
  <si>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</si>
  <si>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</si>
  <si>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</si>
  <si>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</si>
  <si>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</si>
  <si>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</si>
  <si>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</si>
  <si>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</si>
  <si>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t xml:space="preserve">                              Pavadinimas</t>
  </si>
  <si>
    <t>Asignavimų valdytojų kodų klasifikatorius*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</si>
  <si>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</si>
  <si>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</si>
  <si>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</si>
  <si>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</si>
  <si>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</si>
  <si>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</si>
  <si>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</si>
  <si>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</si>
  <si>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</si>
  <si>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</si>
  <si>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</si>
  <si>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</si>
  <si>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</si>
  <si>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</si>
  <si>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06 Susisiekimo sistemos priežiūros ir plėtros programa</t>
  </si>
  <si>
    <t>03</t>
  </si>
  <si>
    <t>Didinti gatvių tinklo pralaidumą ir užtikrinti jų tankumą</t>
  </si>
  <si>
    <t>Rekonstruoti ir tiesti gatves</t>
  </si>
  <si>
    <t xml:space="preserve"> Užtikrinti patogios viešojo transporto sistemos funkcionavimą</t>
  </si>
  <si>
    <t>04</t>
  </si>
  <si>
    <t>Diegti eismo srautų reguliavimo ir saugumo priemones</t>
  </si>
  <si>
    <t>05</t>
  </si>
  <si>
    <t>Atlikti kasmetinius miesto susisiekimo infrastruktūros objektų priežiūros ir įrengimo darbus</t>
  </si>
  <si>
    <t>06</t>
  </si>
  <si>
    <t>07</t>
  </si>
  <si>
    <t>6</t>
  </si>
  <si>
    <t>Eksploatuojama šviesoforų, vnt.</t>
  </si>
  <si>
    <t>Mokamo automobilių stovėjimo sistemos mieste sukūrimas ir išlaikymas</t>
  </si>
  <si>
    <t>Tiltų ir kelio statinių priežiūra</t>
  </si>
  <si>
    <t>Suremontuota šaligatvių, ha</t>
  </si>
  <si>
    <t>Suremontuota asfaltbetonio dangos duobių kiemuose, ha</t>
  </si>
  <si>
    <t>Suremontuota asfaltbetonio dangos duobių gatvėse, ha</t>
  </si>
  <si>
    <t>Parduota lengvatinių bilietų, mln. vnt.</t>
  </si>
  <si>
    <t>Viešojo transporto priežiūros ir paslaugų kokybės kontroliavimas</t>
  </si>
  <si>
    <t>Subsidijuojami maršrutai, vnt.</t>
  </si>
  <si>
    <t>5</t>
  </si>
  <si>
    <t>ES</t>
  </si>
  <si>
    <t>Kt</t>
  </si>
  <si>
    <t>Parengtas techninis projektas, vnt.</t>
  </si>
  <si>
    <t>SB(P)</t>
  </si>
  <si>
    <t>I</t>
  </si>
  <si>
    <t>KVJUD</t>
  </si>
  <si>
    <t>Automatinės eismo priežiūros prietaisų nuoma</t>
  </si>
  <si>
    <t>Centrinės miesto dalies gatvių tinklo modernizavimas:</t>
  </si>
  <si>
    <t>Šiaurinės miesto dalies gatvių tinklo modernizavimas:</t>
  </si>
  <si>
    <t>Pajūrio rekreacinių teritorijų gatvių tinklo modernizavimas:</t>
  </si>
  <si>
    <t>Transporto kompensacijų mokėjimas:</t>
  </si>
  <si>
    <t>Asfaltuotų daugiabučių kiemų dangų remontas</t>
  </si>
  <si>
    <t>Asfaltbetonio dangos, žvyruotos dangos ir akmenimis grįstų gatvių  dangos remontas</t>
  </si>
  <si>
    <t>Miesto gatvių ir daugiabučių namų kiemų dangos remontas:</t>
  </si>
  <si>
    <t>Keleivinio transporto stotelių su įvažomis Klaipėdos miesto gatvėse projektavimas ir įrengimas</t>
  </si>
  <si>
    <t>Patikrinta viešojo transporto priemonių, tūkst. vnt.</t>
  </si>
  <si>
    <t>Prižiūrima tiltų ir viadukų, vnt.</t>
  </si>
  <si>
    <t>Parengta techninių projektų, vnt.</t>
  </si>
  <si>
    <t>1</t>
  </si>
  <si>
    <t>Viešojo transporto paslaugų organizavimas:</t>
  </si>
  <si>
    <t>Smeltės gyvenvietės gatvių kapitalinis remontas</t>
  </si>
  <si>
    <t xml:space="preserve">Iš viso  programai:  </t>
  </si>
  <si>
    <t>Klaipėdos miesto gatvių pėsčiųjų perėjų kryptingas apšvietimas</t>
  </si>
  <si>
    <t>Pajūrio g. rekonstravimas</t>
  </si>
  <si>
    <t>Pamario gatvės rekonstravimas</t>
  </si>
  <si>
    <t>SB(L)</t>
  </si>
  <si>
    <t>Strateginis tikslas 02. Kurti mieste patrauklią, švarią ir saugią gyvenamąją aplinką</t>
  </si>
  <si>
    <t>Miesto gatvių saugaus eismo priemonių eksploatacija ir įrengimas</t>
  </si>
  <si>
    <t>Miesto gatvių ženklinimas</t>
  </si>
  <si>
    <t>Prižiūrima žvyruotos dangos, ha</t>
  </si>
  <si>
    <t>Maršrutų skaičius, vnt.</t>
  </si>
  <si>
    <t>Eksploatuojama prietaisų, vnt.</t>
  </si>
  <si>
    <t>SB(VR)</t>
  </si>
  <si>
    <r>
      <t xml:space="preserve">Vietinių rinkliavų lėšos </t>
    </r>
    <r>
      <rPr>
        <b/>
        <sz val="10"/>
        <rFont val="Times New Roman"/>
        <family val="1"/>
        <charset val="186"/>
      </rPr>
      <t>SB(VR)</t>
    </r>
  </si>
  <si>
    <t>Bendri KVJUD ir miesto projektai:</t>
  </si>
  <si>
    <t>SB(VRL)</t>
  </si>
  <si>
    <r>
      <t xml:space="preserve">Vietinių rinkliavų likučio lėšos </t>
    </r>
    <r>
      <rPr>
        <b/>
        <sz val="10"/>
        <rFont val="Times New Roman"/>
        <family val="1"/>
        <charset val="186"/>
      </rPr>
      <t>SB(VRL)</t>
    </r>
  </si>
  <si>
    <t>P7</t>
  </si>
  <si>
    <t>P2.1.2.9</t>
  </si>
  <si>
    <t>P2.1.2.2</t>
  </si>
  <si>
    <t>P9</t>
  </si>
  <si>
    <t>Tilto per Danės upę Pilies gatvėje, Klaipėdoje, kapitalinis remontas</t>
  </si>
  <si>
    <t>Topografinių nuotraukų, išpildomųjų geodezinių nuotraukų įsigijimas, statinių projektų ekspertizių bei kitos inžinerinės paslaugos</t>
  </si>
  <si>
    <t>Nuostolių dėl keleivių vežimo vietinio ir priemiestinio reguliaraus susisiekimo autobusų maršrutais kompensavimas</t>
  </si>
  <si>
    <t xml:space="preserve"> - profesinių mokyklų moksleiviams</t>
  </si>
  <si>
    <t>Eksploatuojama eismo reguliavimo priemonių, tūkst. vnt. (sudaro 65 % visų priemonių)</t>
  </si>
  <si>
    <t>Įrengta ir pakeista informacinių ženklų, tūkst. vnt.</t>
  </si>
  <si>
    <t>Parengtas techninis projektas, vnt.
Atlikti gatvės (600 m) ir žiedinės sankryžos rekonstravimo darbai. 
Užbaigtumas, proc.</t>
  </si>
  <si>
    <t>2017-ųjų m. lėšų poreikis</t>
  </si>
  <si>
    <t>Suženklinta gatvių, ha</t>
  </si>
  <si>
    <t>Eksploatuojama greičio matuoklių, vnt.</t>
  </si>
  <si>
    <r>
      <t xml:space="preserve">Kombinuotų kelionių jungčių (PARK&amp;RIDE) įrengimas </t>
    </r>
    <r>
      <rPr>
        <sz val="10"/>
        <rFont val="Times New Roman"/>
        <family val="1"/>
        <charset val="186"/>
      </rPr>
      <t>(šiaurinėje miesto dalyje)</t>
    </r>
  </si>
  <si>
    <t>Kompensuota bilietų mokykloms, vnt.</t>
  </si>
  <si>
    <t>Kompensuota bilietų profesinėms mokykloms, vnt.</t>
  </si>
  <si>
    <t>Parengtas paviljono su aikštele techninis projektas, vnt.</t>
  </si>
  <si>
    <t>Įrengti elektromobilių greito įkrovimo įrenginiai, vnt.</t>
  </si>
  <si>
    <t>Įrengta viešojo transporto švieslentė, vnt.</t>
  </si>
  <si>
    <t>6,7</t>
  </si>
  <si>
    <t>Ištisinio asfaltbetonio dangos įrengimas miesto gatvėse:</t>
  </si>
  <si>
    <t>Įsigyta kelio vaizdo (esamų eismo saugumo priemonių įkėlimas į sistemą) internetinė programa, vnt.</t>
  </si>
  <si>
    <t>Medžiagų tyrimas ir kontroliniai bandymai</t>
  </si>
  <si>
    <t>Įrengta neregių vedimo sistemos priemonių, vnt.</t>
  </si>
  <si>
    <t>3</t>
  </si>
  <si>
    <t>1/1</t>
  </si>
  <si>
    <t>Atlikta gatvės (366 m)  rekonstrukcija (II etapas). Užbaigtumas, proc.</t>
  </si>
  <si>
    <t>2.1.2.14</t>
  </si>
  <si>
    <t>Laikino tilto per Danės upę įrengimas ir priežiūra</t>
  </si>
  <si>
    <t xml:space="preserve">Tauralaukio gyvenvietės gatvių (Akmenų g., Smėlio g., Vėjo g., Debesų g., Žvaigždžių g.) rekonstravimas </t>
  </si>
  <si>
    <t>Parengtas techn. projektas, vnt.</t>
  </si>
  <si>
    <t>Atliekami gatvių dangų, konstruktyvo ir betoninių gaminių kontroliniai bandymai, proc.</t>
  </si>
  <si>
    <t>2.1.2.11</t>
  </si>
  <si>
    <t>2.1.2.15</t>
  </si>
  <si>
    <t>2.1.2.13</t>
  </si>
  <si>
    <t>2.1.2.2</t>
  </si>
  <si>
    <t>2.1.2.12</t>
  </si>
  <si>
    <t>Veterinarijos gatvės rekonstravimas</t>
  </si>
  <si>
    <t>P2.1.2.10</t>
  </si>
  <si>
    <t xml:space="preserve">Parengtas techninis projektas, vnt. 
</t>
  </si>
  <si>
    <t xml:space="preserve">Savivaldybės biudžetas, iš jo: </t>
  </si>
  <si>
    <t>08</t>
  </si>
  <si>
    <t>Automobilių laikymo aikštelių įrengimas:</t>
  </si>
  <si>
    <t>1
100</t>
  </si>
  <si>
    <t>Suremontuotų kiemų ir privažiavimo kelių, skaičius</t>
  </si>
  <si>
    <t>Eismo srautų reguliavimo techninės  dokumentacijos parengimas:</t>
  </si>
  <si>
    <t>2015 m. asignavimų planas</t>
  </si>
  <si>
    <t>Atlikti žvalgomieji archeologiniai tyrimai, proc.</t>
  </si>
  <si>
    <t xml:space="preserve">Parengtas techninis projektas, vnt. </t>
  </si>
  <si>
    <t>Bastionų g. ir naujo tilto su pakeliamu mechanizmu per Danę statyba ir prieigų sutvarkymas šiaurinėje Danės pakrantėje:</t>
  </si>
  <si>
    <t>Danės g. rekonstravimo (siekiant racionaliai suplanuoti jungtis su Bastionų g. ir nauju tiltu per Danės upę) priešprojektinių sprendinių parengimas</t>
  </si>
  <si>
    <t>Tomo gatvės rekonstravimas</t>
  </si>
  <si>
    <t>Stadiono g. ruožo tarp Malūnininkų g. 13 ir Stadiono g. 5 remontas</t>
  </si>
  <si>
    <t>Klaipėdos g. ruožo tarp Uosių ir Virkučių g. kapitalinis remontas</t>
  </si>
  <si>
    <t>Dailidžių g. akligatvio kapitalinis remontas</t>
  </si>
  <si>
    <t>Parengti priešprojektiniai sprendiniai, vnt.</t>
  </si>
  <si>
    <t>Parengtas techninis projektas, vnt.
Išasfaltuota 300 m gatvės su pėsčiųjų ir dviračių takais, proc.</t>
  </si>
  <si>
    <t>Parengtas techninis projektas, vnt.
Išasfaltuota 200 m gatvės, proc.</t>
  </si>
  <si>
    <t>Parengtas techninis projektas, vnt.
Išasfaltuota 75 m gatvės, proc.</t>
  </si>
  <si>
    <t>Parengtas techninis projektas, vnt. Rekonstruota gatvė (800 m).
Užbaigtumas proc.</t>
  </si>
  <si>
    <t>Parengtas II etapo techninis projektas, vnt.</t>
  </si>
  <si>
    <t>I etape nutiestos gatvės ilgis (571 m). Užbaigtumas, proc.</t>
  </si>
  <si>
    <t xml:space="preserve">Remontuojama tilto ilgis – 37,4 m.  
Užbaigtumas, proc. </t>
  </si>
  <si>
    <t>techninio projekto parengimas (iki 2017 m.)</t>
  </si>
  <si>
    <t>P2 .1.2.3</t>
  </si>
  <si>
    <t>Eur</t>
  </si>
  <si>
    <t>Rekonstruotos kvartalo gatvės – 653 m: Upelio g. (212,0 m), Skirvytės g. (288,9 m), Dusetų g. (152,1 m). Užbaigtumas, proc.</t>
  </si>
  <si>
    <t>Patikslintas detalusis planas, vnt. / patikslintas tech. projektas, vnt.</t>
  </si>
  <si>
    <r>
      <t>Automobilių aikštelių (rinkliavai) horizontalus ženklinimas, m</t>
    </r>
    <r>
      <rPr>
        <sz val="10"/>
        <rFont val="Calibri"/>
        <family val="2"/>
        <charset val="186"/>
      </rPr>
      <t>²</t>
    </r>
  </si>
  <si>
    <t>Rytų ir vakarų krypties gatvių tinklo modernizavimas:</t>
  </si>
  <si>
    <t>Statybininkų prospekto tęsinio tiesimas nuo Šilutės pl. per LEZ teritoriją iki 141 kelio: I etapas – Lypkių gatvės tiesimas</t>
  </si>
  <si>
    <t>Pietinės jungties tarp Klaipėdos valstybinio jūrų uosto ir IXB transporto koridoriaus techninės dokumentacijos parengimas</t>
  </si>
  <si>
    <t>Nuostolingų maršrutų subsidijavimas priemiesčio maršrutus aptarnaujantiems vežėjams (s. b. „Dituva“, s. b. „Tolupis“, s. b. „Vaiteliai“–„Rasa“)</t>
  </si>
  <si>
    <t>Pėsčiųjų, šaligatvių bei privažiuojamųjų kelių remonto bei įrengimo darbai, automobilių stovėjimo vietų įrengimas</t>
  </si>
  <si>
    <t>Saugaus miesto susisiekimo infrastruktūros objektų priežiūros ir įrengimo darbų atlikimas</t>
  </si>
  <si>
    <t>Įrengtas įvažiavimas, proc.</t>
  </si>
  <si>
    <t>Centrinio Klaipėdos valstybinio jūrų uosto įvado jungties  modernizavimas: Baltijos prospekto ir Minijos gatvės sankryžos rekonstrukcija (I etapas)</t>
  </si>
  <si>
    <t>Rekonstruota sankryža  (atlikti I etapo darbai). Užbaigtumas, proc.</t>
  </si>
  <si>
    <t>Automobilių stovėjimo aikštelės teritorijoje Pilies g. 2A įrengimas</t>
  </si>
  <si>
    <t>SB(ŽPL)</t>
  </si>
  <si>
    <r>
      <t xml:space="preserve">Žemės pardavimų likučio lėšos </t>
    </r>
    <r>
      <rPr>
        <b/>
        <sz val="10"/>
        <rFont val="Times New Roman"/>
        <family val="1"/>
        <charset val="186"/>
      </rPr>
      <t>SB(ŽPL)</t>
    </r>
  </si>
  <si>
    <r>
      <t xml:space="preserve">Programų lėšų likučių laikinai laisvos lėšos </t>
    </r>
    <r>
      <rPr>
        <b/>
        <sz val="10"/>
        <rFont val="Times New Roman"/>
        <family val="1"/>
        <charset val="186"/>
      </rPr>
      <t>SB(L)</t>
    </r>
  </si>
  <si>
    <t>Tilžės g. nuo Šilutės pl. iki geležinkelio pervažos rekonstravimas, pertvarkant  žiedinę Mokyklos g. ir Šilutės pl. sankryžą (audito atlikimas)</t>
  </si>
  <si>
    <t>Atlikta gatvės (280 m) rekonstrukcija (I etapas). Užbaigtumas, proc.</t>
  </si>
  <si>
    <t xml:space="preserve">Rokiškio g. rekonstravimas </t>
  </si>
  <si>
    <t>Paklotų oro linijų požeminiais kabeliais. Užbaigtumas proc.</t>
  </si>
  <si>
    <t>SB(KPP)</t>
  </si>
  <si>
    <t>2</t>
  </si>
  <si>
    <t>Įrengta saugumo salelė, vnt.</t>
  </si>
  <si>
    <t>17</t>
  </si>
  <si>
    <r>
      <t xml:space="preserve">Kelių priežiūros ir plėtros programos lėšos </t>
    </r>
    <r>
      <rPr>
        <b/>
        <sz val="10"/>
        <rFont val="Times New Roman"/>
        <family val="1"/>
        <charset val="186"/>
      </rPr>
      <t>SB</t>
    </r>
    <r>
      <rPr>
        <sz val="10"/>
        <rFont val="Times New Roman"/>
        <family val="1"/>
        <charset val="186"/>
      </rPr>
      <t>(</t>
    </r>
    <r>
      <rPr>
        <b/>
        <sz val="10"/>
        <rFont val="Times New Roman"/>
        <family val="1"/>
        <charset val="186"/>
      </rPr>
      <t>KPP)</t>
    </r>
  </si>
  <si>
    <t>Paklota ištisinio asfaltbetonio dangos, (ha)</t>
  </si>
  <si>
    <t>Smiltelės g. ruože nuo Šilutės plento iki Taikos prospekto;</t>
  </si>
  <si>
    <t>Pilies g. ruože nuo Žvejų g. iki Daržų g;</t>
  </si>
  <si>
    <t xml:space="preserve">Kitų automobilių stovėjimo aikštelių įrengimas </t>
  </si>
  <si>
    <t>Naujosios Uosto g. ruože nuo Naujojo Sodo g. iki Gegužės g.;</t>
  </si>
  <si>
    <t>Parengtas investicijų projektas, vnt.</t>
  </si>
  <si>
    <t>Parengtas investicijų projektas, vnt.
Atlikti gatvės (600 m) ir žiedinės sankryžos rekonstravimo darbai. 
Užbaigtumas, proc.</t>
  </si>
  <si>
    <t>Įrengta aikštelė, proc.</t>
  </si>
  <si>
    <t>Įrengta naujų apšvietimo atramų su šviestuvais  S. Šimkaus g., vnt.</t>
  </si>
  <si>
    <t>Kiemų ir privažiuojamųjų kelių prie biudžetinių įstaigų sutvarkymas</t>
  </si>
  <si>
    <t>Akmenos-Danės upės vidaus vandens kelio administravimas</t>
  </si>
  <si>
    <t>Programos tikslo kodas</t>
  </si>
  <si>
    <t>Asignavimai (Eur)</t>
  </si>
  <si>
    <t>Vertinimo kriterijaus</t>
  </si>
  <si>
    <t>Informacija apie pasiektus rezultatus, duomenys apie programai skirtų asignavimų panaudojimo tikslingumą</t>
  </si>
  <si>
    <t>Priežastys, dėl kurių planuotos rodiklių reikšmės nepasiektos</t>
  </si>
  <si>
    <t>2015 m. asignavimų patvirtintas planas*</t>
  </si>
  <si>
    <t>2015 m. asignavimų patikslintas planas**</t>
  </si>
  <si>
    <t>2015 m. panaudotos lėšos (kasinės išlaidos)</t>
  </si>
  <si>
    <t>planuotos reikšmės</t>
  </si>
  <si>
    <t xml:space="preserve">STRATEGINIO VEIKLOS PLANO VYKDYMO ATASKAITA </t>
  </si>
  <si>
    <t>faktinės  reikšmės</t>
  </si>
  <si>
    <t>Urbanistinės plėtros departamentas GIS skyrius</t>
  </si>
  <si>
    <t>Gatvių su asfalto danga ilgis, palyginti su bendru gatvių ilgiu, proc.</t>
  </si>
  <si>
    <t>Gatvių tankis, km/kv. km</t>
  </si>
  <si>
    <t>Miesto ūkio departamentas</t>
  </si>
  <si>
    <t>Autobusų, kurių amžius neviršija 15 metų, dalis miesto viešajame transporte, proc.</t>
  </si>
  <si>
    <t>Gatvių, kuriomis važinėja viešasis transportas, ilgis, km</t>
  </si>
  <si>
    <t>SUSISIEKIMO SISTEMOS PRIEŽIŪROS IR PLĖTROS PROGRAMOS (NR. 06)</t>
  </si>
  <si>
    <t>ĮVYKDYMO ATASKAITA</t>
  </si>
  <si>
    <r>
      <t xml:space="preserve">Asignavimų valdytojai: </t>
    </r>
    <r>
      <rPr>
        <sz val="12"/>
        <rFont val="Times New Roman"/>
        <family val="1"/>
        <charset val="186"/>
      </rPr>
      <t>Investicijų ir ekonomikos departamentas (5), Miesto ūkio departamentas (6).</t>
    </r>
  </si>
  <si>
    <r>
      <rPr>
        <b/>
        <sz val="12"/>
        <rFont val="Times New Roman"/>
        <family val="1"/>
        <charset val="186"/>
      </rPr>
      <t xml:space="preserve">Programą vykdė: </t>
    </r>
    <r>
      <rPr>
        <sz val="12"/>
        <rFont val="Times New Roman"/>
        <family val="1"/>
        <charset val="186"/>
      </rPr>
      <t>Miesto ūkio departamentas (Miesto tvarkymo skyrius, Transporto skyrius), Investicijų ir ekonomikos departamentas (Statybos ir infrastruktūros plėtros ir Projektų  skyriai), Viešosios tvarkos skyrius.</t>
    </r>
  </si>
  <si>
    <t>faktiškai įvykdyta</t>
  </si>
  <si>
    <t>–</t>
  </si>
  <si>
    <t>(pagal planą arba geriau);</t>
  </si>
  <si>
    <t>iš dalies įvykdyta</t>
  </si>
  <si>
    <r>
      <rPr>
        <b/>
        <sz val="12"/>
        <rFont val="Times New Roman"/>
        <family val="1"/>
        <charset val="186"/>
      </rPr>
      <t>Pastaba</t>
    </r>
    <r>
      <rPr>
        <sz val="12"/>
        <rFont val="Times New Roman"/>
        <family val="1"/>
        <charset val="186"/>
      </rPr>
      <t>.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</si>
  <si>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</si>
  <si>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</si>
  <si>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</si>
  <si>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t>2015 m. SVP programos Nr. 06 įvykdymas</t>
  </si>
  <si>
    <r>
      <rPr>
        <b/>
        <sz val="12"/>
        <rFont val="Times New Roman"/>
        <family val="1"/>
        <charset val="186"/>
      </rPr>
      <t xml:space="preserve">Iš 2015 m. </t>
    </r>
    <r>
      <rPr>
        <sz val="12"/>
        <rFont val="Times New Roman"/>
        <family val="1"/>
        <charset val="186"/>
      </rPr>
      <t xml:space="preserve">planuotos įvykdyti 21 priemonės (kurioms patvirtinti / skirti asignavimai): </t>
    </r>
  </si>
  <si>
    <t xml:space="preserve">2015 M. KLAIPĖDOS MIESTO SAVIVALDYBĖS </t>
  </si>
  <si>
    <t>0,8</t>
  </si>
  <si>
    <t>Ženklinta pagal poreikį (pagal pateiktas schemas)</t>
  </si>
  <si>
    <t>9,0</t>
  </si>
  <si>
    <t>3,9</t>
  </si>
  <si>
    <t>15,8</t>
  </si>
  <si>
    <t>Parengtas techninis projektas</t>
  </si>
  <si>
    <t>Patvirtintas detalusis planas</t>
  </si>
  <si>
    <t>2015 m. paskelbtas konkursas techniniam projektui parengti. Parinktas rangovas. Pasirašyta sutartis</t>
  </si>
  <si>
    <t>Pradėti II etapo darbai</t>
  </si>
  <si>
    <t>Parengtas techninis projektas, rekonstruota 220 m gatvės</t>
  </si>
  <si>
    <t>Parengtas techninis projektas, vnt.
Rekonstruota gatvė (300 m).
Užbaigtumas, proc.</t>
  </si>
  <si>
    <t>Parengtas techninis projektas, kapitališkai suremontuota 92 m gatvės</t>
  </si>
  <si>
    <t>1/0,5</t>
  </si>
  <si>
    <t xml:space="preserve">Parengtas techninis projektas, vnt.             </t>
  </si>
  <si>
    <t>Parengtas techninis projektas, atlikta ekspertizė</t>
  </si>
  <si>
    <t xml:space="preserve">Parengtas techninis projektas, atlikta ekspertizė, atliktas kelių saugumo auditas. Darbai suplanuoti 2016 m. </t>
  </si>
  <si>
    <t>Medžiagų tyrimui ir kontroliniams bandymams atlikti nebuvo poreikio</t>
  </si>
  <si>
    <t>Įrengta ir pakeista 837 vnt. kelio ženklų, 223 vnt. apsauginių tvorelių ir 923 m apsauginių kelio atitvarų. Suremontuota 117 m apsauginių kelio atitvarų ir 206 vnt. apsauginių tvorelių</t>
  </si>
  <si>
    <t xml:space="preserve">Įrengta 93 kv. m įspėjamosios dangos </t>
  </si>
  <si>
    <t>Neįgaliųjų socialinės integracijos priemonė.  Neregių vedimo sistemų įrengimas Minijos g. ruože nuo Jūrininkų pr. iki Sulupės g.</t>
  </si>
  <si>
    <t>Buvo atlikti požeminių kabelinių linijų ir šviesoforų atramų įrengimo darbai su projektavimu H. Manto ir S. Daukanto sankryžoje. Šviesoforai įrengti 2016 m. pradžioje</t>
  </si>
  <si>
    <t xml:space="preserve">Planuotas rodiklis pasiektas iš dalies, nes užsitęsė viešųjų pirkimų procedūros dėl 2 papildomų greičio matuoklių nuomos. Buvo apskųstos pirkimo sąlygos ir vyko teisminiai ginčai </t>
  </si>
  <si>
    <t>Sukurta kelio ženklų geoinformacinių sistemų duomenų bazė</t>
  </si>
  <si>
    <t>Suremontuota gatvių akmens grindinio dangos, ha</t>
  </si>
  <si>
    <t>(blogiau, nei planuota).</t>
  </si>
  <si>
    <r>
      <t xml:space="preserve">2015-10-29 tarybos sprendimu Nr. T2-265 </t>
    </r>
    <r>
      <rPr>
        <sz val="10"/>
        <rFont val="Times New Roman"/>
        <family val="1"/>
        <charset val="186"/>
      </rPr>
      <t>nuspręsta priemonės vykdymą planuoti 2016 m.</t>
    </r>
  </si>
  <si>
    <t>Projektavimo paslaugų sutartis buvo pasirašyta 2015-10-26, nes užsitęsė viešųjų pirkimų procedūros dėl pretenzijų nagrinėjimo bei teisminių ginčų. Nebuvo panaudotos lėšos</t>
  </si>
  <si>
    <t>Užsitęsus viešųjų pirkimų procedūroms, konkursas techniniam projektui parengti buvo paskelbtas 2015 m. lapkričio mėn.  Nebuvo panaudotos lėšos</t>
  </si>
  <si>
    <t>Neapmokėta už projekto ekspertizę</t>
  </si>
  <si>
    <t xml:space="preserve">Techninis projektas neparengtas dėl užsitęsusios dokumentacijos rengimo (prisijungimo sąlygų išdavimo) ir užsitęsusių viešųjų pirkimų procedūrų  </t>
  </si>
  <si>
    <t xml:space="preserve">Detalusis planas patvirtintas 2015-09-24, naujos projektavimo ir prisijungimo sąlygos išduotos 2015 m. pabaigoje. Techninis projektas tikslinamas pagal išduotas sąlygas. KVJUD lėšų nespėta panaudoti, jos bus panaudotos 2016 m. </t>
  </si>
  <si>
    <t>Pagal faktiškai pateiktas paraiškas išmokėta daugiau kompensacijų už bilietus, nei planuota</t>
  </si>
  <si>
    <t>Lėšos nepanaudotos ir buvo suplanuotos 2016 m., nes nebuvo apsispręsta dėl tikslių vietų, kur įrengti šviesoforais reguliuojamas perėjas</t>
  </si>
  <si>
    <t>Įrengta šviesoforais reguliuojamų perėjų, vnt.</t>
  </si>
  <si>
    <t>Dėl vėluojančių viešųjų pirkimų procedūrų nesudaryta darbų vykdymo sutartis su rangovu. Nepanaudotos lėšos perkeltos kitoms priemonėms vykdyti</t>
  </si>
  <si>
    <t xml:space="preserve"> I. Kanto g. 11–17 kiemo aikštelės atnaujinimo pirkimas buvo nutrauktas dėl per didelės kainos, lėšos perkeltos kitoms priemonėms vykdyti</t>
  </si>
  <si>
    <t>Parengtos techninės sąlygos, vnt.</t>
  </si>
  <si>
    <t>Teritorijos remontuotos pagal Ugdymo ir kultūros departamento pateiktą sąrašą:</t>
  </si>
  <si>
    <t>Techninio projekto parengimo paslauga buvo pasirašyta 2015-07-10, projektas bus parengtas 2016 m.</t>
  </si>
  <si>
    <t>Savanorių g. rekonstravimas</t>
  </si>
  <si>
    <t>Joniškės g. rekonstravimas (II etapas – nuo Klemiškės g. iki Liepų g., Šienpjovių g.)</t>
  </si>
  <si>
    <t>Techninio projekto parengimo paslauga buvo pasirašyta 2015-05-25, techninis projektas bus parengtas 2016-07-25</t>
  </si>
  <si>
    <t xml:space="preserve">Statybininkų prospekto tęsinio tiesimas nuo Šilutės pl. per LEZ teritoriją iki 141 kelio: II etapas – Lypkių gatvės ruožo nuo Šilutės plento tiesimas </t>
  </si>
  <si>
    <t xml:space="preserve">Įvažiavimo iš Lypkių g. į kelią Nr. 141 įrengimas </t>
  </si>
  <si>
    <t>Techninio projekto parengimo paslauga nebuvo nupirkta</t>
  </si>
  <si>
    <t>Techninį projektą parengė LEZ</t>
  </si>
  <si>
    <t xml:space="preserve">Tiesiosios g. (Rimkuose) rekonstravimas </t>
  </si>
  <si>
    <t>Neeksplotuojamų dviejų požeminių perėjų Šilutės pl. kapitalinis remontas</t>
  </si>
  <si>
    <t xml:space="preserve">Išmaniųjų transporto sistemų valdymo žaliosios bangos principu įgyvendinimas </t>
  </si>
  <si>
    <t>Privažiuojamojo kelio prie pastato Debreceno 48 g. tiesimas</t>
  </si>
  <si>
    <t>(SUSISIEKIMO SISTEMOS PRIEŽIŪROS IR PLĖTROS PROGRAMA (NR. 06))</t>
  </si>
  <si>
    <t xml:space="preserve"> - vežėjams už lengvatas turinčių keleivių vežimą;</t>
  </si>
  <si>
    <t xml:space="preserve"> - moksleiviams;</t>
  </si>
  <si>
    <t>pavadinimas</t>
  </si>
  <si>
    <t xml:space="preserve">Priemonė nepradėta vykdyti, nes nuspręsta pakeisti rodiklį, vietoje priešprojektinių sprendinių rengimo pradėti rengti rekonstrukcijos techninį projektą, kurio pradžia suplanuota 2017 m. </t>
  </si>
  <si>
    <r>
      <t>Įvykus viešųjų pirkimų konkursui dėl techn. projekto parengimo, paaiškėjo, kad mažiausia pasiūlyta kaina viršijo suplanuotas lėšas. Strateginio planavimo grupės posėdyje nuspręsta konkursą nutraukti, supaprastinti techninę užduotį ir darbus planuoti 2016 m.</t>
    </r>
    <r>
      <rPr>
        <b/>
        <sz val="10"/>
        <rFont val="Times New Roman"/>
        <family val="1"/>
        <charset val="186"/>
      </rPr>
      <t xml:space="preserve"> Savivaldybės tarybos 2015-10-29 sprendimu Nr. T2-265 nuspręsta priemonės vykdymą nukelti į 2016 m. </t>
    </r>
  </si>
  <si>
    <t xml:space="preserve">Techninis projektas pradėtas rengti. Atlikta 80 proc. parengimo darbų. Pagal planą techninis projektas bus baigtas rengti ir išduotas statybos leidimas 2016 m. </t>
  </si>
  <si>
    <t>Lėšos sutaupytos, nes darbai nupirkti pigiau, nei planuota</t>
  </si>
  <si>
    <t>Tarybos 2015-10-29 sprendimu Nr. T2-265 padidintas priemonės finansavimas, nes rengiant objekto techninę dokumentaciją padidėjo darbų apimtis (pagal gautas prisijungimo ir spec. sąlygas)</t>
  </si>
  <si>
    <t xml:space="preserve">Labrenciškių g., Martyno Jankaus g. rekonstravimas bei naujo kelio nuo Martyno Jankaus g.  iki Pamario g. tiesimas </t>
  </si>
  <si>
    <t>Parengtas techninis projektas, vnt.
Rekonstruota gatvė (4600 m) Užbaigtumas proc.</t>
  </si>
  <si>
    <t>Šiaurės ir pietų transporto koridorių gatvių tinklo modernizavimas:</t>
  </si>
  <si>
    <r>
      <rPr>
        <b/>
        <sz val="10"/>
        <rFont val="Times New Roman"/>
        <family val="1"/>
        <charset val="186"/>
      </rPr>
      <t>Tarybos 2015-10-29  sprendimu Nr. T2-265 nuspręsta priemonės vykdymą planuoti 2016 m.,</t>
    </r>
    <r>
      <rPr>
        <sz val="10"/>
        <rFont val="Times New Roman"/>
        <family val="1"/>
        <charset val="186"/>
      </rPr>
      <t xml:space="preserve"> nes užsitęsė dokumentacijos rengimas ir viešųjų pirkimų procedūros  </t>
    </r>
  </si>
  <si>
    <r>
      <rPr>
        <b/>
        <sz val="10"/>
        <rFont val="Times New Roman"/>
        <family val="1"/>
        <charset val="186"/>
      </rPr>
      <t xml:space="preserve">Tarybos 2015-09-27 sprendimu Nr. T2-213 </t>
    </r>
    <r>
      <rPr>
        <sz val="10"/>
        <rFont val="Times New Roman"/>
        <family val="1"/>
        <charset val="186"/>
      </rPr>
      <t>nuspręsta priemonės nevykdyti, nes pagal detaliojo plano sprendinius privažiavimo kelią prie sklypo privalo įrengti sklypo savininkas</t>
    </r>
  </si>
  <si>
    <r>
      <rPr>
        <b/>
        <sz val="10"/>
        <rFont val="Times New Roman"/>
        <family val="1"/>
        <charset val="186"/>
      </rPr>
      <t>Tarybos 2015-10-29  sprendimu Nr. T2-265</t>
    </r>
    <r>
      <rPr>
        <sz val="10"/>
        <rFont val="Times New Roman"/>
        <family val="1"/>
        <charset val="186"/>
      </rPr>
      <t xml:space="preserve"> nuspręsta priemonės vykdymą planuoti 2016 m.</t>
    </r>
  </si>
  <si>
    <r>
      <rPr>
        <b/>
        <sz val="10"/>
        <rFont val="Times New Roman"/>
        <family val="1"/>
        <charset val="186"/>
      </rPr>
      <t>Tarybos 2015-10-29 sprendimu Nr. T2-265</t>
    </r>
    <r>
      <rPr>
        <sz val="10"/>
        <rFont val="Times New Roman"/>
        <family val="1"/>
        <charset val="186"/>
      </rPr>
      <t xml:space="preserve"> nuspręsta priemonės vykdymą planuoti 2016 m., nes užsitęsė dokumentacijos rengimas ir viešųjų pirkimų procedūros  </t>
    </r>
  </si>
  <si>
    <r>
      <rPr>
        <b/>
        <sz val="10"/>
        <rFont val="Times New Roman"/>
        <family val="1"/>
        <charset val="186"/>
      </rPr>
      <t>Tarybos 2015-10-29 sprendimu Nr. T2-265 nuspręsta priemonės vykdymą planuoti 2016 m.</t>
    </r>
    <r>
      <rPr>
        <sz val="10"/>
        <rFont val="Times New Roman"/>
        <family val="1"/>
        <charset val="186"/>
      </rPr>
      <t xml:space="preserve">, nes užsitęsė dokumentacijos rengimas ir viešųjų pirkimų procedūros  </t>
    </r>
  </si>
  <si>
    <t xml:space="preserve">Lėšų suma didesnė, nei planuota, nes per metus nebuvo koreguotos KVJUD lėšų finansavimas. Suma susidarė dėl kreditorinio įsiskolinimo pagal sutartį </t>
  </si>
  <si>
    <r>
      <rPr>
        <b/>
        <sz val="10"/>
        <rFont val="Times New Roman"/>
        <family val="1"/>
        <charset val="186"/>
      </rPr>
      <t>Tarybos 2015-10-29 sprendimu Nr. T2-265 nuspręsta priemonės vykdymą planuoti 2016 m.,</t>
    </r>
    <r>
      <rPr>
        <sz val="10"/>
        <rFont val="Times New Roman"/>
        <family val="1"/>
        <charset val="186"/>
      </rPr>
      <t xml:space="preserve"> nes užsitęsė dokumentacijos rengimas ir viešųjų pirkimų procedūros  </t>
    </r>
  </si>
  <si>
    <t>2015 m. buvo ruošiama dokumentacija techninio projekto parengimui pirkti. Techninio projekto parengimo sutartis pasirašyta 2016-01-05</t>
  </si>
  <si>
    <t>Eksploatuojamų bilietų automatų skaičius</t>
  </si>
  <si>
    <t>Automobilių aikštelių (rinkliavai) įrengimas, skaičius</t>
  </si>
  <si>
    <t>Įrengta ištisinė danga aikštelėse Rumpiškės g. 5–6, Sausio 15-osios g. 15,  Pilies g. 3</t>
  </si>
  <si>
    <t>Dėl užsitęsusių viešųjų pirkimų procedūrų techninio projekto parengimas perkeltas į 2016 m.</t>
  </si>
  <si>
    <t>Dėl užsitęsusių viešųjų pirkimų procedūrų darbų vykdymas suplanuotas 2016 m.</t>
  </si>
  <si>
    <t>Paruošta detalių eismo matavimų ir eismo organizavimo planų sankryžose, vnt.</t>
  </si>
  <si>
    <t xml:space="preserve">Pakeista šviesoforų ir valdiklių sankryžose, vnt. </t>
  </si>
  <si>
    <t xml:space="preserve">Įrengta monitoringo sistema sankryžose, vnt. </t>
  </si>
  <si>
    <r>
      <rPr>
        <b/>
        <sz val="10"/>
        <rFont val="Times New Roman"/>
        <family val="1"/>
        <charset val="186"/>
      </rPr>
      <t xml:space="preserve">Tarybos 2015-10-29 sprendimu Nr. T2-265 nuspręsta priemonės vykdymą planuoti 2016 m. </t>
    </r>
    <r>
      <rPr>
        <sz val="10"/>
        <rFont val="Times New Roman"/>
        <family val="1"/>
        <charset val="186"/>
      </rPr>
      <t>Projektas bus įgyvendinamas pasinaudojant ES parama, todėl pirmiausia bus rengiami investicijų ir techniniai projektai</t>
    </r>
  </si>
  <si>
    <t>Pakeisti du papildomi šviestuvai  Vytauto g. ir ruože tarp S. Šimkaus ir H. Manto g.</t>
  </si>
  <si>
    <t>Įrengta automobilių aikštelių kt. miesto dalyse, skaičius</t>
  </si>
  <si>
    <t>Apšviesta pėsčiųjų perėjų, skaičius</t>
  </si>
  <si>
    <t>Ištisinio asfaltbetonio dangos remontas:</t>
  </si>
  <si>
    <t>Šiaurės prospekto ruože nuo Kretingos g. iki Prano Lideikio g.</t>
  </si>
  <si>
    <t>Paslaugos nupirktos pigiau, nei planuota, todėl darbų atlikta daugiau</t>
  </si>
  <si>
    <r>
      <t>Suremontuota S. Šimkaus g. šaligatvių, tūkst. m</t>
    </r>
    <r>
      <rPr>
        <vertAlign val="superscript"/>
        <sz val="10"/>
        <rFont val="Times New Roman"/>
        <family val="1"/>
        <charset val="186"/>
      </rPr>
      <t>2</t>
    </r>
  </si>
  <si>
    <r>
      <rPr>
        <b/>
        <i/>
        <sz val="10"/>
        <rFont val="Times New Roman"/>
        <family val="1"/>
        <charset val="186"/>
      </rPr>
      <t xml:space="preserve">11 lopšelių-darželių – </t>
    </r>
    <r>
      <rPr>
        <sz val="10"/>
        <rFont val="Times New Roman"/>
        <family val="1"/>
        <charset val="186"/>
      </rPr>
      <t xml:space="preserve">„Pingvinukas“ (Sausio 15-osios g. 13), „Pumpurėlis“ (Žardininkų g. 19), „Žemuogėlė“ (Statybininkų pr. 20), „Alksniukas“ (Alksnynės g. 23), „Papartėlis“ (Reikjaviko g. 5), „Vyturėlis“ (Vyturio g. 17), „Aitvarėlis“ (Laukininkų g. 54), „Ąžuoliukas“ (Mogiliovo g. 10), „Berželis“ (Mogiliovo g. 2), „Čiauškutė“ (Baltijos pr. 55), „Versmė“ (Kalnupės g. 6);
 </t>
    </r>
    <r>
      <rPr>
        <b/>
        <i/>
        <sz val="10"/>
        <rFont val="Times New Roman"/>
        <family val="1"/>
        <charset val="186"/>
      </rPr>
      <t xml:space="preserve">BĮ Neįgaliųjų centras </t>
    </r>
    <r>
      <rPr>
        <sz val="10"/>
        <rFont val="Times New Roman"/>
        <family val="1"/>
        <charset val="186"/>
      </rPr>
      <t xml:space="preserve">„Klaipėdos lakštutė“ (Panevėžio g. 2); 
</t>
    </r>
    <r>
      <rPr>
        <b/>
        <i/>
        <sz val="10"/>
        <rFont val="Times New Roman"/>
        <family val="1"/>
        <charset val="186"/>
      </rPr>
      <t>Socialinių paslaugų centras</t>
    </r>
    <r>
      <rPr>
        <sz val="10"/>
        <rFont val="Times New Roman"/>
        <family val="1"/>
        <charset val="186"/>
      </rPr>
      <t xml:space="preserve"> „Danė“ (Kretingos g. 44); 
</t>
    </r>
    <r>
      <rPr>
        <b/>
        <i/>
        <sz val="10"/>
        <rFont val="Times New Roman"/>
        <family val="1"/>
        <charset val="186"/>
      </rPr>
      <t>3 gimnazijos</t>
    </r>
    <r>
      <rPr>
        <sz val="10"/>
        <rFont val="Times New Roman"/>
        <family val="1"/>
        <charset val="186"/>
      </rPr>
      <t xml:space="preserve">  – „Aitvaro“ (Paryžiaus Komunos g. 14), „Aukuro“ (Statybininkų pr. 7), Vydūno (Sulupės g. 26);
</t>
    </r>
    <r>
      <rPr>
        <b/>
        <i/>
        <sz val="10"/>
        <rFont val="Times New Roman"/>
        <family val="1"/>
        <charset val="186"/>
      </rPr>
      <t>1 progimnazija</t>
    </r>
    <r>
      <rPr>
        <sz val="10"/>
        <rFont val="Times New Roman"/>
        <family val="1"/>
        <charset val="186"/>
      </rPr>
      <t xml:space="preserve">„Gabijos“ (Paryžiaus Komunos g. 18)
</t>
    </r>
  </si>
  <si>
    <t>Rekonstruota gatvė (1374 m).
Užbaigtumas, proc.</t>
  </si>
  <si>
    <t>* Pagal Klaipėdos miesto savivaldybės tarybos sprendimus: 2014-12-18 Nr. T2-336 ir 2015-02-19 Nr. T2-12</t>
  </si>
  <si>
    <t>** Pagal Klaipėdos miesto savivaldybės tarybos 2015 m. spalio 29 d. sprendimą Nr. T2-265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</si>
</sst>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t_-;\-* #,##0.00\ _L_t_-;_-* &quot;-&quot;??\ _L_t_-;_-@_-"/>
    <numFmt numFmtId="165" formatCode="0.0"/>
    <numFmt numFmtId="166" formatCode="#,##0.0"/>
  </numFmts>
  <fonts count="33"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b/>
      <sz val="8"/>
      <name val="Times New Roman"/>
      <family val="1"/>
      <charset val="186"/>
    </font>
    <font>
      <b/>
      <sz val="10"/>
      <name val="Times New Roman"/>
      <family val="1"/>
      <charset val="204"/>
    </font>
    <font>
      <sz val="9"/>
      <name val="Times New Roman"/>
      <family val="1"/>
      <charset val="186"/>
    </font>
    <font>
      <b/>
      <u/>
      <sz val="10"/>
      <name val="Times New Roman"/>
      <family val="1"/>
      <charset val="186"/>
    </font>
    <font>
      <sz val="10"/>
      <name val="Arial"/>
      <family val="2"/>
      <charset val="186"/>
    </font>
    <font>
      <sz val="9"/>
      <color indexed="81"/>
      <name val="Tahoma"/>
      <family val="2"/>
      <charset val="186"/>
    </font>
    <font>
      <b/>
      <sz val="9"/>
      <color indexed="81"/>
      <name val="Tahoma"/>
      <family val="2"/>
      <charset val="186"/>
    </font>
    <font>
      <b/>
      <sz val="9"/>
      <name val="Times New Roman"/>
      <family val="1"/>
      <charset val="186"/>
    </font>
    <font>
      <sz val="9"/>
      <name val="Arial"/>
      <family val="2"/>
      <charset val="186"/>
    </font>
    <font>
      <sz val="10"/>
      <name val="Times New Roman"/>
      <family val="1"/>
    </font>
    <font>
      <sz val="10"/>
      <color rgb="FFFF0000"/>
      <name val="Times New Roman"/>
      <family val="1"/>
      <charset val="186"/>
    </font>
    <font>
      <sz val="7"/>
      <name val="Times New Roman"/>
      <family val="1"/>
      <charset val="186"/>
    </font>
    <font>
      <b/>
      <sz val="10"/>
      <name val="Arial"/>
      <family val="2"/>
      <charset val="186"/>
    </font>
    <font>
      <b/>
      <sz val="10"/>
      <color indexed="81"/>
      <name val="Tahoma"/>
      <family val="2"/>
      <charset val="186"/>
    </font>
    <font>
      <sz val="10"/>
      <color indexed="81"/>
      <name val="Tahoma"/>
      <family val="2"/>
      <charset val="186"/>
    </font>
    <font>
      <b/>
      <sz val="7"/>
      <name val="Times New Roman"/>
      <family val="1"/>
      <charset val="186"/>
    </font>
    <font>
      <sz val="10"/>
      <name val="Times New Roman"/>
      <family val="1"/>
      <charset val="204"/>
    </font>
    <font>
      <sz val="10"/>
      <name val="Calibri"/>
      <family val="2"/>
      <charset val="186"/>
    </font>
    <font>
      <sz val="8"/>
      <color indexed="81"/>
      <name val="Tahoma"/>
      <family val="2"/>
      <charset val="186"/>
    </font>
    <font>
      <vertAlign val="superscript"/>
      <sz val="10"/>
      <name val="Times New Roman"/>
      <family val="1"/>
      <charset val="186"/>
    </font>
    <font>
      <b/>
      <sz val="10"/>
      <name val="Times New Roman"/>
      <family val="1"/>
    </font>
    <font>
      <sz val="12"/>
      <name val="Times New Roman"/>
      <family val="1"/>
    </font>
    <font>
      <strike/>
      <sz val="10"/>
      <color rgb="FFFF0000"/>
      <name val="Times New Roman"/>
      <family val="1"/>
      <charset val="186"/>
    </font>
    <font>
      <b/>
      <i/>
      <sz val="10"/>
      <name val="Times New Roman"/>
      <family val="1"/>
      <charset val="186"/>
    </font>
    <font>
      <sz val="10"/>
      <color theme="3"/>
      <name val="Times New Roman"/>
      <family val="1"/>
      <charset val="186"/>
    </font>
    <font>
      <sz val="10"/>
      <color rgb="FFFF0000"/>
      <name val="Arial"/>
      <family val="2"/>
      <charset val="186"/>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ECFF"/>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medium">
        <color indexed="64"/>
      </top>
      <bottom style="hair">
        <color indexed="64"/>
      </bottom>
      <diagonal/>
    </border>
    <border>
      <left style="medium">
        <color indexed="64"/>
      </left>
      <right style="medium">
        <color indexed="64"/>
      </right>
      <top style="hair">
        <color indexed="64"/>
      </top>
      <bottom/>
      <diagonal/>
    </border>
    <border>
      <left/>
      <right/>
      <top/>
      <bottom style="hair">
        <color indexed="64"/>
      </bottom>
      <diagonal/>
    </border>
    <border>
      <left style="thin">
        <color indexed="64"/>
      </left>
      <right style="medium">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hair">
        <color indexed="64"/>
      </top>
      <bottom style="thin">
        <color indexed="64"/>
      </bottom>
      <diagonal/>
    </border>
    <border>
      <left style="medium">
        <color indexed="64"/>
      </left>
      <right/>
      <top style="hair">
        <color indexed="64"/>
      </top>
      <bottom/>
      <diagonal/>
    </border>
    <border>
      <left style="thin">
        <color indexed="64"/>
      </left>
      <right style="medium">
        <color indexed="64"/>
      </right>
      <top style="hair">
        <color indexed="64"/>
      </top>
      <bottom style="medium">
        <color indexed="64"/>
      </bottom>
      <diagonal/>
    </border>
  </borders>
  <cellStyleXfs count="3">
    <xf numFmtId="0" fontId="0" fillId="0" borderId="0"/>
    <xf numFmtId="164" fontId="11" fillId="0" borderId="0" applyFont="0" applyFill="0" applyBorder="0" applyAlignment="0" applyProtection="0"/>
    <xf numFmtId="0" fontId="11" fillId="0" borderId="0"/>
  </cellStyleXfs>
  <cellXfs count="1117">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Alignment="1">
      <alignment horizontal="center" vertical="top"/>
    </xf>
    <xf numFmtId="49" fontId="5" fillId="2" borderId="3" xfId="0" applyNumberFormat="1" applyFont="1" applyFill="1" applyBorder="1" applyAlignment="1">
      <alignment horizontal="center" vertical="top"/>
    </xf>
    <xf numFmtId="0" fontId="3" fillId="0" borderId="7" xfId="0" applyFont="1" applyFill="1" applyBorder="1" applyAlignment="1">
      <alignment horizontal="center" vertical="top" wrapText="1"/>
    </xf>
    <xf numFmtId="0" fontId="3" fillId="0" borderId="0" xfId="0" applyFont="1" applyFill="1" applyBorder="1" applyAlignment="1">
      <alignment vertical="top"/>
    </xf>
    <xf numFmtId="0" fontId="3" fillId="0" borderId="4" xfId="0" applyFont="1" applyFill="1" applyBorder="1" applyAlignment="1">
      <alignment vertical="top" wrapText="1"/>
    </xf>
    <xf numFmtId="0" fontId="3" fillId="0" borderId="5" xfId="0" applyFont="1" applyFill="1" applyBorder="1" applyAlignment="1">
      <alignment horizontal="center" vertical="top" wrapText="1"/>
    </xf>
    <xf numFmtId="0" fontId="3" fillId="0" borderId="8" xfId="0" applyFont="1" applyFill="1" applyBorder="1" applyAlignment="1">
      <alignment vertical="top" wrapText="1"/>
    </xf>
    <xf numFmtId="0" fontId="3" fillId="0" borderId="9" xfId="0" applyFont="1" applyFill="1" applyBorder="1" applyAlignment="1">
      <alignment horizontal="center" vertical="top"/>
    </xf>
    <xf numFmtId="0" fontId="3" fillId="0" borderId="5" xfId="0" applyFont="1" applyFill="1" applyBorder="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0" fontId="3" fillId="0" borderId="22" xfId="0" applyFont="1" applyFill="1" applyBorder="1" applyAlignment="1">
      <alignment horizontal="center" vertical="top"/>
    </xf>
    <xf numFmtId="0" fontId="3" fillId="0" borderId="23" xfId="0" applyFont="1" applyFill="1" applyBorder="1" applyAlignment="1">
      <alignment horizontal="center" vertical="top" wrapText="1"/>
    </xf>
    <xf numFmtId="3" fontId="3" fillId="0" borderId="30" xfId="0" applyNumberFormat="1" applyFont="1" applyFill="1" applyBorder="1" applyAlignment="1">
      <alignment horizontal="center" vertical="top" wrapText="1"/>
    </xf>
    <xf numFmtId="3" fontId="3" fillId="0" borderId="31" xfId="0" applyNumberFormat="1"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33" xfId="0" applyFont="1" applyFill="1" applyBorder="1" applyAlignment="1">
      <alignment horizontal="center" vertical="top" wrapText="1"/>
    </xf>
    <xf numFmtId="0" fontId="3" fillId="0" borderId="34" xfId="0" applyFont="1" applyBorder="1" applyAlignment="1">
      <alignment vertical="top"/>
    </xf>
    <xf numFmtId="3" fontId="3" fillId="0" borderId="28" xfId="0" applyNumberFormat="1" applyFont="1" applyFill="1" applyBorder="1" applyAlignment="1">
      <alignment horizontal="center" vertical="top" wrapText="1"/>
    </xf>
    <xf numFmtId="0" fontId="3" fillId="0" borderId="0" xfId="0" applyFont="1" applyAlignment="1">
      <alignment vertical="center"/>
    </xf>
    <xf numFmtId="164" fontId="3" fillId="0" borderId="0" xfId="1" applyFont="1" applyBorder="1" applyAlignment="1">
      <alignment vertical="top"/>
    </xf>
    <xf numFmtId="0" fontId="5" fillId="3" borderId="40" xfId="0" applyFont="1" applyFill="1" applyBorder="1" applyAlignment="1">
      <alignment horizontal="center" vertical="top"/>
    </xf>
    <xf numFmtId="3" fontId="3" fillId="0" borderId="19" xfId="0" applyNumberFormat="1" applyFont="1" applyFill="1" applyBorder="1" applyAlignment="1">
      <alignment horizontal="center" vertical="top" wrapText="1"/>
    </xf>
    <xf numFmtId="3" fontId="3" fillId="0" borderId="25" xfId="0" applyNumberFormat="1" applyFont="1" applyFill="1" applyBorder="1" applyAlignment="1">
      <alignment horizontal="center" vertical="top" wrapText="1"/>
    </xf>
    <xf numFmtId="0" fontId="3" fillId="3" borderId="5" xfId="0" applyFont="1" applyFill="1" applyBorder="1" applyAlignment="1">
      <alignment horizontal="center" vertical="top"/>
    </xf>
    <xf numFmtId="0" fontId="3" fillId="0" borderId="40" xfId="0" applyFont="1" applyFill="1" applyBorder="1" applyAlignment="1">
      <alignment horizontal="center" vertical="top"/>
    </xf>
    <xf numFmtId="0" fontId="3" fillId="0" borderId="10" xfId="0" applyFont="1" applyBorder="1" applyAlignment="1">
      <alignment vertical="top"/>
    </xf>
    <xf numFmtId="0" fontId="11" fillId="0" borderId="0" xfId="0" applyFont="1"/>
    <xf numFmtId="3" fontId="3" fillId="3" borderId="19" xfId="0" applyNumberFormat="1" applyFont="1" applyFill="1" applyBorder="1" applyAlignment="1">
      <alignment horizontal="center" vertical="top"/>
    </xf>
    <xf numFmtId="0" fontId="5" fillId="0" borderId="0" xfId="0" applyNumberFormat="1" applyFont="1" applyAlignment="1">
      <alignment vertical="top"/>
    </xf>
    <xf numFmtId="165" fontId="3" fillId="0" borderId="0" xfId="0" applyNumberFormat="1" applyFont="1" applyAlignment="1">
      <alignment vertical="top"/>
    </xf>
    <xf numFmtId="49" fontId="5" fillId="2" borderId="51"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0" fontId="6" fillId="0" borderId="1" xfId="0" applyFont="1" applyBorder="1" applyAlignment="1">
      <alignment horizontal="center" vertical="top" wrapText="1"/>
    </xf>
    <xf numFmtId="165" fontId="3" fillId="0" borderId="0" xfId="0" applyNumberFormat="1" applyFont="1" applyBorder="1" applyAlignment="1">
      <alignment vertical="top"/>
    </xf>
    <xf numFmtId="0" fontId="10" fillId="3" borderId="26" xfId="0" applyFont="1" applyFill="1" applyBorder="1" applyAlignment="1">
      <alignment horizontal="left" vertical="top" wrapText="1"/>
    </xf>
    <xf numFmtId="3" fontId="3" fillId="3" borderId="10" xfId="0" applyNumberFormat="1" applyFont="1" applyFill="1" applyBorder="1" applyAlignment="1">
      <alignment horizontal="center" vertical="top"/>
    </xf>
    <xf numFmtId="3" fontId="3" fillId="3" borderId="17" xfId="0" applyNumberFormat="1" applyFont="1" applyFill="1" applyBorder="1" applyAlignment="1">
      <alignment horizontal="center" vertical="top"/>
    </xf>
    <xf numFmtId="0" fontId="10" fillId="0" borderId="42" xfId="0" applyFont="1" applyFill="1" applyBorder="1" applyAlignment="1">
      <alignment horizontal="left" vertical="top" wrapText="1"/>
    </xf>
    <xf numFmtId="49" fontId="5" fillId="5" borderId="54" xfId="0" applyNumberFormat="1" applyFont="1" applyFill="1" applyBorder="1" applyAlignment="1">
      <alignment horizontal="center" vertical="top"/>
    </xf>
    <xf numFmtId="49" fontId="5" fillId="2" borderId="35" xfId="0" applyNumberFormat="1" applyFont="1" applyFill="1" applyBorder="1" applyAlignment="1">
      <alignment horizontal="center" vertical="top"/>
    </xf>
    <xf numFmtId="0" fontId="10" fillId="3" borderId="14" xfId="0" applyFont="1" applyFill="1" applyBorder="1" applyAlignment="1">
      <alignment horizontal="left" vertical="top" wrapText="1"/>
    </xf>
    <xf numFmtId="49" fontId="5" fillId="3" borderId="14" xfId="0" applyNumberFormat="1" applyFont="1" applyFill="1" applyBorder="1" applyAlignment="1">
      <alignment horizontal="center" vertical="top"/>
    </xf>
    <xf numFmtId="166" fontId="3" fillId="0" borderId="19" xfId="0" applyNumberFormat="1" applyFont="1" applyFill="1" applyBorder="1" applyAlignment="1">
      <alignment horizontal="center" vertical="top"/>
    </xf>
    <xf numFmtId="166" fontId="3" fillId="0" borderId="20" xfId="0" applyNumberFormat="1" applyFont="1" applyFill="1" applyBorder="1" applyAlignment="1">
      <alignment horizontal="center" vertical="top"/>
    </xf>
    <xf numFmtId="0" fontId="3" fillId="7" borderId="11" xfId="0" applyFont="1" applyFill="1" applyBorder="1" applyAlignment="1">
      <alignment vertical="top" wrapText="1"/>
    </xf>
    <xf numFmtId="3" fontId="3" fillId="7" borderId="12" xfId="0" applyNumberFormat="1" applyFont="1" applyFill="1" applyBorder="1" applyAlignment="1">
      <alignment horizontal="center" vertical="top"/>
    </xf>
    <xf numFmtId="3" fontId="3" fillId="7" borderId="14" xfId="0" applyNumberFormat="1" applyFont="1" applyFill="1" applyBorder="1" applyAlignment="1">
      <alignment horizontal="center" vertical="top"/>
    </xf>
    <xf numFmtId="3" fontId="3" fillId="7" borderId="10" xfId="0" applyNumberFormat="1" applyFont="1" applyFill="1" applyBorder="1" applyAlignment="1">
      <alignment horizontal="center" vertical="top"/>
    </xf>
    <xf numFmtId="3" fontId="3" fillId="7" borderId="17" xfId="0" applyNumberFormat="1" applyFont="1" applyFill="1" applyBorder="1" applyAlignment="1">
      <alignment horizontal="center" vertical="top"/>
    </xf>
    <xf numFmtId="0" fontId="3" fillId="7" borderId="8" xfId="0" applyFont="1" applyFill="1" applyBorder="1" applyAlignment="1">
      <alignment vertical="top" wrapText="1"/>
    </xf>
    <xf numFmtId="3" fontId="3" fillId="7" borderId="30" xfId="0" applyNumberFormat="1" applyFont="1" applyFill="1" applyBorder="1" applyAlignment="1">
      <alignment horizontal="center" vertical="top"/>
    </xf>
    <xf numFmtId="3" fontId="3" fillId="7" borderId="31" xfId="0" applyNumberFormat="1" applyFont="1" applyFill="1" applyBorder="1" applyAlignment="1">
      <alignment horizontal="center" vertical="top"/>
    </xf>
    <xf numFmtId="0" fontId="3" fillId="3" borderId="69" xfId="0" applyFont="1" applyFill="1" applyBorder="1" applyAlignment="1">
      <alignment horizontal="center" vertical="top"/>
    </xf>
    <xf numFmtId="49" fontId="5" fillId="3" borderId="42" xfId="0" applyNumberFormat="1" applyFont="1" applyFill="1" applyBorder="1" applyAlignment="1">
      <alignment horizontal="center" vertical="top"/>
    </xf>
    <xf numFmtId="0" fontId="3" fillId="0" borderId="68" xfId="0" applyFont="1" applyFill="1" applyBorder="1" applyAlignment="1">
      <alignment horizontal="center" vertical="top"/>
    </xf>
    <xf numFmtId="0" fontId="3" fillId="0" borderId="45" xfId="0" applyFont="1" applyFill="1" applyBorder="1" applyAlignment="1">
      <alignment horizontal="center" vertical="top"/>
    </xf>
    <xf numFmtId="0" fontId="3" fillId="0" borderId="65" xfId="0" applyFont="1" applyFill="1" applyBorder="1" applyAlignment="1">
      <alignment horizontal="center" vertical="top"/>
    </xf>
    <xf numFmtId="0" fontId="3" fillId="0" borderId="23" xfId="0" applyFont="1" applyFill="1" applyBorder="1" applyAlignment="1">
      <alignment horizontal="center" vertical="top"/>
    </xf>
    <xf numFmtId="3" fontId="3" fillId="0" borderId="30" xfId="0" applyNumberFormat="1" applyFont="1" applyFill="1" applyBorder="1" applyAlignment="1">
      <alignment horizontal="center" vertical="top"/>
    </xf>
    <xf numFmtId="3" fontId="3" fillId="0" borderId="31" xfId="0" applyNumberFormat="1" applyFont="1" applyFill="1" applyBorder="1" applyAlignment="1">
      <alignment horizontal="center" vertical="top"/>
    </xf>
    <xf numFmtId="0" fontId="5" fillId="8" borderId="59" xfId="0" applyFont="1" applyFill="1" applyBorder="1" applyAlignment="1">
      <alignment horizontal="center" vertical="top"/>
    </xf>
    <xf numFmtId="0" fontId="5" fillId="8" borderId="63" xfId="0" applyFont="1" applyFill="1" applyBorder="1" applyAlignment="1">
      <alignment horizontal="center" vertical="top"/>
    </xf>
    <xf numFmtId="0" fontId="3" fillId="0" borderId="32" xfId="0" applyFont="1" applyBorder="1" applyAlignment="1">
      <alignment vertical="top"/>
    </xf>
    <xf numFmtId="0" fontId="3" fillId="0" borderId="32" xfId="0" applyFont="1" applyBorder="1" applyAlignment="1">
      <alignment vertical="center"/>
    </xf>
    <xf numFmtId="0" fontId="5" fillId="0" borderId="32" xfId="0" applyNumberFormat="1" applyFont="1" applyBorder="1" applyAlignment="1">
      <alignment vertical="top"/>
    </xf>
    <xf numFmtId="3" fontId="3" fillId="0" borderId="28"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49" fontId="5" fillId="9" borderId="15" xfId="0" applyNumberFormat="1" applyFont="1" applyFill="1" applyBorder="1" applyAlignment="1">
      <alignment horizontal="center" vertical="top" wrapText="1"/>
    </xf>
    <xf numFmtId="49" fontId="5" fillId="9" borderId="15" xfId="0" applyNumberFormat="1" applyFont="1" applyFill="1" applyBorder="1" applyAlignment="1">
      <alignment horizontal="center" vertical="top"/>
    </xf>
    <xf numFmtId="49" fontId="5" fillId="9" borderId="54" xfId="0" applyNumberFormat="1" applyFont="1" applyFill="1" applyBorder="1" applyAlignment="1">
      <alignment horizontal="center" vertical="top"/>
    </xf>
    <xf numFmtId="49" fontId="5" fillId="9" borderId="55" xfId="0" applyNumberFormat="1" applyFont="1" applyFill="1" applyBorder="1" applyAlignment="1">
      <alignment horizontal="center" vertical="top"/>
    </xf>
    <xf numFmtId="0" fontId="3" fillId="7" borderId="23" xfId="0" applyFont="1" applyFill="1" applyBorder="1" applyAlignment="1">
      <alignment horizontal="center" vertical="top"/>
    </xf>
    <xf numFmtId="0" fontId="3" fillId="0" borderId="78" xfId="0" applyFont="1" applyFill="1" applyBorder="1" applyAlignment="1">
      <alignment horizontal="center" vertical="top"/>
    </xf>
    <xf numFmtId="0" fontId="3" fillId="0" borderId="84" xfId="0" applyFont="1" applyFill="1" applyBorder="1" applyAlignment="1">
      <alignment vertical="top" wrapText="1"/>
    </xf>
    <xf numFmtId="3" fontId="3" fillId="0" borderId="85" xfId="0" applyNumberFormat="1" applyFont="1" applyFill="1" applyBorder="1" applyAlignment="1">
      <alignment horizontal="center" vertical="center"/>
    </xf>
    <xf numFmtId="3" fontId="3" fillId="0" borderId="85" xfId="0" applyNumberFormat="1" applyFont="1" applyFill="1" applyBorder="1" applyAlignment="1">
      <alignment horizontal="center" vertical="top"/>
    </xf>
    <xf numFmtId="166" fontId="3" fillId="0" borderId="12" xfId="0" applyNumberFormat="1" applyFont="1" applyFill="1" applyBorder="1" applyAlignment="1">
      <alignment horizontal="center" vertical="top"/>
    </xf>
    <xf numFmtId="0" fontId="3" fillId="0" borderId="11" xfId="0" applyFont="1" applyFill="1" applyBorder="1" applyAlignment="1">
      <alignment horizontal="left" vertical="top" wrapText="1"/>
    </xf>
    <xf numFmtId="166" fontId="3" fillId="0" borderId="14" xfId="0" applyNumberFormat="1" applyFont="1" applyFill="1" applyBorder="1" applyAlignment="1">
      <alignment horizontal="center" vertical="top"/>
    </xf>
    <xf numFmtId="0" fontId="11" fillId="0" borderId="8" xfId="0" applyFont="1" applyBorder="1" applyAlignment="1">
      <alignment horizontal="center" vertical="top" textRotation="90" wrapText="1"/>
    </xf>
    <xf numFmtId="0" fontId="3" fillId="7" borderId="22" xfId="0" applyFont="1" applyFill="1" applyBorder="1" applyAlignment="1">
      <alignment horizontal="center" vertical="top"/>
    </xf>
    <xf numFmtId="0" fontId="5" fillId="0" borderId="15" xfId="0" applyFont="1" applyFill="1" applyBorder="1" applyAlignment="1">
      <alignment horizontal="center" vertical="top" wrapText="1"/>
    </xf>
    <xf numFmtId="0" fontId="3" fillId="0" borderId="69" xfId="0" applyFont="1" applyFill="1" applyBorder="1" applyAlignment="1">
      <alignment horizontal="center" vertical="center" textRotation="90" wrapText="1"/>
    </xf>
    <xf numFmtId="49" fontId="5" fillId="0" borderId="14" xfId="0" applyNumberFormat="1" applyFont="1" applyBorder="1" applyAlignment="1">
      <alignment horizontal="center" vertical="top"/>
    </xf>
    <xf numFmtId="49" fontId="3" fillId="0" borderId="19"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28" xfId="0" applyNumberFormat="1" applyFont="1" applyFill="1" applyBorder="1" applyAlignment="1">
      <alignment horizontal="center" vertical="top"/>
    </xf>
    <xf numFmtId="49" fontId="3" fillId="0" borderId="27" xfId="0" applyNumberFormat="1" applyFont="1" applyFill="1" applyBorder="1" applyAlignment="1">
      <alignment horizontal="center" vertical="top"/>
    </xf>
    <xf numFmtId="0" fontId="3" fillId="0" borderId="88" xfId="0" applyFont="1" applyFill="1" applyBorder="1" applyAlignment="1">
      <alignment horizontal="left" vertical="top" wrapText="1"/>
    </xf>
    <xf numFmtId="49" fontId="3" fillId="0" borderId="89" xfId="0" applyNumberFormat="1" applyFont="1" applyFill="1" applyBorder="1" applyAlignment="1">
      <alignment horizontal="center" vertical="top"/>
    </xf>
    <xf numFmtId="0" fontId="5" fillId="3" borderId="14" xfId="0" applyFont="1" applyFill="1" applyBorder="1" applyAlignment="1">
      <alignment vertical="top" wrapText="1"/>
    </xf>
    <xf numFmtId="0" fontId="3" fillId="0" borderId="52" xfId="0" applyFont="1" applyFill="1" applyBorder="1" applyAlignment="1">
      <alignment vertical="top" wrapText="1"/>
    </xf>
    <xf numFmtId="3" fontId="3" fillId="7" borderId="89" xfId="0" applyNumberFormat="1" applyFont="1" applyFill="1" applyBorder="1" applyAlignment="1">
      <alignment horizontal="center" vertical="top"/>
    </xf>
    <xf numFmtId="3" fontId="3" fillId="7" borderId="90" xfId="0" applyNumberFormat="1" applyFont="1" applyFill="1" applyBorder="1" applyAlignment="1">
      <alignment horizontal="center" vertical="top"/>
    </xf>
    <xf numFmtId="0" fontId="3" fillId="7" borderId="79" xfId="0" applyFont="1" applyFill="1" applyBorder="1" applyAlignment="1">
      <alignment horizontal="left" vertical="top" wrapText="1"/>
    </xf>
    <xf numFmtId="0" fontId="5" fillId="3" borderId="9" xfId="0" applyFont="1" applyFill="1" applyBorder="1" applyAlignment="1">
      <alignment horizontal="center" vertical="top"/>
    </xf>
    <xf numFmtId="3" fontId="3" fillId="0" borderId="12" xfId="0" applyNumberFormat="1" applyFont="1" applyFill="1" applyBorder="1" applyAlignment="1">
      <alignment horizontal="center" vertical="top"/>
    </xf>
    <xf numFmtId="0" fontId="3" fillId="7" borderId="84" xfId="0" applyFont="1" applyFill="1" applyBorder="1" applyAlignment="1">
      <alignment vertical="top" wrapText="1"/>
    </xf>
    <xf numFmtId="3" fontId="3" fillId="7" borderId="100" xfId="0" applyNumberFormat="1" applyFont="1" applyFill="1" applyBorder="1" applyAlignment="1">
      <alignment horizontal="center" vertical="top" wrapText="1"/>
    </xf>
    <xf numFmtId="0" fontId="3" fillId="0" borderId="96" xfId="0" applyFont="1" applyFill="1" applyBorder="1" applyAlignment="1">
      <alignment horizontal="center" vertical="top" wrapText="1"/>
    </xf>
    <xf numFmtId="3" fontId="3" fillId="3" borderId="12" xfId="0" applyNumberFormat="1" applyFont="1" applyFill="1" applyBorder="1" applyAlignment="1">
      <alignment horizontal="center" vertical="top"/>
    </xf>
    <xf numFmtId="3" fontId="3" fillId="3" borderId="14" xfId="0" applyNumberFormat="1" applyFont="1" applyFill="1" applyBorder="1" applyAlignment="1">
      <alignment horizontal="center" vertical="top"/>
    </xf>
    <xf numFmtId="0" fontId="3" fillId="7" borderId="88" xfId="0" applyFont="1" applyFill="1" applyBorder="1" applyAlignment="1">
      <alignment horizontal="left" vertical="top" wrapText="1"/>
    </xf>
    <xf numFmtId="0" fontId="5" fillId="7" borderId="35" xfId="0" applyFont="1" applyFill="1" applyBorder="1" applyAlignment="1">
      <alignment vertical="top" wrapText="1"/>
    </xf>
    <xf numFmtId="3" fontId="3" fillId="7" borderId="18" xfId="0" applyNumberFormat="1" applyFont="1" applyFill="1" applyBorder="1" applyAlignment="1">
      <alignment horizontal="center" vertical="top" wrapText="1"/>
    </xf>
    <xf numFmtId="0" fontId="3" fillId="7" borderId="92" xfId="0" applyFont="1" applyFill="1" applyBorder="1" applyAlignment="1">
      <alignment horizontal="left" vertical="top" wrapText="1"/>
    </xf>
    <xf numFmtId="0" fontId="3" fillId="3" borderId="38" xfId="0" applyFont="1" applyFill="1" applyBorder="1" applyAlignment="1">
      <alignment horizontal="left" vertical="top" wrapText="1"/>
    </xf>
    <xf numFmtId="0" fontId="3" fillId="0" borderId="91" xfId="0" applyFont="1" applyFill="1" applyBorder="1" applyAlignment="1">
      <alignment horizontal="center" vertical="top" wrapText="1"/>
    </xf>
    <xf numFmtId="0" fontId="7" fillId="3" borderId="4" xfId="0" applyFont="1" applyFill="1" applyBorder="1" applyAlignment="1">
      <alignment horizontal="center" vertical="center" textRotation="90" wrapText="1"/>
    </xf>
    <xf numFmtId="0" fontId="7" fillId="0" borderId="45" xfId="0" applyFont="1" applyFill="1" applyBorder="1" applyAlignment="1">
      <alignment horizontal="center" vertical="center" textRotation="90" shrinkToFit="1"/>
    </xf>
    <xf numFmtId="0" fontId="3" fillId="0" borderId="103" xfId="0" applyFont="1" applyFill="1" applyBorder="1" applyAlignment="1">
      <alignment horizontal="center" vertical="top"/>
    </xf>
    <xf numFmtId="0" fontId="5" fillId="8" borderId="60" xfId="0" applyFont="1" applyFill="1" applyBorder="1" applyAlignment="1">
      <alignment horizontal="right" vertical="top"/>
    </xf>
    <xf numFmtId="0" fontId="5" fillId="8" borderId="73" xfId="0" applyFont="1" applyFill="1" applyBorder="1" applyAlignment="1">
      <alignment horizontal="right" vertical="top"/>
    </xf>
    <xf numFmtId="3" fontId="3" fillId="3" borderId="30" xfId="0" applyNumberFormat="1" applyFont="1" applyFill="1" applyBorder="1" applyAlignment="1">
      <alignment horizontal="center" vertical="top"/>
    </xf>
    <xf numFmtId="0" fontId="3" fillId="0" borderId="34" xfId="0" applyFont="1" applyFill="1" applyBorder="1" applyAlignment="1">
      <alignment horizontal="center" vertical="top"/>
    </xf>
    <xf numFmtId="0" fontId="3" fillId="0" borderId="108" xfId="0" applyFont="1" applyFill="1" applyBorder="1" applyAlignment="1">
      <alignment horizontal="center" vertical="top"/>
    </xf>
    <xf numFmtId="3" fontId="3" fillId="0" borderId="90" xfId="0" applyNumberFormat="1" applyFont="1" applyFill="1" applyBorder="1" applyAlignment="1">
      <alignment horizontal="center" vertical="top"/>
    </xf>
    <xf numFmtId="0" fontId="3" fillId="0" borderId="100" xfId="0" applyFont="1" applyFill="1" applyBorder="1" applyAlignment="1">
      <alignment horizontal="left" vertical="top" wrapText="1"/>
    </xf>
    <xf numFmtId="166" fontId="3" fillId="0" borderId="85" xfId="0" applyNumberFormat="1" applyFont="1" applyFill="1" applyBorder="1" applyAlignment="1">
      <alignment horizontal="center" vertical="center"/>
    </xf>
    <xf numFmtId="0" fontId="3" fillId="3" borderId="90" xfId="0" applyFont="1" applyFill="1" applyBorder="1" applyAlignment="1">
      <alignment vertical="top" wrapText="1"/>
    </xf>
    <xf numFmtId="0" fontId="3" fillId="3" borderId="86" xfId="0" applyFont="1" applyFill="1" applyBorder="1" applyAlignment="1">
      <alignment vertical="top" wrapText="1"/>
    </xf>
    <xf numFmtId="0" fontId="3" fillId="7" borderId="87" xfId="0" applyFont="1" applyFill="1" applyBorder="1" applyAlignment="1">
      <alignment horizontal="center" vertical="top"/>
    </xf>
    <xf numFmtId="0" fontId="5" fillId="7" borderId="13" xfId="0" applyFont="1" applyFill="1" applyBorder="1" applyAlignment="1">
      <alignment vertical="top" wrapText="1"/>
    </xf>
    <xf numFmtId="49" fontId="5" fillId="0" borderId="42" xfId="0" applyNumberFormat="1" applyFont="1" applyBorder="1" applyAlignment="1">
      <alignment horizontal="center" vertical="top"/>
    </xf>
    <xf numFmtId="49" fontId="5" fillId="7" borderId="48" xfId="0" applyNumberFormat="1" applyFont="1" applyFill="1" applyBorder="1" applyAlignment="1">
      <alignment vertical="top"/>
    </xf>
    <xf numFmtId="49" fontId="5" fillId="7" borderId="8" xfId="0" applyNumberFormat="1" applyFont="1" applyFill="1" applyBorder="1" applyAlignment="1">
      <alignment vertical="top"/>
    </xf>
    <xf numFmtId="166" fontId="3" fillId="0" borderId="10" xfId="0" applyNumberFormat="1" applyFont="1" applyFill="1" applyBorder="1" applyAlignment="1">
      <alignment horizontal="center" vertical="top"/>
    </xf>
    <xf numFmtId="166" fontId="3" fillId="0" borderId="17" xfId="0" applyNumberFormat="1" applyFont="1" applyFill="1" applyBorder="1" applyAlignment="1">
      <alignment horizontal="center" vertical="top"/>
    </xf>
    <xf numFmtId="0" fontId="3" fillId="0" borderId="87" xfId="0" applyFont="1" applyFill="1" applyBorder="1" applyAlignment="1">
      <alignment horizontal="center" vertical="top"/>
    </xf>
    <xf numFmtId="49" fontId="5" fillId="7" borderId="31" xfId="0" applyNumberFormat="1" applyFont="1" applyFill="1" applyBorder="1" applyAlignment="1">
      <alignment vertical="top"/>
    </xf>
    <xf numFmtId="166" fontId="3" fillId="7" borderId="30" xfId="0" applyNumberFormat="1" applyFont="1" applyFill="1" applyBorder="1" applyAlignment="1">
      <alignment horizontal="center" vertical="top"/>
    </xf>
    <xf numFmtId="166" fontId="3" fillId="7" borderId="31" xfId="0" applyNumberFormat="1" applyFont="1" applyFill="1" applyBorder="1" applyAlignment="1">
      <alignment horizontal="center" vertical="top"/>
    </xf>
    <xf numFmtId="0" fontId="5" fillId="3" borderId="45" xfId="0" applyFont="1" applyFill="1" applyBorder="1" applyAlignment="1">
      <alignment horizontal="center" vertical="top"/>
    </xf>
    <xf numFmtId="0" fontId="3" fillId="0" borderId="68"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65" xfId="0" applyFont="1" applyFill="1" applyBorder="1" applyAlignment="1">
      <alignment horizontal="center" vertical="top" wrapText="1"/>
    </xf>
    <xf numFmtId="0" fontId="3" fillId="0" borderId="108" xfId="0" applyFont="1" applyFill="1" applyBorder="1" applyAlignment="1">
      <alignment horizontal="center" vertical="top" wrapText="1"/>
    </xf>
    <xf numFmtId="164" fontId="3" fillId="0" borderId="45" xfId="1" applyFont="1" applyFill="1" applyBorder="1" applyAlignment="1">
      <alignment horizontal="center" vertical="top" wrapText="1"/>
    </xf>
    <xf numFmtId="0" fontId="5" fillId="8" borderId="66" xfId="0" applyFont="1" applyFill="1" applyBorder="1" applyAlignment="1">
      <alignment horizontal="center" vertical="top"/>
    </xf>
    <xf numFmtId="0" fontId="3" fillId="0" borderId="28" xfId="0" applyFont="1" applyFill="1" applyBorder="1" applyAlignment="1">
      <alignment horizontal="center" vertical="center" wrapText="1"/>
    </xf>
    <xf numFmtId="0" fontId="23" fillId="0" borderId="6" xfId="0" applyFont="1" applyFill="1" applyBorder="1" applyAlignment="1">
      <alignment horizontal="center" vertical="center" textRotation="90" wrapText="1"/>
    </xf>
    <xf numFmtId="0" fontId="11" fillId="0" borderId="30" xfId="0" applyFont="1" applyBorder="1" applyAlignment="1">
      <alignment vertical="center" textRotation="90" wrapText="1"/>
    </xf>
    <xf numFmtId="0" fontId="14" fillId="0" borderId="24" xfId="0" applyFont="1" applyBorder="1" applyAlignment="1">
      <alignment horizontal="center" vertical="center" wrapText="1"/>
    </xf>
    <xf numFmtId="0" fontId="5" fillId="7" borderId="0" xfId="0" applyFont="1" applyFill="1" applyAlignment="1">
      <alignment horizontal="center" vertical="top"/>
    </xf>
    <xf numFmtId="49" fontId="5" fillId="0" borderId="56" xfId="0" applyNumberFormat="1" applyFont="1" applyBorder="1" applyAlignment="1">
      <alignment horizontal="center" vertical="top"/>
    </xf>
    <xf numFmtId="0" fontId="3" fillId="0" borderId="89" xfId="0" applyNumberFormat="1" applyFont="1" applyFill="1" applyBorder="1" applyAlignment="1">
      <alignment horizontal="center" vertical="top"/>
    </xf>
    <xf numFmtId="0" fontId="3" fillId="0" borderId="88" xfId="0" applyFont="1" applyFill="1" applyBorder="1" applyAlignment="1">
      <alignment vertical="top" wrapText="1"/>
    </xf>
    <xf numFmtId="0" fontId="3" fillId="7" borderId="5" xfId="0" applyFont="1" applyFill="1" applyBorder="1" applyAlignment="1">
      <alignment horizontal="center" vertical="top"/>
    </xf>
    <xf numFmtId="0" fontId="3" fillId="0" borderId="90" xfId="0" applyNumberFormat="1" applyFont="1" applyFill="1" applyBorder="1" applyAlignment="1">
      <alignment horizontal="center" vertical="top"/>
    </xf>
    <xf numFmtId="0" fontId="14" fillId="0" borderId="74" xfId="0" applyFont="1" applyBorder="1" applyAlignment="1">
      <alignment horizontal="center" vertical="center" wrapText="1"/>
    </xf>
    <xf numFmtId="0" fontId="5" fillId="8" borderId="7" xfId="0" applyFont="1" applyFill="1" applyBorder="1" applyAlignment="1">
      <alignment horizontal="center" vertical="top"/>
    </xf>
    <xf numFmtId="49" fontId="5" fillId="0" borderId="56" xfId="0" applyNumberFormat="1" applyFont="1" applyBorder="1" applyAlignment="1">
      <alignment horizontal="center" vertical="top" wrapText="1"/>
    </xf>
    <xf numFmtId="0" fontId="18" fillId="0" borderId="45" xfId="0" applyFont="1" applyFill="1" applyBorder="1" applyAlignment="1">
      <alignment horizontal="center" vertical="top" textRotation="90" wrapText="1"/>
    </xf>
    <xf numFmtId="0" fontId="3" fillId="0" borderId="91" xfId="0" applyFont="1" applyBorder="1" applyAlignment="1">
      <alignment vertical="top"/>
    </xf>
    <xf numFmtId="0" fontId="3" fillId="0" borderId="80" xfId="0" applyFont="1" applyBorder="1" applyAlignment="1">
      <alignment vertical="top"/>
    </xf>
    <xf numFmtId="0" fontId="3" fillId="0" borderId="102" xfId="0" applyFont="1" applyBorder="1" applyAlignment="1">
      <alignment vertical="top"/>
    </xf>
    <xf numFmtId="0" fontId="3" fillId="0" borderId="82" xfId="0" applyFont="1" applyBorder="1" applyAlignment="1">
      <alignment vertical="top"/>
    </xf>
    <xf numFmtId="0" fontId="5" fillId="3" borderId="82" xfId="0" applyFont="1" applyFill="1" applyBorder="1" applyAlignment="1">
      <alignment vertical="top" wrapText="1"/>
    </xf>
    <xf numFmtId="0" fontId="3" fillId="0" borderId="23" xfId="0" applyFont="1" applyBorder="1" applyAlignment="1">
      <alignment horizontal="center" vertical="top"/>
    </xf>
    <xf numFmtId="0" fontId="3" fillId="7" borderId="16" xfId="0" applyFont="1" applyFill="1" applyBorder="1" applyAlignment="1">
      <alignment horizontal="left" vertical="top" wrapText="1"/>
    </xf>
    <xf numFmtId="0" fontId="3" fillId="7" borderId="15" xfId="0" applyFont="1" applyFill="1" applyBorder="1" applyAlignment="1">
      <alignment horizontal="left" vertical="top" wrapText="1"/>
    </xf>
    <xf numFmtId="0" fontId="16" fillId="0" borderId="68" xfId="0" applyFont="1" applyFill="1" applyBorder="1" applyAlignment="1">
      <alignment vertical="top" wrapText="1"/>
    </xf>
    <xf numFmtId="0" fontId="16" fillId="0" borderId="38" xfId="0" applyFont="1" applyFill="1" applyBorder="1" applyAlignment="1">
      <alignment horizontal="center" vertical="top" wrapText="1"/>
    </xf>
    <xf numFmtId="0" fontId="16" fillId="0" borderId="35" xfId="0" applyFont="1" applyFill="1" applyBorder="1" applyAlignment="1">
      <alignment horizontal="center" vertical="top" wrapText="1"/>
    </xf>
    <xf numFmtId="0" fontId="3" fillId="7" borderId="7" xfId="0" applyFont="1" applyFill="1" applyBorder="1" applyAlignment="1">
      <alignment horizontal="center" vertical="top"/>
    </xf>
    <xf numFmtId="49" fontId="5" fillId="7" borderId="17" xfId="0" applyNumberFormat="1" applyFont="1" applyFill="1" applyBorder="1" applyAlignment="1">
      <alignment horizontal="center" vertical="top"/>
    </xf>
    <xf numFmtId="0" fontId="3" fillId="7" borderId="34" xfId="0" applyFont="1" applyFill="1" applyBorder="1" applyAlignment="1">
      <alignment horizontal="center" vertical="center" textRotation="90" wrapText="1"/>
    </xf>
    <xf numFmtId="0" fontId="3" fillId="3" borderId="23" xfId="0" applyFont="1" applyFill="1" applyBorder="1" applyAlignment="1">
      <alignment horizontal="center" vertical="top"/>
    </xf>
    <xf numFmtId="0" fontId="16" fillId="7" borderId="53" xfId="0" applyFont="1" applyFill="1" applyBorder="1" applyAlignment="1">
      <alignment vertical="top" wrapText="1"/>
    </xf>
    <xf numFmtId="3" fontId="3" fillId="0" borderId="25" xfId="0" applyNumberFormat="1" applyFont="1" applyFill="1" applyBorder="1" applyAlignment="1">
      <alignment horizontal="center" vertical="top"/>
    </xf>
    <xf numFmtId="49" fontId="5" fillId="0" borderId="13" xfId="0" applyNumberFormat="1" applyFont="1" applyBorder="1" applyAlignment="1">
      <alignment horizontal="center" vertical="top"/>
    </xf>
    <xf numFmtId="0" fontId="16" fillId="7" borderId="65" xfId="0" applyFont="1" applyFill="1" applyBorder="1" applyAlignment="1">
      <alignment vertical="top" wrapText="1"/>
    </xf>
    <xf numFmtId="3" fontId="3" fillId="3" borderId="53" xfId="0" applyNumberFormat="1" applyFont="1" applyFill="1" applyBorder="1" applyAlignment="1">
      <alignment horizontal="right" vertical="top" wrapText="1"/>
    </xf>
    <xf numFmtId="3" fontId="3" fillId="8" borderId="23" xfId="0" applyNumberFormat="1" applyFont="1" applyFill="1" applyBorder="1" applyAlignment="1">
      <alignment horizontal="right" vertical="top"/>
    </xf>
    <xf numFmtId="3" fontId="5" fillId="8" borderId="67" xfId="0" applyNumberFormat="1" applyFont="1" applyFill="1" applyBorder="1" applyAlignment="1">
      <alignment horizontal="right" vertical="top"/>
    </xf>
    <xf numFmtId="3" fontId="5" fillId="8" borderId="59" xfId="0" applyNumberFormat="1" applyFont="1" applyFill="1" applyBorder="1" applyAlignment="1">
      <alignment horizontal="right" vertical="top"/>
    </xf>
    <xf numFmtId="3" fontId="5" fillId="8" borderId="57" xfId="0" applyNumberFormat="1" applyFont="1" applyFill="1" applyBorder="1" applyAlignment="1">
      <alignment horizontal="right" vertical="top"/>
    </xf>
    <xf numFmtId="3" fontId="3" fillId="3" borderId="44" xfId="0" applyNumberFormat="1" applyFont="1" applyFill="1" applyBorder="1" applyAlignment="1">
      <alignment horizontal="right" vertical="top" wrapText="1"/>
    </xf>
    <xf numFmtId="3" fontId="5" fillId="8" borderId="63" xfId="0" applyNumberFormat="1" applyFont="1" applyFill="1" applyBorder="1" applyAlignment="1">
      <alignment horizontal="right" vertical="top"/>
    </xf>
    <xf numFmtId="3" fontId="5" fillId="2" borderId="24" xfId="0" applyNumberFormat="1" applyFont="1" applyFill="1" applyBorder="1" applyAlignment="1">
      <alignment horizontal="right" vertical="top"/>
    </xf>
    <xf numFmtId="3" fontId="3" fillId="3" borderId="95" xfId="0" applyNumberFormat="1" applyFont="1" applyFill="1" applyBorder="1" applyAlignment="1">
      <alignment horizontal="right" vertical="top" wrapText="1"/>
    </xf>
    <xf numFmtId="3" fontId="5" fillId="2" borderId="21" xfId="0" applyNumberFormat="1" applyFont="1" applyFill="1" applyBorder="1" applyAlignment="1">
      <alignment horizontal="right" vertical="top"/>
    </xf>
    <xf numFmtId="3" fontId="5" fillId="5" borderId="9" xfId="0" applyNumberFormat="1" applyFont="1" applyFill="1" applyBorder="1" applyAlignment="1">
      <alignment horizontal="right" vertical="top"/>
    </xf>
    <xf numFmtId="3" fontId="5" fillId="8" borderId="23" xfId="0" applyNumberFormat="1" applyFont="1" applyFill="1" applyBorder="1" applyAlignment="1">
      <alignment horizontal="right" vertical="top"/>
    </xf>
    <xf numFmtId="3" fontId="3" fillId="7" borderId="23" xfId="0" applyNumberFormat="1" applyFont="1" applyFill="1" applyBorder="1" applyAlignment="1">
      <alignment horizontal="right" vertical="top"/>
    </xf>
    <xf numFmtId="3" fontId="3" fillId="0" borderId="23" xfId="0" applyNumberFormat="1" applyFont="1" applyBorder="1" applyAlignment="1">
      <alignment horizontal="right" vertical="top"/>
    </xf>
    <xf numFmtId="3" fontId="5" fillId="5" borderId="23" xfId="0" applyNumberFormat="1" applyFont="1" applyFill="1" applyBorder="1" applyAlignment="1">
      <alignment horizontal="right" vertical="top"/>
    </xf>
    <xf numFmtId="3" fontId="5" fillId="4" borderId="67" xfId="0" applyNumberFormat="1" applyFont="1" applyFill="1" applyBorder="1" applyAlignment="1">
      <alignment horizontal="right" vertical="top"/>
    </xf>
    <xf numFmtId="3" fontId="3" fillId="3" borderId="109" xfId="0" applyNumberFormat="1" applyFont="1" applyFill="1" applyBorder="1" applyAlignment="1">
      <alignment horizontal="right" vertical="top" wrapText="1"/>
    </xf>
    <xf numFmtId="3" fontId="3" fillId="3" borderId="99" xfId="0" applyNumberFormat="1" applyFont="1" applyFill="1" applyBorder="1" applyAlignment="1">
      <alignment horizontal="right" vertical="top" wrapText="1"/>
    </xf>
    <xf numFmtId="3" fontId="3" fillId="3" borderId="64" xfId="0" applyNumberFormat="1" applyFont="1" applyFill="1" applyBorder="1" applyAlignment="1">
      <alignment horizontal="right" vertical="top" wrapText="1"/>
    </xf>
    <xf numFmtId="3" fontId="5" fillId="3" borderId="50" xfId="0" applyNumberFormat="1" applyFont="1" applyFill="1" applyBorder="1" applyAlignment="1">
      <alignment horizontal="right" vertical="top"/>
    </xf>
    <xf numFmtId="3" fontId="3" fillId="3" borderId="44" xfId="0" applyNumberFormat="1" applyFont="1" applyFill="1" applyBorder="1" applyAlignment="1">
      <alignment horizontal="right" vertical="top"/>
    </xf>
    <xf numFmtId="3" fontId="3" fillId="0" borderId="44" xfId="0" applyNumberFormat="1" applyFont="1" applyFill="1" applyBorder="1" applyAlignment="1">
      <alignment horizontal="right" vertical="top"/>
    </xf>
    <xf numFmtId="3" fontId="3" fillId="0" borderId="40" xfId="0" applyNumberFormat="1" applyFont="1" applyBorder="1" applyAlignment="1">
      <alignment horizontal="right" vertical="top"/>
    </xf>
    <xf numFmtId="3" fontId="3" fillId="0" borderId="22" xfId="0" applyNumberFormat="1" applyFont="1" applyBorder="1" applyAlignment="1">
      <alignment horizontal="right" vertical="top"/>
    </xf>
    <xf numFmtId="3" fontId="3" fillId="0" borderId="44" xfId="0" applyNumberFormat="1" applyFont="1" applyBorder="1" applyAlignment="1">
      <alignment horizontal="right" vertical="top"/>
    </xf>
    <xf numFmtId="3" fontId="3" fillId="7" borderId="43" xfId="0" applyNumberFormat="1" applyFont="1" applyFill="1" applyBorder="1" applyAlignment="1">
      <alignment horizontal="right" vertical="top" wrapText="1"/>
    </xf>
    <xf numFmtId="3" fontId="5" fillId="8" borderId="61" xfId="0" applyNumberFormat="1" applyFont="1" applyFill="1" applyBorder="1" applyAlignment="1">
      <alignment horizontal="right" vertical="top"/>
    </xf>
    <xf numFmtId="3" fontId="5" fillId="8" borderId="60" xfId="0" applyNumberFormat="1" applyFont="1" applyFill="1" applyBorder="1" applyAlignment="1">
      <alignment horizontal="right" vertical="top"/>
    </xf>
    <xf numFmtId="3" fontId="3" fillId="3" borderId="51" xfId="0" applyNumberFormat="1" applyFont="1" applyFill="1" applyBorder="1" applyAlignment="1">
      <alignment horizontal="right" vertical="top"/>
    </xf>
    <xf numFmtId="3" fontId="3" fillId="3" borderId="53" xfId="0" applyNumberFormat="1" applyFont="1" applyFill="1" applyBorder="1" applyAlignment="1">
      <alignment horizontal="right" vertical="top"/>
    </xf>
    <xf numFmtId="3" fontId="3" fillId="3" borderId="70" xfId="0" applyNumberFormat="1" applyFont="1" applyFill="1" applyBorder="1" applyAlignment="1">
      <alignment horizontal="right" vertical="top" wrapText="1"/>
    </xf>
    <xf numFmtId="3" fontId="3" fillId="3" borderId="50" xfId="0" applyNumberFormat="1" applyFont="1" applyFill="1" applyBorder="1" applyAlignment="1">
      <alignment vertical="top" wrapText="1"/>
    </xf>
    <xf numFmtId="3" fontId="3" fillId="3" borderId="53" xfId="0" applyNumberFormat="1" applyFont="1" applyFill="1" applyBorder="1" applyAlignment="1">
      <alignment vertical="top" wrapText="1"/>
    </xf>
    <xf numFmtId="3" fontId="3" fillId="3" borderId="44" xfId="0" applyNumberFormat="1" applyFont="1" applyFill="1" applyBorder="1" applyAlignment="1">
      <alignment vertical="top" wrapText="1"/>
    </xf>
    <xf numFmtId="3" fontId="5" fillId="8" borderId="52" xfId="0" applyNumberFormat="1" applyFont="1" applyFill="1" applyBorder="1" applyAlignment="1">
      <alignment vertical="top"/>
    </xf>
    <xf numFmtId="3" fontId="5" fillId="8" borderId="66" xfId="0" applyNumberFormat="1" applyFont="1" applyFill="1" applyBorder="1" applyAlignment="1">
      <alignment vertical="top"/>
    </xf>
    <xf numFmtId="3" fontId="5" fillId="8" borderId="63" xfId="0" applyNumberFormat="1" applyFont="1" applyFill="1" applyBorder="1" applyAlignment="1">
      <alignment vertical="top"/>
    </xf>
    <xf numFmtId="3" fontId="5" fillId="2" borderId="55" xfId="0" applyNumberFormat="1" applyFont="1" applyFill="1" applyBorder="1" applyAlignment="1">
      <alignment vertical="top"/>
    </xf>
    <xf numFmtId="3" fontId="5" fillId="9" borderId="71" xfId="0" applyNumberFormat="1" applyFont="1" applyFill="1" applyBorder="1" applyAlignment="1">
      <alignment vertical="top"/>
    </xf>
    <xf numFmtId="3" fontId="5" fillId="9" borderId="21" xfId="0" applyNumberFormat="1" applyFont="1" applyFill="1" applyBorder="1" applyAlignment="1">
      <alignment vertical="top"/>
    </xf>
    <xf numFmtId="3" fontId="5" fillId="5" borderId="55" xfId="0" applyNumberFormat="1" applyFont="1" applyFill="1" applyBorder="1" applyAlignment="1">
      <alignment vertical="top"/>
    </xf>
    <xf numFmtId="3" fontId="5" fillId="5" borderId="21" xfId="0" applyNumberFormat="1" applyFont="1" applyFill="1" applyBorder="1" applyAlignment="1">
      <alignment vertical="top"/>
    </xf>
    <xf numFmtId="49" fontId="5" fillId="7" borderId="42" xfId="0" applyNumberFormat="1" applyFont="1" applyFill="1" applyBorder="1" applyAlignment="1">
      <alignment vertical="top"/>
    </xf>
    <xf numFmtId="49" fontId="5" fillId="0" borderId="38" xfId="0" applyNumberFormat="1" applyFont="1" applyBorder="1" applyAlignment="1">
      <alignment horizontal="center" vertical="top"/>
    </xf>
    <xf numFmtId="3" fontId="3" fillId="0" borderId="10" xfId="0" applyNumberFormat="1" applyFont="1" applyFill="1" applyBorder="1" applyAlignment="1">
      <alignment horizontal="center" vertical="top"/>
    </xf>
    <xf numFmtId="0" fontId="3" fillId="0" borderId="90" xfId="0" applyFont="1" applyBorder="1" applyAlignment="1">
      <alignment vertical="top" wrapText="1"/>
    </xf>
    <xf numFmtId="0" fontId="7" fillId="0" borderId="69" xfId="0" applyFont="1" applyFill="1" applyBorder="1" applyAlignment="1">
      <alignment horizontal="center" vertical="center" wrapText="1"/>
    </xf>
    <xf numFmtId="3" fontId="3" fillId="3" borderId="117" xfId="0" applyNumberFormat="1" applyFont="1" applyFill="1" applyBorder="1" applyAlignment="1">
      <alignment horizontal="right" vertical="top" wrapText="1"/>
    </xf>
    <xf numFmtId="0" fontId="3" fillId="7" borderId="113" xfId="0" applyFont="1" applyFill="1" applyBorder="1" applyAlignment="1">
      <alignment horizontal="center" vertical="top"/>
    </xf>
    <xf numFmtId="0" fontId="3" fillId="7" borderId="81" xfId="0" applyFont="1" applyFill="1" applyBorder="1" applyAlignment="1">
      <alignment vertical="top" wrapText="1"/>
    </xf>
    <xf numFmtId="49" fontId="5" fillId="0" borderId="82" xfId="0" applyNumberFormat="1" applyFont="1" applyBorder="1" applyAlignment="1">
      <alignment horizontal="center" vertical="top"/>
    </xf>
    <xf numFmtId="0" fontId="3" fillId="7" borderId="94" xfId="0" applyFont="1" applyFill="1" applyBorder="1" applyAlignment="1">
      <alignment horizontal="center" vertical="top"/>
    </xf>
    <xf numFmtId="0" fontId="16" fillId="0" borderId="79" xfId="0" applyFont="1" applyFill="1" applyBorder="1" applyAlignment="1">
      <alignment horizontal="left" vertical="top" wrapText="1"/>
    </xf>
    <xf numFmtId="0" fontId="3" fillId="7" borderId="80" xfId="0" applyNumberFormat="1" applyFont="1" applyFill="1" applyBorder="1" applyAlignment="1">
      <alignment horizontal="center" vertical="top"/>
    </xf>
    <xf numFmtId="0" fontId="3" fillId="7" borderId="80" xfId="0" applyNumberFormat="1" applyFont="1" applyFill="1" applyBorder="1" applyAlignment="1">
      <alignment vertical="center" textRotation="90"/>
    </xf>
    <xf numFmtId="0" fontId="3" fillId="7" borderId="82" xfId="0" applyNumberFormat="1" applyFont="1" applyFill="1" applyBorder="1" applyAlignment="1">
      <alignment vertical="center" textRotation="90"/>
    </xf>
    <xf numFmtId="3" fontId="3" fillId="7" borderId="7" xfId="0" applyNumberFormat="1" applyFont="1" applyFill="1" applyBorder="1" applyAlignment="1">
      <alignment horizontal="right" vertical="top"/>
    </xf>
    <xf numFmtId="3" fontId="3" fillId="7" borderId="39" xfId="0" applyNumberFormat="1" applyFont="1" applyFill="1" applyBorder="1" applyAlignment="1">
      <alignment horizontal="right" vertical="top"/>
    </xf>
    <xf numFmtId="0" fontId="3" fillId="0" borderId="82" xfId="0" applyNumberFormat="1" applyFont="1" applyFill="1" applyBorder="1" applyAlignment="1">
      <alignment horizontal="center" vertical="top"/>
    </xf>
    <xf numFmtId="3" fontId="3" fillId="7" borderId="95" xfId="0" applyNumberFormat="1" applyFont="1" applyFill="1" applyBorder="1" applyAlignment="1">
      <alignment vertical="top"/>
    </xf>
    <xf numFmtId="3" fontId="3" fillId="7" borderId="0" xfId="0" applyNumberFormat="1" applyFont="1" applyFill="1" applyBorder="1" applyAlignment="1">
      <alignment vertical="top"/>
    </xf>
    <xf numFmtId="3" fontId="3" fillId="0" borderId="26" xfId="0" applyNumberFormat="1" applyFont="1" applyFill="1" applyBorder="1" applyAlignment="1">
      <alignment horizontal="center" vertical="top"/>
    </xf>
    <xf numFmtId="3" fontId="5" fillId="8" borderId="66" xfId="0" applyNumberFormat="1" applyFont="1" applyFill="1" applyBorder="1" applyAlignment="1">
      <alignment horizontal="right" vertical="top"/>
    </xf>
    <xf numFmtId="3" fontId="5" fillId="8" borderId="73" xfId="0" applyNumberFormat="1" applyFont="1" applyFill="1" applyBorder="1" applyAlignment="1">
      <alignment horizontal="right" vertical="top"/>
    </xf>
    <xf numFmtId="3" fontId="3" fillId="3" borderId="43" xfId="0" applyNumberFormat="1" applyFont="1" applyFill="1" applyBorder="1" applyAlignment="1">
      <alignment vertical="top" wrapText="1"/>
    </xf>
    <xf numFmtId="3" fontId="5" fillId="2" borderId="55" xfId="0" applyNumberFormat="1" applyFont="1" applyFill="1" applyBorder="1" applyAlignment="1">
      <alignment horizontal="right" vertical="top"/>
    </xf>
    <xf numFmtId="3" fontId="3" fillId="7" borderId="103" xfId="0" applyNumberFormat="1" applyFont="1" applyFill="1" applyBorder="1" applyAlignment="1">
      <alignment horizontal="right" vertical="top"/>
    </xf>
    <xf numFmtId="3" fontId="3" fillId="7" borderId="78" xfId="0" applyNumberFormat="1" applyFont="1" applyFill="1" applyBorder="1" applyAlignment="1">
      <alignment horizontal="right" vertical="top"/>
    </xf>
    <xf numFmtId="0" fontId="5" fillId="8" borderId="67" xfId="0" applyFont="1" applyFill="1" applyBorder="1" applyAlignment="1">
      <alignment horizontal="center" vertical="top"/>
    </xf>
    <xf numFmtId="0" fontId="5" fillId="3" borderId="69" xfId="0" applyFont="1" applyFill="1" applyBorder="1" applyAlignment="1">
      <alignment horizontal="center" vertical="top"/>
    </xf>
    <xf numFmtId="0" fontId="3" fillId="0" borderId="49" xfId="0" applyFont="1" applyFill="1" applyBorder="1" applyAlignment="1">
      <alignment horizontal="center" vertical="top" wrapText="1"/>
    </xf>
    <xf numFmtId="3" fontId="3" fillId="0" borderId="0" xfId="0" applyNumberFormat="1" applyFont="1" applyBorder="1" applyAlignment="1">
      <alignment vertical="top"/>
    </xf>
    <xf numFmtId="0" fontId="3" fillId="0" borderId="107" xfId="0" applyFont="1" applyFill="1" applyBorder="1" applyAlignment="1">
      <alignment horizontal="center" vertical="top" wrapText="1"/>
    </xf>
    <xf numFmtId="0" fontId="7" fillId="7" borderId="34" xfId="0" applyFont="1" applyFill="1" applyBorder="1" applyAlignment="1">
      <alignment horizontal="center" vertical="center" wrapText="1"/>
    </xf>
    <xf numFmtId="0" fontId="3" fillId="7" borderId="4" xfId="0" applyFont="1" applyFill="1" applyBorder="1" applyAlignment="1">
      <alignment vertical="top" wrapText="1"/>
    </xf>
    <xf numFmtId="0" fontId="3" fillId="7" borderId="103" xfId="0" applyFont="1" applyFill="1" applyBorder="1" applyAlignment="1">
      <alignment horizontal="center" vertical="top"/>
    </xf>
    <xf numFmtId="3" fontId="3" fillId="0" borderId="56" xfId="0" applyNumberFormat="1" applyFont="1" applyFill="1" applyBorder="1" applyAlignment="1">
      <alignment horizontal="center" vertical="top"/>
    </xf>
    <xf numFmtId="0" fontId="5" fillId="0" borderId="8" xfId="0" applyFont="1" applyFill="1" applyBorder="1" applyAlignment="1">
      <alignment horizontal="center" vertical="top" wrapText="1"/>
    </xf>
    <xf numFmtId="0" fontId="22" fillId="3" borderId="11" xfId="0" applyFont="1" applyFill="1" applyBorder="1" applyAlignment="1">
      <alignment horizontal="center" vertical="center" textRotation="90" wrapText="1"/>
    </xf>
    <xf numFmtId="0" fontId="3" fillId="7" borderId="79" xfId="0" applyFont="1" applyFill="1" applyBorder="1" applyAlignment="1">
      <alignment vertical="top" wrapText="1"/>
    </xf>
    <xf numFmtId="3" fontId="3" fillId="7" borderId="83" xfId="0" applyNumberFormat="1" applyFont="1" applyFill="1" applyBorder="1" applyAlignment="1">
      <alignment horizontal="center" vertical="top" wrapText="1"/>
    </xf>
    <xf numFmtId="0" fontId="3" fillId="7" borderId="34" xfId="0" applyFont="1" applyFill="1" applyBorder="1" applyAlignment="1">
      <alignment horizontal="center" vertical="top" wrapText="1"/>
    </xf>
    <xf numFmtId="3" fontId="3" fillId="7" borderId="86" xfId="0" applyNumberFormat="1" applyFont="1" applyFill="1" applyBorder="1" applyAlignment="1">
      <alignment horizontal="center" vertical="top"/>
    </xf>
    <xf numFmtId="3" fontId="3" fillId="0" borderId="0" xfId="0" applyNumberFormat="1" applyFont="1" applyAlignment="1">
      <alignment vertical="top"/>
    </xf>
    <xf numFmtId="49" fontId="5" fillId="7" borderId="42" xfId="0" applyNumberFormat="1" applyFont="1" applyFill="1" applyBorder="1" applyAlignment="1">
      <alignment horizontal="center" vertical="top"/>
    </xf>
    <xf numFmtId="49" fontId="5" fillId="7" borderId="48" xfId="0" applyNumberFormat="1" applyFont="1" applyFill="1" applyBorder="1" applyAlignment="1">
      <alignment horizontal="center" vertical="top"/>
    </xf>
    <xf numFmtId="0" fontId="3" fillId="3" borderId="115" xfId="0" applyFont="1" applyFill="1" applyBorder="1" applyAlignment="1">
      <alignment horizontal="left" vertical="top" wrapText="1"/>
    </xf>
    <xf numFmtId="0" fontId="11" fillId="7" borderId="110" xfId="0" applyFont="1" applyFill="1" applyBorder="1" applyAlignment="1">
      <alignment horizontal="center" vertical="center" wrapText="1"/>
    </xf>
    <xf numFmtId="0" fontId="3" fillId="0" borderId="90" xfId="0" applyFont="1" applyFill="1" applyBorder="1" applyAlignment="1">
      <alignment horizontal="left" vertical="top" wrapText="1"/>
    </xf>
    <xf numFmtId="166" fontId="3" fillId="7" borderId="10" xfId="0" applyNumberFormat="1" applyFont="1" applyFill="1" applyBorder="1" applyAlignment="1">
      <alignment horizontal="center" vertical="top"/>
    </xf>
    <xf numFmtId="166" fontId="3" fillId="7" borderId="17" xfId="0" applyNumberFormat="1" applyFont="1" applyFill="1" applyBorder="1" applyAlignment="1">
      <alignment horizontal="center" vertical="top"/>
    </xf>
    <xf numFmtId="3" fontId="3" fillId="7" borderId="65" xfId="0" applyNumberFormat="1" applyFont="1" applyFill="1" applyBorder="1" applyAlignment="1">
      <alignment horizontal="right" vertical="top"/>
    </xf>
    <xf numFmtId="0" fontId="3" fillId="7" borderId="8" xfId="0" applyFont="1" applyFill="1" applyBorder="1" applyAlignment="1">
      <alignment horizontal="left" vertical="top" wrapText="1"/>
    </xf>
    <xf numFmtId="0" fontId="3" fillId="7" borderId="11" xfId="0" applyFont="1" applyFill="1" applyBorder="1" applyAlignment="1">
      <alignment horizontal="left" vertical="top" wrapText="1"/>
    </xf>
    <xf numFmtId="3" fontId="3" fillId="7" borderId="12" xfId="0" applyNumberFormat="1" applyFont="1" applyFill="1" applyBorder="1" applyAlignment="1">
      <alignment horizontal="center" vertical="top" wrapText="1"/>
    </xf>
    <xf numFmtId="3" fontId="3" fillId="7" borderId="14" xfId="0" applyNumberFormat="1" applyFont="1" applyFill="1" applyBorder="1" applyAlignment="1">
      <alignment horizontal="center" vertical="top" wrapText="1"/>
    </xf>
    <xf numFmtId="3" fontId="3" fillId="7" borderId="16"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3" fontId="3" fillId="7" borderId="31" xfId="0" applyNumberFormat="1" applyFont="1" applyFill="1" applyBorder="1" applyAlignment="1">
      <alignment horizontal="center" vertical="top" wrapText="1"/>
    </xf>
    <xf numFmtId="0" fontId="3" fillId="3" borderId="82" xfId="0" applyFont="1" applyFill="1" applyBorder="1" applyAlignment="1">
      <alignment horizontal="left" vertical="top" wrapText="1"/>
    </xf>
    <xf numFmtId="49" fontId="5" fillId="0" borderId="17" xfId="0" applyNumberFormat="1" applyFont="1" applyBorder="1" applyAlignment="1">
      <alignment horizontal="center" vertical="top"/>
    </xf>
    <xf numFmtId="49" fontId="5" fillId="0" borderId="27" xfId="0" applyNumberFormat="1" applyFont="1" applyBorder="1" applyAlignment="1">
      <alignment horizontal="center" vertical="top"/>
    </xf>
    <xf numFmtId="49" fontId="5" fillId="9" borderId="6" xfId="0" applyNumberFormat="1" applyFont="1" applyFill="1" applyBorder="1" applyAlignment="1">
      <alignment horizontal="center" vertical="top"/>
    </xf>
    <xf numFmtId="49" fontId="5" fillId="9" borderId="34"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0" borderId="86" xfId="0" applyNumberFormat="1" applyFont="1" applyBorder="1" applyAlignment="1">
      <alignment horizontal="center" vertical="top"/>
    </xf>
    <xf numFmtId="0" fontId="5" fillId="3" borderId="34" xfId="0" applyFont="1" applyFill="1" applyBorder="1" applyAlignment="1">
      <alignment horizontal="center" vertical="top" wrapText="1"/>
    </xf>
    <xf numFmtId="49" fontId="5" fillId="3" borderId="48" xfId="0" applyNumberFormat="1" applyFont="1" applyFill="1" applyBorder="1" applyAlignment="1">
      <alignment horizontal="center" vertical="top"/>
    </xf>
    <xf numFmtId="0" fontId="5" fillId="0" borderId="37" xfId="0" applyFont="1" applyFill="1" applyBorder="1" applyAlignment="1">
      <alignment horizontal="center" vertical="top" wrapText="1"/>
    </xf>
    <xf numFmtId="0" fontId="5" fillId="0" borderId="29" xfId="0" applyFont="1" applyFill="1" applyBorder="1" applyAlignment="1">
      <alignment horizontal="center" vertical="top" wrapText="1"/>
    </xf>
    <xf numFmtId="0" fontId="3" fillId="0" borderId="29" xfId="0" applyFont="1" applyFill="1" applyBorder="1" applyAlignment="1">
      <alignment horizontal="left" vertical="top" wrapText="1"/>
    </xf>
    <xf numFmtId="49" fontId="5" fillId="9" borderId="8" xfId="0" applyNumberFormat="1" applyFont="1" applyFill="1" applyBorder="1" applyAlignment="1">
      <alignment horizontal="center" vertical="top"/>
    </xf>
    <xf numFmtId="0" fontId="3" fillId="3" borderId="17" xfId="0" applyFont="1" applyFill="1" applyBorder="1" applyAlignment="1">
      <alignment vertical="top" wrapText="1"/>
    </xf>
    <xf numFmtId="0" fontId="3" fillId="3" borderId="31" xfId="0" applyFont="1" applyFill="1" applyBorder="1" applyAlignment="1">
      <alignment vertical="top" wrapText="1"/>
    </xf>
    <xf numFmtId="0" fontId="3" fillId="0" borderId="34" xfId="0" applyFont="1" applyFill="1" applyBorder="1" applyAlignment="1">
      <alignment horizontal="center" vertical="center" textRotation="90" wrapText="1"/>
    </xf>
    <xf numFmtId="0" fontId="3" fillId="0" borderId="73" xfId="0" applyFont="1" applyFill="1" applyBorder="1" applyAlignment="1">
      <alignment horizontal="center" vertical="center" textRotation="90" wrapText="1"/>
    </xf>
    <xf numFmtId="49" fontId="5" fillId="9" borderId="4" xfId="0" applyNumberFormat="1" applyFont="1" applyFill="1" applyBorder="1" applyAlignment="1">
      <alignment horizontal="center" vertical="top"/>
    </xf>
    <xf numFmtId="49" fontId="5" fillId="2" borderId="25"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49" fontId="5" fillId="7" borderId="30" xfId="0" applyNumberFormat="1" applyFont="1" applyFill="1" applyBorder="1" applyAlignment="1">
      <alignment horizontal="center" vertical="top"/>
    </xf>
    <xf numFmtId="49" fontId="5" fillId="0" borderId="31" xfId="0" applyNumberFormat="1" applyFont="1" applyBorder="1" applyAlignment="1">
      <alignment horizontal="center" vertical="top"/>
    </xf>
    <xf numFmtId="49" fontId="5" fillId="7" borderId="56" xfId="0" applyNumberFormat="1" applyFont="1" applyFill="1" applyBorder="1" applyAlignment="1">
      <alignment horizontal="center" vertical="top"/>
    </xf>
    <xf numFmtId="0" fontId="5" fillId="0" borderId="45" xfId="0" applyFont="1" applyFill="1" applyBorder="1" applyAlignment="1">
      <alignment horizontal="center" vertical="top" wrapText="1"/>
    </xf>
    <xf numFmtId="0" fontId="5" fillId="0" borderId="34" xfId="0" applyFont="1" applyFill="1" applyBorder="1" applyAlignment="1">
      <alignment horizontal="center" vertical="top" wrapText="1"/>
    </xf>
    <xf numFmtId="49" fontId="5" fillId="0" borderId="26" xfId="0" applyNumberFormat="1" applyFont="1" applyBorder="1" applyAlignment="1">
      <alignment horizontal="center" vertical="top"/>
    </xf>
    <xf numFmtId="0" fontId="3" fillId="2" borderId="55" xfId="0" applyFont="1" applyFill="1" applyBorder="1" applyAlignment="1">
      <alignment horizontal="center" vertical="top" wrapText="1"/>
    </xf>
    <xf numFmtId="0" fontId="3" fillId="3" borderId="37" xfId="0" applyFont="1" applyFill="1" applyBorder="1" applyAlignment="1">
      <alignment horizontal="left" vertical="top" wrapText="1"/>
    </xf>
    <xf numFmtId="0" fontId="5" fillId="0" borderId="6" xfId="0" applyFont="1" applyFill="1" applyBorder="1" applyAlignment="1">
      <alignment horizontal="center" vertical="top" wrapText="1"/>
    </xf>
    <xf numFmtId="0" fontId="3" fillId="7" borderId="6" xfId="0" applyFont="1" applyFill="1" applyBorder="1" applyAlignment="1">
      <alignment horizontal="left" vertical="top" wrapText="1"/>
    </xf>
    <xf numFmtId="0" fontId="3" fillId="0" borderId="4" xfId="0" applyFont="1" applyFill="1" applyBorder="1" applyAlignment="1">
      <alignment horizontal="left" vertical="top" wrapText="1"/>
    </xf>
    <xf numFmtId="3" fontId="3" fillId="0" borderId="26" xfId="0" applyNumberFormat="1" applyFont="1" applyFill="1" applyBorder="1" applyAlignment="1">
      <alignment horizontal="center" vertical="top" wrapText="1"/>
    </xf>
    <xf numFmtId="49" fontId="5" fillId="0" borderId="16" xfId="0" applyNumberFormat="1" applyFont="1" applyBorder="1" applyAlignment="1">
      <alignment horizontal="center" vertical="top"/>
    </xf>
    <xf numFmtId="3" fontId="3" fillId="0" borderId="25" xfId="0" applyNumberFormat="1" applyFont="1" applyFill="1" applyBorder="1" applyAlignment="1">
      <alignment horizontal="left" vertical="top" wrapText="1"/>
    </xf>
    <xf numFmtId="0" fontId="3" fillId="0" borderId="41" xfId="0" applyFont="1" applyFill="1" applyBorder="1" applyAlignment="1">
      <alignment horizontal="left" vertical="top" wrapText="1"/>
    </xf>
    <xf numFmtId="3" fontId="3" fillId="0" borderId="26" xfId="0" applyNumberFormat="1" applyFont="1" applyFill="1" applyBorder="1" applyAlignment="1">
      <alignment horizontal="left" vertical="top" wrapText="1"/>
    </xf>
    <xf numFmtId="0" fontId="3" fillId="0" borderId="32" xfId="0" applyFont="1" applyBorder="1" applyAlignment="1">
      <alignment horizontal="center" vertical="top"/>
    </xf>
    <xf numFmtId="0" fontId="3" fillId="0" borderId="62" xfId="0" applyFont="1" applyFill="1" applyBorder="1" applyAlignment="1">
      <alignment vertical="top" wrapText="1"/>
    </xf>
    <xf numFmtId="3" fontId="3" fillId="7" borderId="61" xfId="0" applyNumberFormat="1" applyFont="1" applyFill="1" applyBorder="1" applyAlignment="1">
      <alignment horizontal="right" vertical="top"/>
    </xf>
    <xf numFmtId="0" fontId="3" fillId="7" borderId="31" xfId="0" applyNumberFormat="1" applyFont="1" applyFill="1" applyBorder="1" applyAlignment="1">
      <alignment vertical="center" textRotation="90"/>
    </xf>
    <xf numFmtId="0" fontId="11" fillId="0" borderId="8" xfId="0" applyFont="1" applyBorder="1" applyAlignment="1">
      <alignment vertical="top"/>
    </xf>
    <xf numFmtId="3" fontId="3" fillId="7" borderId="76" xfId="0" applyNumberFormat="1" applyFont="1" applyFill="1" applyBorder="1" applyAlignment="1">
      <alignment horizontal="right" vertical="top"/>
    </xf>
    <xf numFmtId="3" fontId="3" fillId="7" borderId="53" xfId="0" applyNumberFormat="1" applyFont="1" applyFill="1" applyBorder="1" applyAlignment="1">
      <alignment horizontal="right" vertical="top"/>
    </xf>
    <xf numFmtId="3" fontId="5" fillId="8" borderId="56" xfId="0" applyNumberFormat="1" applyFont="1" applyFill="1" applyBorder="1" applyAlignment="1">
      <alignment vertical="top"/>
    </xf>
    <xf numFmtId="165" fontId="3" fillId="3" borderId="70" xfId="0" applyNumberFormat="1" applyFont="1" applyFill="1" applyBorder="1" applyAlignment="1">
      <alignment vertical="top" wrapText="1"/>
    </xf>
    <xf numFmtId="3" fontId="3" fillId="3" borderId="39" xfId="0" applyNumberFormat="1" applyFont="1" applyFill="1" applyBorder="1" applyAlignment="1">
      <alignment horizontal="right" vertical="top" wrapText="1"/>
    </xf>
    <xf numFmtId="3" fontId="5" fillId="8" borderId="33" xfId="0" applyNumberFormat="1" applyFont="1" applyFill="1" applyBorder="1" applyAlignment="1">
      <alignment horizontal="right" vertical="top"/>
    </xf>
    <xf numFmtId="3" fontId="5" fillId="2" borderId="72" xfId="0" applyNumberFormat="1" applyFont="1" applyFill="1" applyBorder="1" applyAlignment="1">
      <alignment horizontal="right" vertical="top"/>
    </xf>
    <xf numFmtId="3" fontId="3" fillId="7" borderId="22" xfId="0" applyNumberFormat="1" applyFont="1" applyFill="1" applyBorder="1" applyAlignment="1">
      <alignment horizontal="right" vertical="top"/>
    </xf>
    <xf numFmtId="3" fontId="3" fillId="7" borderId="0" xfId="0" applyNumberFormat="1" applyFont="1" applyFill="1" applyBorder="1" applyAlignment="1">
      <alignment horizontal="right" vertical="top"/>
    </xf>
    <xf numFmtId="49" fontId="5" fillId="2" borderId="10"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0" fontId="19" fillId="0" borderId="29" xfId="0" applyFont="1" applyBorder="1" applyAlignment="1">
      <alignment horizontal="center" vertical="top" wrapText="1"/>
    </xf>
    <xf numFmtId="49" fontId="5" fillId="0" borderId="27" xfId="0" applyNumberFormat="1" applyFont="1" applyBorder="1" applyAlignment="1">
      <alignment horizontal="center" vertical="top"/>
    </xf>
    <xf numFmtId="0" fontId="3" fillId="3" borderId="27" xfId="0" applyFont="1" applyFill="1" applyBorder="1" applyAlignment="1">
      <alignment horizontal="left" vertical="top" wrapText="1"/>
    </xf>
    <xf numFmtId="0" fontId="11" fillId="0" borderId="31" xfId="0" applyFont="1" applyBorder="1" applyAlignment="1">
      <alignment horizontal="left" vertical="top" wrapText="1"/>
    </xf>
    <xf numFmtId="0" fontId="3" fillId="3" borderId="17" xfId="0" applyFont="1" applyFill="1" applyBorder="1" applyAlignment="1">
      <alignment horizontal="left" vertical="top" wrapText="1"/>
    </xf>
    <xf numFmtId="49" fontId="5" fillId="0" borderId="17"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3" fontId="16" fillId="0" borderId="0" xfId="0" applyNumberFormat="1" applyFont="1" applyBorder="1" applyAlignment="1">
      <alignment vertical="top"/>
    </xf>
    <xf numFmtId="0" fontId="16" fillId="0" borderId="0" xfId="0" applyFont="1" applyBorder="1" applyAlignment="1">
      <alignment vertical="top"/>
    </xf>
    <xf numFmtId="0" fontId="16" fillId="0" borderId="0" xfId="0" applyFont="1" applyAlignment="1">
      <alignment vertical="top"/>
    </xf>
    <xf numFmtId="3" fontId="3" fillId="7" borderId="50" xfId="1" applyNumberFormat="1" applyFont="1" applyFill="1" applyBorder="1" applyAlignment="1">
      <alignment horizontal="right" vertical="top"/>
    </xf>
    <xf numFmtId="0" fontId="10" fillId="0" borderId="27" xfId="0" applyFont="1" applyBorder="1" applyAlignment="1">
      <alignment vertical="top" wrapText="1"/>
    </xf>
    <xf numFmtId="0" fontId="22" fillId="0" borderId="29" xfId="0" applyFont="1" applyFill="1" applyBorder="1" applyAlignment="1">
      <alignment horizontal="center" vertical="center" textRotation="90" wrapText="1"/>
    </xf>
    <xf numFmtId="165" fontId="3" fillId="3" borderId="53" xfId="0" applyNumberFormat="1" applyFont="1" applyFill="1" applyBorder="1" applyAlignment="1">
      <alignment horizontal="right" vertical="top" wrapText="1"/>
    </xf>
    <xf numFmtId="0" fontId="3" fillId="0" borderId="0" xfId="0" applyNumberFormat="1" applyFont="1" applyBorder="1" applyAlignment="1">
      <alignment vertical="top" wrapText="1"/>
    </xf>
    <xf numFmtId="3" fontId="3" fillId="0" borderId="105" xfId="0" applyNumberFormat="1" applyFont="1" applyFill="1" applyBorder="1" applyAlignment="1">
      <alignment horizontal="center" vertical="top"/>
    </xf>
    <xf numFmtId="3" fontId="3" fillId="7" borderId="97" xfId="0" applyNumberFormat="1" applyFont="1" applyFill="1" applyBorder="1" applyAlignment="1">
      <alignment horizontal="center" vertical="top"/>
    </xf>
    <xf numFmtId="165" fontId="3" fillId="7" borderId="76" xfId="0" applyNumberFormat="1" applyFont="1" applyFill="1" applyBorder="1" applyAlignment="1">
      <alignment horizontal="right" vertical="top"/>
    </xf>
    <xf numFmtId="165" fontId="3" fillId="7" borderId="23" xfId="0" applyNumberFormat="1" applyFont="1" applyFill="1" applyBorder="1" applyAlignment="1">
      <alignment horizontal="right" vertical="top"/>
    </xf>
    <xf numFmtId="3" fontId="3" fillId="7" borderId="114" xfId="0" applyNumberFormat="1" applyFont="1" applyFill="1" applyBorder="1" applyAlignment="1">
      <alignment horizontal="right" vertical="top"/>
    </xf>
    <xf numFmtId="3" fontId="3" fillId="7" borderId="101" xfId="0" applyNumberFormat="1" applyFont="1" applyFill="1" applyBorder="1" applyAlignment="1">
      <alignment horizontal="right" vertical="top"/>
    </xf>
    <xf numFmtId="3" fontId="3" fillId="7" borderId="96" xfId="0" applyNumberFormat="1" applyFont="1" applyFill="1" applyBorder="1" applyAlignment="1">
      <alignment horizontal="right" vertical="top"/>
    </xf>
    <xf numFmtId="3" fontId="3" fillId="7" borderId="91" xfId="0" applyNumberFormat="1" applyFont="1" applyFill="1" applyBorder="1" applyAlignment="1">
      <alignment horizontal="right" vertical="top"/>
    </xf>
    <xf numFmtId="3" fontId="3" fillId="7" borderId="5" xfId="0" applyNumberFormat="1" applyFont="1" applyFill="1" applyBorder="1" applyAlignment="1">
      <alignment horizontal="right" vertical="top"/>
    </xf>
    <xf numFmtId="3" fontId="3" fillId="7" borderId="49" xfId="0" applyNumberFormat="1" applyFont="1" applyFill="1" applyBorder="1" applyAlignment="1">
      <alignment horizontal="right" vertical="top"/>
    </xf>
    <xf numFmtId="3" fontId="3" fillId="7" borderId="107" xfId="0" applyNumberFormat="1" applyFont="1" applyFill="1" applyBorder="1" applyAlignment="1">
      <alignment horizontal="right" vertical="top"/>
    </xf>
    <xf numFmtId="3" fontId="3" fillId="7" borderId="34" xfId="0" applyNumberFormat="1" applyFont="1" applyFill="1" applyBorder="1" applyAlignment="1">
      <alignment horizontal="right" vertical="top"/>
    </xf>
    <xf numFmtId="0" fontId="9" fillId="7" borderId="10" xfId="0" applyFont="1" applyFill="1" applyBorder="1" applyAlignment="1">
      <alignment horizontal="center" vertical="top" wrapText="1"/>
    </xf>
    <xf numFmtId="3" fontId="5" fillId="7" borderId="69" xfId="0" applyNumberFormat="1" applyFont="1" applyFill="1" applyBorder="1" applyAlignment="1">
      <alignment horizontal="right" vertical="top"/>
    </xf>
    <xf numFmtId="3" fontId="5" fillId="7" borderId="9" xfId="0" applyNumberFormat="1" applyFont="1" applyFill="1" applyBorder="1" applyAlignment="1">
      <alignment horizontal="right" vertical="top"/>
    </xf>
    <xf numFmtId="3" fontId="3" fillId="7" borderId="83" xfId="0" applyNumberFormat="1" applyFont="1" applyFill="1" applyBorder="1" applyAlignment="1">
      <alignment horizontal="right" vertical="top"/>
    </xf>
    <xf numFmtId="3" fontId="3" fillId="7" borderId="18" xfId="0" applyNumberFormat="1" applyFont="1" applyFill="1" applyBorder="1" applyAlignment="1">
      <alignment horizontal="right" vertical="top"/>
    </xf>
    <xf numFmtId="3" fontId="3" fillId="7" borderId="36" xfId="0" applyNumberFormat="1" applyFont="1" applyFill="1" applyBorder="1" applyAlignment="1">
      <alignment horizontal="right" vertical="top"/>
    </xf>
    <xf numFmtId="3" fontId="3" fillId="7" borderId="113" xfId="0" applyNumberFormat="1" applyFont="1" applyFill="1" applyBorder="1" applyAlignment="1">
      <alignment horizontal="right" vertical="top"/>
    </xf>
    <xf numFmtId="3" fontId="5" fillId="7" borderId="45" xfId="0" applyNumberFormat="1" applyFont="1" applyFill="1" applyBorder="1" applyAlignment="1">
      <alignment horizontal="right" vertical="top"/>
    </xf>
    <xf numFmtId="3" fontId="5" fillId="7" borderId="40" xfId="0" applyNumberFormat="1" applyFont="1" applyFill="1" applyBorder="1" applyAlignment="1">
      <alignment horizontal="right" vertical="top"/>
    </xf>
    <xf numFmtId="3" fontId="5" fillId="7" borderId="70" xfId="0" applyNumberFormat="1" applyFont="1" applyFill="1" applyBorder="1" applyAlignment="1">
      <alignment horizontal="right" vertical="top"/>
    </xf>
    <xf numFmtId="3" fontId="3" fillId="7" borderId="44" xfId="0" applyNumberFormat="1" applyFont="1" applyFill="1" applyBorder="1" applyAlignment="1">
      <alignment horizontal="right" vertical="top" wrapText="1"/>
    </xf>
    <xf numFmtId="3" fontId="3" fillId="7" borderId="53" xfId="0" applyNumberFormat="1" applyFont="1" applyFill="1" applyBorder="1" applyAlignment="1">
      <alignment horizontal="right" vertical="top" wrapText="1"/>
    </xf>
    <xf numFmtId="0" fontId="3" fillId="3" borderId="65" xfId="0" applyFont="1" applyFill="1" applyBorder="1" applyAlignment="1">
      <alignment horizontal="center" vertical="top"/>
    </xf>
    <xf numFmtId="3" fontId="3" fillId="7" borderId="70" xfId="0" applyNumberFormat="1" applyFont="1" applyFill="1" applyBorder="1" applyAlignment="1">
      <alignment horizontal="right" vertical="top"/>
    </xf>
    <xf numFmtId="3" fontId="3" fillId="7" borderId="44" xfId="0" applyNumberFormat="1" applyFont="1" applyFill="1" applyBorder="1" applyAlignment="1">
      <alignment horizontal="right" vertical="top"/>
    </xf>
    <xf numFmtId="3" fontId="3" fillId="7" borderId="109" xfId="0" applyNumberFormat="1" applyFont="1" applyFill="1" applyBorder="1" applyAlignment="1">
      <alignment horizontal="right" vertical="top" wrapText="1"/>
    </xf>
    <xf numFmtId="3" fontId="3" fillId="7" borderId="99" xfId="0" applyNumberFormat="1" applyFont="1" applyFill="1" applyBorder="1" applyAlignment="1">
      <alignment horizontal="right" vertical="top" wrapText="1"/>
    </xf>
    <xf numFmtId="3" fontId="3" fillId="7" borderId="108" xfId="0" applyNumberFormat="1" applyFont="1" applyFill="1" applyBorder="1" applyAlignment="1">
      <alignment horizontal="right" vertical="top"/>
    </xf>
    <xf numFmtId="3" fontId="3" fillId="7" borderId="45" xfId="1" applyNumberFormat="1" applyFont="1" applyFill="1" applyBorder="1" applyAlignment="1">
      <alignment horizontal="right" vertical="top"/>
    </xf>
    <xf numFmtId="3" fontId="3" fillId="7" borderId="40" xfId="1" applyNumberFormat="1" applyFont="1" applyFill="1" applyBorder="1" applyAlignment="1">
      <alignment horizontal="right" vertical="top"/>
    </xf>
    <xf numFmtId="3" fontId="3" fillId="7" borderId="40" xfId="0" applyNumberFormat="1" applyFont="1" applyFill="1" applyBorder="1" applyAlignment="1">
      <alignment horizontal="right" vertical="top"/>
    </xf>
    <xf numFmtId="3" fontId="3" fillId="7" borderId="41" xfId="0" applyNumberFormat="1" applyFont="1" applyFill="1" applyBorder="1" applyAlignment="1">
      <alignment horizontal="right" vertical="top"/>
    </xf>
    <xf numFmtId="3" fontId="3" fillId="7" borderId="109" xfId="0" applyNumberFormat="1" applyFont="1" applyFill="1" applyBorder="1" applyAlignment="1">
      <alignment horizontal="right" vertical="top"/>
    </xf>
    <xf numFmtId="3" fontId="5" fillId="2" borderId="71" xfId="0" applyNumberFormat="1" applyFont="1" applyFill="1" applyBorder="1" applyAlignment="1">
      <alignment horizontal="right" vertical="top"/>
    </xf>
    <xf numFmtId="3" fontId="3" fillId="7" borderId="43" xfId="0" applyNumberFormat="1" applyFont="1" applyFill="1" applyBorder="1" applyAlignment="1">
      <alignment horizontal="right" vertical="top"/>
    </xf>
    <xf numFmtId="3" fontId="3" fillId="0" borderId="70" xfId="0" applyNumberFormat="1" applyFont="1" applyFill="1" applyBorder="1" applyAlignment="1">
      <alignment horizontal="right" vertical="top"/>
    </xf>
    <xf numFmtId="3" fontId="5" fillId="8" borderId="7" xfId="0" applyNumberFormat="1" applyFont="1" applyFill="1" applyBorder="1" applyAlignment="1">
      <alignment horizontal="right" vertical="top"/>
    </xf>
    <xf numFmtId="3" fontId="3" fillId="7" borderId="74" xfId="0" applyNumberFormat="1" applyFont="1" applyFill="1" applyBorder="1" applyAlignment="1">
      <alignment horizontal="right" vertical="top"/>
    </xf>
    <xf numFmtId="3" fontId="3" fillId="7" borderId="9" xfId="0" applyNumberFormat="1" applyFont="1" applyFill="1" applyBorder="1" applyAlignment="1">
      <alignment horizontal="right" vertical="top"/>
    </xf>
    <xf numFmtId="3" fontId="3" fillId="7" borderId="116" xfId="0" applyNumberFormat="1" applyFont="1" applyFill="1" applyBorder="1" applyAlignment="1">
      <alignment horizontal="right" vertical="top"/>
    </xf>
    <xf numFmtId="3" fontId="3" fillId="7" borderId="112" xfId="0" applyNumberFormat="1" applyFont="1" applyFill="1" applyBorder="1" applyAlignment="1">
      <alignment horizontal="right" vertical="top"/>
    </xf>
    <xf numFmtId="3" fontId="3" fillId="7" borderId="87" xfId="0" applyNumberFormat="1" applyFont="1" applyFill="1" applyBorder="1" applyAlignment="1">
      <alignment horizontal="right" vertical="top"/>
    </xf>
    <xf numFmtId="3" fontId="3" fillId="7" borderId="51" xfId="0" applyNumberFormat="1" applyFont="1" applyFill="1" applyBorder="1" applyAlignment="1">
      <alignment horizontal="right" vertical="top"/>
    </xf>
    <xf numFmtId="3" fontId="3" fillId="7" borderId="119" xfId="0" applyNumberFormat="1" applyFont="1" applyFill="1" applyBorder="1" applyAlignment="1">
      <alignment horizontal="right" vertical="top"/>
    </xf>
    <xf numFmtId="3" fontId="3" fillId="7" borderId="47" xfId="0" applyNumberFormat="1" applyFont="1" applyFill="1" applyBorder="1" applyAlignment="1">
      <alignment horizontal="right" vertical="top"/>
    </xf>
    <xf numFmtId="3" fontId="3" fillId="7" borderId="69" xfId="0" applyNumberFormat="1" applyFont="1" applyFill="1" applyBorder="1" applyAlignment="1">
      <alignment horizontal="right" vertical="top"/>
    </xf>
    <xf numFmtId="3" fontId="3" fillId="7" borderId="70" xfId="0" applyNumberFormat="1" applyFont="1" applyFill="1" applyBorder="1" applyAlignment="1">
      <alignment horizontal="right" vertical="top" wrapText="1"/>
    </xf>
    <xf numFmtId="3" fontId="3" fillId="7" borderId="94" xfId="0" applyNumberFormat="1" applyFont="1" applyFill="1" applyBorder="1" applyAlignment="1">
      <alignment horizontal="right" vertical="top" wrapText="1"/>
    </xf>
    <xf numFmtId="3" fontId="3" fillId="7" borderId="22" xfId="0" applyNumberFormat="1" applyFont="1" applyFill="1" applyBorder="1" applyAlignment="1">
      <alignment vertical="top"/>
    </xf>
    <xf numFmtId="3" fontId="5" fillId="8" borderId="120" xfId="0" applyNumberFormat="1" applyFont="1" applyFill="1" applyBorder="1" applyAlignment="1">
      <alignment vertical="top"/>
    </xf>
    <xf numFmtId="3" fontId="5" fillId="8" borderId="67" xfId="0" applyNumberFormat="1" applyFont="1" applyFill="1" applyBorder="1" applyAlignment="1">
      <alignment vertical="top"/>
    </xf>
    <xf numFmtId="3" fontId="5" fillId="8" borderId="59" xfId="0" applyNumberFormat="1" applyFont="1" applyFill="1" applyBorder="1" applyAlignment="1">
      <alignment vertical="top"/>
    </xf>
    <xf numFmtId="3" fontId="5" fillId="9" borderId="24" xfId="0" applyNumberFormat="1" applyFont="1" applyFill="1" applyBorder="1" applyAlignment="1">
      <alignment vertical="top"/>
    </xf>
    <xf numFmtId="3" fontId="5" fillId="5" borderId="24" xfId="0" applyNumberFormat="1" applyFont="1" applyFill="1" applyBorder="1" applyAlignment="1">
      <alignment vertical="top"/>
    </xf>
    <xf numFmtId="49" fontId="3" fillId="0" borderId="0" xfId="0" applyNumberFormat="1" applyFont="1" applyFill="1" applyBorder="1" applyAlignment="1">
      <alignment horizontal="left" vertical="top"/>
    </xf>
    <xf numFmtId="0" fontId="3" fillId="0" borderId="7" xfId="0" applyFont="1" applyFill="1" applyBorder="1" applyAlignment="1">
      <alignment horizontal="center" vertical="top"/>
    </xf>
    <xf numFmtId="0" fontId="3" fillId="7" borderId="111" xfId="0" applyNumberFormat="1" applyFont="1" applyFill="1" applyBorder="1" applyAlignment="1">
      <alignment horizontal="center" vertical="top"/>
    </xf>
    <xf numFmtId="0" fontId="3" fillId="3" borderId="82" xfId="0" applyFont="1" applyFill="1" applyBorder="1" applyAlignment="1">
      <alignment vertical="top" wrapText="1"/>
    </xf>
    <xf numFmtId="0" fontId="3" fillId="0" borderId="91" xfId="0" applyFont="1" applyFill="1" applyBorder="1" applyAlignment="1">
      <alignment horizontal="center" vertical="center" textRotation="90" wrapText="1"/>
    </xf>
    <xf numFmtId="3" fontId="3" fillId="3" borderId="94" xfId="0" applyNumberFormat="1" applyFont="1" applyFill="1" applyBorder="1" applyAlignment="1">
      <alignment vertical="top" wrapText="1"/>
    </xf>
    <xf numFmtId="0" fontId="3" fillId="0" borderId="79" xfId="0" applyFont="1" applyFill="1" applyBorder="1" applyAlignment="1">
      <alignment horizontal="left" vertical="top" wrapText="1"/>
    </xf>
    <xf numFmtId="3" fontId="3" fillId="0" borderId="80" xfId="0" applyNumberFormat="1" applyFont="1" applyFill="1" applyBorder="1" applyAlignment="1">
      <alignment horizontal="center" vertical="top"/>
    </xf>
    <xf numFmtId="0" fontId="11" fillId="0" borderId="29" xfId="0" applyFont="1" applyBorder="1" applyAlignment="1">
      <alignment horizontal="left" vertical="top" wrapText="1"/>
    </xf>
    <xf numFmtId="0" fontId="3" fillId="0" borderId="29"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7" borderId="6" xfId="0" applyFont="1" applyFill="1" applyBorder="1" applyAlignment="1">
      <alignment horizontal="left" vertical="top" wrapText="1"/>
    </xf>
    <xf numFmtId="49" fontId="5" fillId="2" borderId="10"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49" fontId="5" fillId="10" borderId="11" xfId="0" applyNumberFormat="1" applyFont="1" applyFill="1" applyBorder="1" applyAlignment="1">
      <alignment horizontal="center" vertical="top"/>
    </xf>
    <xf numFmtId="0" fontId="5" fillId="10" borderId="51" xfId="0" applyFont="1" applyFill="1" applyBorder="1" applyAlignment="1">
      <alignment vertical="top"/>
    </xf>
    <xf numFmtId="0" fontId="0" fillId="10" borderId="74" xfId="0" applyFill="1" applyBorder="1" applyAlignment="1">
      <alignment horizontal="left" vertical="top"/>
    </xf>
    <xf numFmtId="0" fontId="3" fillId="10" borderId="12" xfId="0" applyFont="1" applyFill="1" applyBorder="1" applyAlignment="1">
      <alignment vertical="center" wrapText="1"/>
    </xf>
    <xf numFmtId="0" fontId="3" fillId="10" borderId="12" xfId="0" applyFont="1" applyFill="1" applyBorder="1" applyAlignment="1">
      <alignment horizontal="center" vertical="center" wrapText="1"/>
    </xf>
    <xf numFmtId="0" fontId="5" fillId="10" borderId="12" xfId="0" applyFont="1" applyFill="1" applyBorder="1" applyAlignment="1">
      <alignment horizontal="left" vertical="top"/>
    </xf>
    <xf numFmtId="0" fontId="5" fillId="10" borderId="70" xfId="0" applyFont="1" applyFill="1" applyBorder="1" applyAlignment="1">
      <alignment horizontal="left" vertical="top"/>
    </xf>
    <xf numFmtId="49" fontId="5" fillId="10" borderId="15" xfId="0" applyNumberFormat="1" applyFont="1" applyFill="1" applyBorder="1" applyAlignment="1">
      <alignment horizontal="center" vertical="top"/>
    </xf>
    <xf numFmtId="0" fontId="3"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5" fillId="10" borderId="1" xfId="0" applyFont="1" applyFill="1" applyBorder="1" applyAlignment="1">
      <alignment horizontal="left" vertical="top"/>
    </xf>
    <xf numFmtId="0" fontId="5" fillId="10" borderId="43" xfId="0" applyFont="1" applyFill="1" applyBorder="1" applyAlignment="1">
      <alignment horizontal="left" vertical="top"/>
    </xf>
    <xf numFmtId="0" fontId="5" fillId="10" borderId="38" xfId="0" applyFont="1" applyFill="1" applyBorder="1" applyAlignment="1">
      <alignment horizontal="left" vertical="top"/>
    </xf>
    <xf numFmtId="0" fontId="0" fillId="10" borderId="64" xfId="0" applyFill="1" applyBorder="1" applyAlignment="1">
      <alignment horizontal="left" vertical="top"/>
    </xf>
    <xf numFmtId="0" fontId="3" fillId="10" borderId="43" xfId="0" applyFont="1" applyFill="1" applyBorder="1" applyAlignment="1">
      <alignment horizontal="left" vertical="top" wrapText="1"/>
    </xf>
    <xf numFmtId="0" fontId="3" fillId="0" borderId="0" xfId="2" applyFont="1"/>
    <xf numFmtId="0" fontId="4" fillId="0" borderId="0" xfId="2" applyFont="1" applyAlignment="1">
      <alignment horizontal="right"/>
    </xf>
    <xf numFmtId="0" fontId="4" fillId="0" borderId="0" xfId="2" applyFont="1" applyAlignment="1">
      <alignment horizontal="right" vertical="top"/>
    </xf>
    <xf numFmtId="0" fontId="4" fillId="0" borderId="0" xfId="0" applyFont="1" applyAlignment="1">
      <alignment horizontal="right"/>
    </xf>
    <xf numFmtId="0" fontId="4" fillId="0" borderId="0" xfId="0" applyFont="1" applyAlignment="1">
      <alignment horizontal="right" vertical="top"/>
    </xf>
    <xf numFmtId="0" fontId="6" fillId="0" borderId="0" xfId="0" applyFont="1"/>
    <xf numFmtId="0" fontId="6" fillId="0" borderId="0" xfId="0" applyFont="1" applyAlignment="1">
      <alignment horizontal="center" vertical="top"/>
    </xf>
    <xf numFmtId="0" fontId="4" fillId="0" borderId="0" xfId="0" applyFont="1" applyAlignment="1">
      <alignment horizontal="center" vertical="top"/>
    </xf>
    <xf numFmtId="0" fontId="6" fillId="0" borderId="0" xfId="2" applyFont="1" applyAlignment="1">
      <alignment horizontal="center"/>
    </xf>
    <xf numFmtId="49" fontId="6" fillId="0" borderId="0" xfId="2" applyNumberFormat="1" applyFont="1" applyAlignment="1">
      <alignment horizontal="left" vertical="top" wrapText="1"/>
    </xf>
    <xf numFmtId="0" fontId="4" fillId="0" borderId="0" xfId="2" applyFont="1" applyAlignment="1">
      <alignment horizontal="left" vertical="top" wrapText="1"/>
    </xf>
    <xf numFmtId="0" fontId="4" fillId="0" borderId="0" xfId="0" applyFont="1" applyAlignment="1">
      <alignment horizontal="left" vertical="top"/>
    </xf>
    <xf numFmtId="0" fontId="4" fillId="7" borderId="0" xfId="2" applyFont="1" applyFill="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horizontal="left" vertical="center" wrapText="1"/>
    </xf>
    <xf numFmtId="0" fontId="3" fillId="0" borderId="89" xfId="0" applyNumberFormat="1" applyFont="1" applyFill="1" applyBorder="1" applyAlignment="1">
      <alignment vertical="center" wrapText="1"/>
    </xf>
    <xf numFmtId="0" fontId="3" fillId="0" borderId="79" xfId="0" applyFont="1" applyBorder="1" applyAlignment="1">
      <alignment vertical="top" wrapText="1"/>
    </xf>
    <xf numFmtId="0" fontId="3" fillId="0" borderId="80" xfId="0" applyFont="1" applyBorder="1" applyAlignment="1">
      <alignment horizontal="center" vertical="top"/>
    </xf>
    <xf numFmtId="166" fontId="3" fillId="0" borderId="10" xfId="0" applyNumberFormat="1" applyFont="1" applyFill="1" applyBorder="1" applyAlignment="1">
      <alignment horizontal="center" vertical="top" wrapText="1"/>
    </xf>
    <xf numFmtId="166" fontId="3" fillId="0" borderId="30" xfId="0" applyNumberFormat="1" applyFont="1" applyFill="1" applyBorder="1" applyAlignment="1">
      <alignment horizontal="center" vertical="top"/>
    </xf>
    <xf numFmtId="3" fontId="3" fillId="7" borderId="80" xfId="0" applyNumberFormat="1" applyFont="1" applyFill="1" applyBorder="1" applyAlignment="1">
      <alignment horizontal="left" vertical="top" wrapText="1"/>
    </xf>
    <xf numFmtId="3" fontId="3" fillId="7" borderId="82" xfId="0" applyNumberFormat="1" applyFont="1" applyFill="1" applyBorder="1" applyAlignment="1">
      <alignment horizontal="left" vertical="top" wrapText="1"/>
    </xf>
    <xf numFmtId="3" fontId="3" fillId="7" borderId="85" xfId="0" applyNumberFormat="1" applyFont="1" applyFill="1" applyBorder="1" applyAlignment="1">
      <alignment horizontal="left" vertical="top" wrapText="1"/>
    </xf>
    <xf numFmtId="3" fontId="3" fillId="7" borderId="86" xfId="0" applyNumberFormat="1" applyFont="1" applyFill="1" applyBorder="1" applyAlignment="1">
      <alignment horizontal="left" vertical="top" wrapText="1"/>
    </xf>
    <xf numFmtId="0" fontId="3" fillId="7" borderId="1" xfId="0" applyFont="1" applyFill="1" applyBorder="1" applyAlignment="1">
      <alignment vertical="top" wrapText="1"/>
    </xf>
    <xf numFmtId="3" fontId="3" fillId="7" borderId="28" xfId="0" applyNumberFormat="1" applyFont="1" applyFill="1" applyBorder="1" applyAlignment="1">
      <alignment horizontal="left" vertical="top" wrapText="1"/>
    </xf>
    <xf numFmtId="3" fontId="3" fillId="7" borderId="1" xfId="0" applyNumberFormat="1" applyFont="1" applyFill="1" applyBorder="1" applyAlignment="1">
      <alignment vertical="top" wrapText="1"/>
    </xf>
    <xf numFmtId="49" fontId="3" fillId="7" borderId="19" xfId="0" applyNumberFormat="1" applyFont="1" applyFill="1" applyBorder="1" applyAlignment="1">
      <alignment horizontal="center" vertical="top" wrapText="1"/>
    </xf>
    <xf numFmtId="3" fontId="3" fillId="3" borderId="30" xfId="0" applyNumberFormat="1" applyFont="1" applyFill="1" applyBorder="1" applyAlignment="1">
      <alignment vertical="top" wrapText="1" shrinkToFit="1"/>
    </xf>
    <xf numFmtId="3" fontId="3" fillId="7" borderId="20" xfId="0" applyNumberFormat="1" applyFont="1" applyFill="1" applyBorder="1" applyAlignment="1">
      <alignment horizontal="center" vertical="top"/>
    </xf>
    <xf numFmtId="0" fontId="11" fillId="0" borderId="8" xfId="0" applyFont="1" applyBorder="1" applyAlignment="1">
      <alignment horizontal="left" vertical="top" wrapText="1"/>
    </xf>
    <xf numFmtId="49" fontId="5" fillId="2" borderId="10"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49" fontId="5" fillId="9" borderId="4"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0" fontId="3" fillId="7" borderId="6" xfId="0" applyFont="1" applyFill="1" applyBorder="1" applyAlignment="1">
      <alignment vertical="top" wrapText="1"/>
    </xf>
    <xf numFmtId="49" fontId="5" fillId="2" borderId="25" xfId="0" applyNumberFormat="1" applyFont="1" applyFill="1" applyBorder="1" applyAlignment="1">
      <alignment horizontal="center" vertical="top"/>
    </xf>
    <xf numFmtId="49" fontId="3" fillId="3" borderId="81" xfId="0" applyNumberFormat="1" applyFont="1" applyFill="1" applyBorder="1" applyAlignment="1">
      <alignment horizontal="left" vertical="top" wrapText="1"/>
    </xf>
    <xf numFmtId="0" fontId="0" fillId="0" borderId="82" xfId="0" applyBorder="1" applyAlignment="1">
      <alignment horizontal="left" vertical="top"/>
    </xf>
    <xf numFmtId="3" fontId="3" fillId="10" borderId="10" xfId="0" applyNumberFormat="1" applyFont="1" applyFill="1" applyBorder="1" applyAlignment="1">
      <alignment horizontal="center" vertical="top"/>
    </xf>
    <xf numFmtId="0" fontId="3" fillId="10" borderId="79" xfId="0" applyFont="1" applyFill="1" applyBorder="1" applyAlignment="1">
      <alignment horizontal="left" vertical="top" wrapText="1"/>
    </xf>
    <xf numFmtId="3" fontId="3" fillId="10" borderId="80" xfId="0" applyNumberFormat="1" applyFont="1" applyFill="1" applyBorder="1" applyAlignment="1">
      <alignment horizontal="center" vertical="top" wrapText="1"/>
    </xf>
    <xf numFmtId="3" fontId="3" fillId="10" borderId="20" xfId="0" applyNumberFormat="1" applyFont="1" applyFill="1" applyBorder="1" applyAlignment="1">
      <alignment horizontal="left" vertical="top" wrapText="1"/>
    </xf>
    <xf numFmtId="0" fontId="3" fillId="10" borderId="80" xfId="0" applyFont="1" applyFill="1" applyBorder="1" applyAlignment="1">
      <alignment horizontal="center" vertical="top" wrapText="1"/>
    </xf>
    <xf numFmtId="49" fontId="5" fillId="0" borderId="17" xfId="0" applyNumberFormat="1" applyFont="1" applyBorder="1" applyAlignment="1">
      <alignment horizontal="center" vertical="top"/>
    </xf>
    <xf numFmtId="49" fontId="5" fillId="9" borderId="8"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7" borderId="30" xfId="0" applyNumberFormat="1" applyFont="1" applyFill="1" applyBorder="1" applyAlignment="1">
      <alignment horizontal="center" vertical="top"/>
    </xf>
    <xf numFmtId="49" fontId="5" fillId="0" borderId="31" xfId="0" applyNumberFormat="1" applyFont="1" applyBorder="1" applyAlignment="1">
      <alignment horizontal="center" vertical="top"/>
    </xf>
    <xf numFmtId="0" fontId="5" fillId="0" borderId="34" xfId="0" applyFont="1" applyFill="1" applyBorder="1" applyAlignment="1">
      <alignment horizontal="center" vertical="top" wrapText="1"/>
    </xf>
    <xf numFmtId="0" fontId="2" fillId="0" borderId="8" xfId="0" applyFont="1" applyFill="1" applyBorder="1" applyAlignment="1">
      <alignment horizontal="center" vertical="top" textRotation="90" wrapText="1"/>
    </xf>
    <xf numFmtId="0" fontId="3" fillId="3" borderId="8" xfId="0" applyFont="1" applyFill="1" applyBorder="1" applyAlignment="1">
      <alignment horizontal="left" vertical="top" wrapText="1"/>
    </xf>
    <xf numFmtId="0" fontId="3" fillId="7" borderId="29" xfId="0" applyFont="1" applyFill="1" applyBorder="1" applyAlignment="1">
      <alignment horizontal="left" vertical="top" wrapText="1"/>
    </xf>
    <xf numFmtId="0" fontId="3" fillId="10" borderId="110" xfId="0" applyFont="1" applyFill="1" applyBorder="1" applyAlignment="1">
      <alignment horizontal="left" vertical="top" wrapText="1"/>
    </xf>
    <xf numFmtId="3" fontId="3" fillId="10" borderId="111" xfId="0" applyNumberFormat="1" applyFont="1" applyFill="1" applyBorder="1" applyAlignment="1">
      <alignment horizontal="center" vertical="top"/>
    </xf>
    <xf numFmtId="0" fontId="3" fillId="10" borderId="29" xfId="0" applyFont="1" applyFill="1" applyBorder="1" applyAlignment="1">
      <alignment horizontal="left" vertical="top" wrapText="1"/>
    </xf>
    <xf numFmtId="3" fontId="3" fillId="10" borderId="28" xfId="0" applyNumberFormat="1" applyFont="1" applyFill="1" applyBorder="1" applyAlignment="1">
      <alignment horizontal="center" vertical="top"/>
    </xf>
    <xf numFmtId="3" fontId="3" fillId="7" borderId="10" xfId="0" applyNumberFormat="1" applyFont="1" applyFill="1" applyBorder="1" applyAlignment="1">
      <alignment horizontal="center" vertical="top" wrapText="1"/>
    </xf>
    <xf numFmtId="49" fontId="5" fillId="7" borderId="17" xfId="0" applyNumberFormat="1" applyFont="1" applyFill="1" applyBorder="1" applyAlignment="1">
      <alignment horizontal="center" vertical="top"/>
    </xf>
    <xf numFmtId="3" fontId="3" fillId="7" borderId="1" xfId="0" applyNumberFormat="1" applyFont="1" applyFill="1" applyBorder="1" applyAlignment="1">
      <alignment horizontal="center" vertical="top" wrapText="1"/>
    </xf>
    <xf numFmtId="3" fontId="3" fillId="7" borderId="19" xfId="0" applyNumberFormat="1" applyFont="1" applyFill="1" applyBorder="1" applyAlignment="1">
      <alignment horizontal="center" vertical="top"/>
    </xf>
    <xf numFmtId="3" fontId="3" fillId="7" borderId="85" xfId="0" applyNumberFormat="1" applyFont="1" applyFill="1" applyBorder="1" applyAlignment="1">
      <alignment horizontal="center" vertical="top"/>
    </xf>
    <xf numFmtId="3" fontId="3" fillId="7" borderId="85" xfId="0" applyNumberFormat="1" applyFont="1" applyFill="1" applyBorder="1" applyAlignment="1">
      <alignment vertical="top"/>
    </xf>
    <xf numFmtId="3" fontId="3" fillId="3" borderId="19" xfId="0" applyNumberFormat="1" applyFont="1" applyFill="1" applyBorder="1" applyAlignment="1">
      <alignment horizontal="center" wrapText="1"/>
    </xf>
    <xf numFmtId="3" fontId="3" fillId="0" borderId="19" xfId="0" applyNumberFormat="1" applyFont="1" applyFill="1" applyBorder="1" applyAlignment="1"/>
    <xf numFmtId="3" fontId="3" fillId="3" borderId="10" xfId="0" applyNumberFormat="1" applyFont="1" applyFill="1" applyBorder="1" applyAlignment="1">
      <alignment vertical="top" wrapText="1"/>
    </xf>
    <xf numFmtId="3" fontId="3" fillId="7" borderId="51" xfId="0" applyNumberFormat="1" applyFont="1" applyFill="1" applyBorder="1" applyAlignment="1">
      <alignment vertical="top"/>
    </xf>
    <xf numFmtId="0" fontId="3" fillId="7" borderId="25" xfId="0" applyFont="1" applyFill="1" applyBorder="1" applyAlignment="1">
      <alignment vertical="top"/>
    </xf>
    <xf numFmtId="0" fontId="3" fillId="7" borderId="51" xfId="0" applyFont="1" applyFill="1" applyBorder="1" applyAlignment="1">
      <alignment vertical="top"/>
    </xf>
    <xf numFmtId="0" fontId="3" fillId="7" borderId="26" xfId="0" applyFont="1" applyFill="1" applyBorder="1" applyAlignment="1">
      <alignment vertical="top"/>
    </xf>
    <xf numFmtId="0" fontId="3" fillId="7" borderId="0" xfId="0" applyFont="1" applyFill="1" applyBorder="1" applyAlignment="1">
      <alignment vertical="top"/>
    </xf>
    <xf numFmtId="0" fontId="3" fillId="7" borderId="10" xfId="0" applyFont="1" applyFill="1" applyBorder="1" applyAlignment="1">
      <alignment vertical="top"/>
    </xf>
    <xf numFmtId="0" fontId="3" fillId="7" borderId="17" xfId="0" applyFont="1" applyFill="1" applyBorder="1" applyAlignment="1">
      <alignment vertical="top"/>
    </xf>
    <xf numFmtId="164" fontId="3" fillId="7" borderId="10" xfId="1" applyFont="1" applyFill="1" applyBorder="1" applyAlignment="1">
      <alignment horizontal="center" vertical="top" wrapText="1"/>
    </xf>
    <xf numFmtId="164" fontId="3" fillId="7" borderId="17" xfId="1" applyFont="1" applyFill="1" applyBorder="1" applyAlignment="1">
      <alignment horizontal="center" vertical="top" wrapText="1"/>
    </xf>
    <xf numFmtId="3" fontId="3" fillId="7" borderId="17" xfId="0" applyNumberFormat="1" applyFont="1" applyFill="1" applyBorder="1" applyAlignment="1">
      <alignment horizontal="center" vertical="top" wrapText="1"/>
    </xf>
    <xf numFmtId="3" fontId="3" fillId="7" borderId="25" xfId="0" applyNumberFormat="1" applyFont="1" applyFill="1" applyBorder="1" applyAlignment="1">
      <alignment horizontal="center" vertical="top"/>
    </xf>
    <xf numFmtId="0" fontId="3" fillId="10" borderId="83" xfId="0" applyFont="1" applyFill="1" applyBorder="1" applyAlignment="1">
      <alignment horizontal="left" vertical="top" wrapText="1"/>
    </xf>
    <xf numFmtId="3" fontId="3" fillId="10" borderId="80" xfId="0" applyNumberFormat="1" applyFont="1" applyFill="1" applyBorder="1" applyAlignment="1">
      <alignment horizontal="center" vertical="top"/>
    </xf>
    <xf numFmtId="0" fontId="3" fillId="10" borderId="98" xfId="0" applyFont="1" applyFill="1" applyBorder="1" applyAlignment="1">
      <alignment horizontal="left" vertical="top" wrapText="1"/>
    </xf>
    <xf numFmtId="3" fontId="3" fillId="10" borderId="89" xfId="0" applyNumberFormat="1" applyFont="1" applyFill="1" applyBorder="1" applyAlignment="1">
      <alignment horizontal="center" vertical="top"/>
    </xf>
    <xf numFmtId="0" fontId="3" fillId="10" borderId="29" xfId="0" applyFont="1" applyFill="1" applyBorder="1" applyAlignment="1">
      <alignment vertical="top"/>
    </xf>
    <xf numFmtId="0" fontId="3" fillId="10" borderId="28" xfId="0" applyFont="1" applyFill="1" applyBorder="1" applyAlignment="1">
      <alignment vertical="top"/>
    </xf>
    <xf numFmtId="0" fontId="3" fillId="10" borderId="1" xfId="0" applyFont="1" applyFill="1" applyBorder="1" applyAlignment="1">
      <alignment horizontal="center" vertical="center"/>
    </xf>
    <xf numFmtId="3" fontId="5" fillId="8" borderId="52" xfId="0" applyNumberFormat="1" applyFont="1" applyFill="1" applyBorder="1" applyAlignment="1">
      <alignment horizontal="right" vertical="top"/>
    </xf>
    <xf numFmtId="49" fontId="5" fillId="7" borderId="17" xfId="0" applyNumberFormat="1" applyFont="1" applyFill="1" applyBorder="1" applyAlignment="1">
      <alignment horizontal="center" vertical="top"/>
    </xf>
    <xf numFmtId="0" fontId="3" fillId="7" borderId="118" xfId="0" applyFont="1" applyFill="1" applyBorder="1" applyAlignment="1">
      <alignment horizontal="left" vertical="top" wrapText="1"/>
    </xf>
    <xf numFmtId="3" fontId="3" fillId="7" borderId="111" xfId="0" applyNumberFormat="1" applyFont="1" applyFill="1" applyBorder="1" applyAlignment="1">
      <alignment horizontal="center" vertical="top"/>
    </xf>
    <xf numFmtId="3" fontId="3" fillId="7" borderId="115" xfId="0" applyNumberFormat="1" applyFont="1" applyFill="1" applyBorder="1" applyAlignment="1">
      <alignment horizontal="center" vertical="top"/>
    </xf>
    <xf numFmtId="0" fontId="5" fillId="7" borderId="34" xfId="0" applyFont="1" applyFill="1" applyBorder="1" applyAlignment="1">
      <alignment horizontal="center" vertical="top" wrapText="1"/>
    </xf>
    <xf numFmtId="0" fontId="3" fillId="7" borderId="34" xfId="0" applyFont="1" applyFill="1" applyBorder="1" applyAlignment="1">
      <alignment horizontal="center" vertical="top"/>
    </xf>
    <xf numFmtId="3" fontId="3" fillId="0" borderId="48" xfId="0" applyNumberFormat="1" applyFont="1" applyFill="1" applyBorder="1" applyAlignment="1">
      <alignment horizontal="center" vertical="top"/>
    </xf>
    <xf numFmtId="0" fontId="3" fillId="7" borderId="84" xfId="0" applyFont="1" applyFill="1" applyBorder="1" applyAlignment="1">
      <alignment horizontal="left" vertical="top" wrapText="1"/>
    </xf>
    <xf numFmtId="0" fontId="3" fillId="3" borderId="86" xfId="0" applyFont="1" applyFill="1" applyBorder="1" applyAlignment="1">
      <alignment horizontal="left" vertical="top" wrapText="1"/>
    </xf>
    <xf numFmtId="3" fontId="3" fillId="7" borderId="44" xfId="0" applyNumberFormat="1" applyFont="1" applyFill="1" applyBorder="1" applyAlignment="1">
      <alignment horizontal="center" vertical="top"/>
    </xf>
    <xf numFmtId="0" fontId="3" fillId="0" borderId="81" xfId="0" applyFont="1" applyBorder="1" applyAlignment="1">
      <alignment vertical="top"/>
    </xf>
    <xf numFmtId="3" fontId="3" fillId="0" borderId="105" xfId="0" applyNumberFormat="1" applyFont="1" applyFill="1" applyBorder="1" applyAlignment="1">
      <alignment horizontal="center" vertical="center" wrapText="1"/>
    </xf>
    <xf numFmtId="3" fontId="3" fillId="7" borderId="104" xfId="0" applyNumberFormat="1" applyFont="1" applyFill="1" applyBorder="1" applyAlignment="1">
      <alignment horizontal="center" vertical="top"/>
    </xf>
    <xf numFmtId="3" fontId="3" fillId="7" borderId="48" xfId="0" applyNumberFormat="1" applyFont="1" applyFill="1" applyBorder="1" applyAlignment="1">
      <alignment horizontal="left" vertical="top" wrapText="1"/>
    </xf>
    <xf numFmtId="0" fontId="3" fillId="0" borderId="107" xfId="0" applyFont="1" applyFill="1" applyBorder="1" applyAlignment="1">
      <alignment vertical="top" wrapText="1"/>
    </xf>
    <xf numFmtId="3" fontId="3" fillId="0" borderId="89" xfId="0" applyNumberFormat="1" applyFont="1" applyFill="1" applyBorder="1" applyAlignment="1">
      <alignment horizontal="center" vertical="center"/>
    </xf>
    <xf numFmtId="3" fontId="3" fillId="0" borderId="13" xfId="0" applyNumberFormat="1" applyFont="1" applyFill="1" applyBorder="1" applyAlignment="1">
      <alignment horizontal="center" vertical="top"/>
    </xf>
    <xf numFmtId="3" fontId="3" fillId="10" borderId="85" xfId="0" applyNumberFormat="1" applyFont="1" applyFill="1" applyBorder="1" applyAlignment="1">
      <alignment horizontal="center" vertical="center"/>
    </xf>
    <xf numFmtId="3" fontId="3" fillId="7" borderId="101" xfId="0" applyNumberFormat="1" applyFont="1" applyFill="1" applyBorder="1" applyAlignment="1">
      <alignment horizontal="left" vertical="top" wrapText="1"/>
    </xf>
    <xf numFmtId="0" fontId="0" fillId="0" borderId="90" xfId="0" applyBorder="1" applyAlignment="1">
      <alignment vertical="top" wrapText="1"/>
    </xf>
    <xf numFmtId="0" fontId="3" fillId="10" borderId="84" xfId="0" applyFont="1" applyFill="1" applyBorder="1" applyAlignment="1">
      <alignment vertical="top" wrapText="1"/>
    </xf>
    <xf numFmtId="49" fontId="3" fillId="7" borderId="10" xfId="0" applyNumberFormat="1" applyFont="1" applyFill="1" applyBorder="1" applyAlignment="1">
      <alignment horizontal="center" vertical="top"/>
    </xf>
    <xf numFmtId="49" fontId="3" fillId="7" borderId="17" xfId="0" applyNumberFormat="1" applyFont="1" applyFill="1" applyBorder="1" applyAlignment="1">
      <alignment horizontal="center" vertical="top"/>
    </xf>
    <xf numFmtId="49" fontId="3" fillId="0" borderId="89" xfId="0" applyNumberFormat="1" applyFont="1" applyFill="1" applyBorder="1" applyAlignment="1">
      <alignment horizontal="center" vertical="center"/>
    </xf>
    <xf numFmtId="0" fontId="3" fillId="7" borderId="89" xfId="0" applyNumberFormat="1" applyFont="1" applyFill="1" applyBorder="1" applyAlignment="1">
      <alignment horizontal="center" vertical="center"/>
    </xf>
    <xf numFmtId="0" fontId="3" fillId="0" borderId="89" xfId="0" applyNumberFormat="1" applyFont="1" applyFill="1" applyBorder="1" applyAlignment="1">
      <alignment horizontal="center" vertical="center"/>
    </xf>
    <xf numFmtId="0" fontId="3" fillId="0" borderId="89" xfId="0" applyNumberFormat="1" applyFont="1" applyFill="1" applyBorder="1" applyAlignment="1">
      <alignment horizontal="left" vertical="top" wrapText="1"/>
    </xf>
    <xf numFmtId="0" fontId="3" fillId="7" borderId="115" xfId="0" applyNumberFormat="1" applyFont="1" applyFill="1" applyBorder="1" applyAlignment="1">
      <alignment vertical="center"/>
    </xf>
    <xf numFmtId="0" fontId="3" fillId="7" borderId="45" xfId="0" applyFont="1" applyFill="1" applyBorder="1" applyAlignment="1">
      <alignment horizontal="center" vertical="center" textRotation="90" wrapText="1"/>
    </xf>
    <xf numFmtId="49" fontId="5" fillId="7" borderId="42" xfId="0" applyNumberFormat="1" applyFont="1" applyFill="1" applyBorder="1" applyAlignment="1">
      <alignment horizontal="center" vertical="top" wrapText="1"/>
    </xf>
    <xf numFmtId="49" fontId="5" fillId="7" borderId="48" xfId="0" applyNumberFormat="1" applyFont="1" applyFill="1" applyBorder="1" applyAlignment="1">
      <alignment horizontal="center" vertical="top" wrapText="1"/>
    </xf>
    <xf numFmtId="3" fontId="3" fillId="7" borderId="105" xfId="0" applyNumberFormat="1" applyFont="1" applyFill="1" applyBorder="1" applyAlignment="1">
      <alignment horizontal="left" vertical="top" wrapText="1"/>
    </xf>
    <xf numFmtId="0" fontId="0" fillId="0" borderId="86" xfId="0" applyBorder="1" applyAlignment="1">
      <alignment horizontal="left" vertical="top" wrapText="1"/>
    </xf>
    <xf numFmtId="3" fontId="3" fillId="7" borderId="86" xfId="0" applyNumberFormat="1" applyFont="1" applyFill="1" applyBorder="1" applyAlignment="1">
      <alignment horizontal="center" vertical="center"/>
    </xf>
    <xf numFmtId="3" fontId="3" fillId="10" borderId="105" xfId="0" applyNumberFormat="1" applyFont="1" applyFill="1" applyBorder="1" applyAlignment="1">
      <alignment horizontal="left" vertical="top" wrapText="1"/>
    </xf>
    <xf numFmtId="3" fontId="3" fillId="10" borderId="86" xfId="0" applyNumberFormat="1" applyFont="1" applyFill="1" applyBorder="1" applyAlignment="1">
      <alignment horizontal="left" vertical="top" wrapText="1"/>
    </xf>
    <xf numFmtId="0" fontId="1" fillId="7" borderId="6" xfId="0" applyFont="1" applyFill="1" applyBorder="1" applyAlignment="1">
      <alignment horizontal="center" textRotation="90" wrapText="1"/>
    </xf>
    <xf numFmtId="0" fontId="3" fillId="10" borderId="4" xfId="0" applyFont="1" applyFill="1" applyBorder="1" applyAlignment="1">
      <alignment horizontal="left" vertical="top" wrapText="1"/>
    </xf>
    <xf numFmtId="3" fontId="3" fillId="10" borderId="25" xfId="0" applyNumberFormat="1" applyFont="1" applyFill="1" applyBorder="1" applyAlignment="1">
      <alignment horizontal="center" vertical="top"/>
    </xf>
    <xf numFmtId="3" fontId="3" fillId="10" borderId="25" xfId="0" applyNumberFormat="1" applyFont="1" applyFill="1" applyBorder="1" applyAlignment="1">
      <alignment horizontal="center" vertical="top" wrapText="1"/>
    </xf>
    <xf numFmtId="3" fontId="3" fillId="10" borderId="25" xfId="0" applyNumberFormat="1" applyFont="1" applyFill="1" applyBorder="1" applyAlignment="1">
      <alignment horizontal="left" vertical="top" wrapText="1"/>
    </xf>
    <xf numFmtId="0" fontId="3" fillId="10" borderId="88" xfId="0" applyFont="1" applyFill="1" applyBorder="1" applyAlignment="1">
      <alignment horizontal="left" vertical="top" wrapText="1"/>
    </xf>
    <xf numFmtId="3" fontId="3" fillId="10" borderId="97" xfId="0" applyNumberFormat="1" applyFont="1" applyFill="1" applyBorder="1" applyAlignment="1">
      <alignment horizontal="center" vertical="top"/>
    </xf>
    <xf numFmtId="3" fontId="3" fillId="10" borderId="89" xfId="0" applyNumberFormat="1" applyFont="1" applyFill="1" applyBorder="1" applyAlignment="1">
      <alignment horizontal="left" vertical="top" wrapText="1"/>
    </xf>
    <xf numFmtId="3" fontId="3" fillId="10" borderId="90" xfId="0" applyNumberFormat="1" applyFont="1" applyFill="1" applyBorder="1" applyAlignment="1">
      <alignment horizontal="left" vertical="top" wrapText="1"/>
    </xf>
    <xf numFmtId="3" fontId="3" fillId="7" borderId="56" xfId="0" applyNumberFormat="1" applyFont="1" applyFill="1" applyBorder="1" applyAlignment="1">
      <alignment horizontal="center" vertical="top"/>
    </xf>
    <xf numFmtId="3" fontId="3" fillId="10" borderId="30" xfId="0" applyNumberFormat="1" applyFont="1" applyFill="1" applyBorder="1" applyAlignment="1">
      <alignment horizontal="center" vertical="top"/>
    </xf>
    <xf numFmtId="0" fontId="3" fillId="0" borderId="80" xfId="0" applyNumberFormat="1" applyFont="1" applyFill="1" applyBorder="1" applyAlignment="1">
      <alignment horizontal="left" vertical="top" wrapText="1"/>
    </xf>
    <xf numFmtId="0" fontId="3" fillId="10" borderId="29" xfId="0" applyFont="1" applyFill="1" applyBorder="1" applyAlignment="1">
      <alignment vertical="top" wrapText="1"/>
    </xf>
    <xf numFmtId="49" fontId="3" fillId="10" borderId="28" xfId="0" applyNumberFormat="1" applyFont="1" applyFill="1" applyBorder="1" applyAlignment="1">
      <alignment horizontal="center" vertical="top"/>
    </xf>
    <xf numFmtId="0" fontId="3" fillId="7" borderId="25" xfId="0" applyFont="1" applyFill="1" applyBorder="1" applyAlignment="1">
      <alignment horizontal="center" vertical="top" wrapText="1"/>
    </xf>
    <xf numFmtId="3" fontId="3" fillId="7" borderId="26" xfId="0" applyNumberFormat="1" applyFont="1" applyFill="1" applyBorder="1" applyAlignment="1">
      <alignment horizontal="center" vertical="top"/>
    </xf>
    <xf numFmtId="0" fontId="3" fillId="7" borderId="30" xfId="0" applyFont="1" applyFill="1" applyBorder="1" applyAlignment="1">
      <alignment horizontal="center" vertical="top" wrapText="1"/>
    </xf>
    <xf numFmtId="0" fontId="3" fillId="7" borderId="4" xfId="0" applyFont="1" applyFill="1" applyBorder="1" applyAlignment="1">
      <alignment horizontal="center" vertical="center" textRotation="90" wrapText="1"/>
    </xf>
    <xf numFmtId="49" fontId="5" fillId="7" borderId="26" xfId="0" applyNumberFormat="1" applyFont="1" applyFill="1" applyBorder="1" applyAlignment="1">
      <alignment horizontal="center" vertical="top"/>
    </xf>
    <xf numFmtId="0" fontId="3" fillId="7" borderId="40" xfId="0" applyFont="1" applyFill="1" applyBorder="1" applyAlignment="1">
      <alignment horizontal="center" vertical="top"/>
    </xf>
    <xf numFmtId="0" fontId="3" fillId="7" borderId="4" xfId="0" applyFont="1" applyFill="1" applyBorder="1" applyAlignment="1">
      <alignment horizontal="left" vertical="top" wrapText="1"/>
    </xf>
    <xf numFmtId="166" fontId="3" fillId="7" borderId="25" xfId="0" applyNumberFormat="1" applyFont="1" applyFill="1" applyBorder="1" applyAlignment="1">
      <alignment horizontal="center" vertical="top"/>
    </xf>
    <xf numFmtId="166" fontId="3" fillId="7" borderId="26" xfId="0" applyNumberFormat="1" applyFont="1" applyFill="1" applyBorder="1" applyAlignment="1">
      <alignment horizontal="center" vertical="top"/>
    </xf>
    <xf numFmtId="49" fontId="2" fillId="7" borderId="28" xfId="0" applyNumberFormat="1" applyFont="1" applyFill="1" applyBorder="1" applyAlignment="1">
      <alignment horizontal="center" vertical="top" wrapText="1"/>
    </xf>
    <xf numFmtId="166" fontId="3" fillId="7" borderId="19" xfId="0" applyNumberFormat="1" applyFont="1" applyFill="1" applyBorder="1" applyAlignment="1">
      <alignment horizontal="center" vertical="top"/>
    </xf>
    <xf numFmtId="165" fontId="3" fillId="7" borderId="74" xfId="0" applyNumberFormat="1" applyFont="1" applyFill="1" applyBorder="1" applyAlignment="1">
      <alignment vertical="top"/>
    </xf>
    <xf numFmtId="165" fontId="3" fillId="7" borderId="9" xfId="0" applyNumberFormat="1" applyFont="1" applyFill="1" applyBorder="1" applyAlignment="1">
      <alignment vertical="top"/>
    </xf>
    <xf numFmtId="3" fontId="3" fillId="7" borderId="102" xfId="0" applyNumberFormat="1" applyFont="1" applyFill="1" applyBorder="1" applyAlignment="1">
      <alignment vertical="top"/>
    </xf>
    <xf numFmtId="3" fontId="3" fillId="7" borderId="78" xfId="0" applyNumberFormat="1" applyFont="1" applyFill="1" applyBorder="1" applyAlignment="1">
      <alignment vertical="top"/>
    </xf>
    <xf numFmtId="3" fontId="3" fillId="7" borderId="5" xfId="0" applyNumberFormat="1" applyFont="1" applyFill="1" applyBorder="1" applyAlignment="1">
      <alignment vertical="top"/>
    </xf>
    <xf numFmtId="3" fontId="3" fillId="7" borderId="48" xfId="0" applyNumberFormat="1" applyFont="1" applyFill="1" applyBorder="1" applyAlignment="1">
      <alignment vertical="top"/>
    </xf>
    <xf numFmtId="3" fontId="3" fillId="7" borderId="35" xfId="0" applyNumberFormat="1" applyFont="1" applyFill="1" applyBorder="1" applyAlignment="1">
      <alignment vertical="top"/>
    </xf>
    <xf numFmtId="3" fontId="3" fillId="7" borderId="23" xfId="0" applyNumberFormat="1" applyFont="1" applyFill="1" applyBorder="1" applyAlignment="1">
      <alignment vertical="top"/>
    </xf>
    <xf numFmtId="3" fontId="3" fillId="7" borderId="38" xfId="0" applyNumberFormat="1" applyFont="1" applyFill="1" applyBorder="1" applyAlignment="1">
      <alignment vertical="top"/>
    </xf>
    <xf numFmtId="3" fontId="3" fillId="7" borderId="112" xfId="0" applyNumberFormat="1" applyFont="1" applyFill="1" applyBorder="1" applyAlignment="1">
      <alignment vertical="top"/>
    </xf>
    <xf numFmtId="3" fontId="3" fillId="7" borderId="87" xfId="0" applyNumberFormat="1" applyFont="1" applyFill="1" applyBorder="1" applyAlignment="1">
      <alignment vertical="top"/>
    </xf>
    <xf numFmtId="3" fontId="3" fillId="7" borderId="42" xfId="0" applyNumberFormat="1" applyFont="1" applyFill="1" applyBorder="1" applyAlignment="1">
      <alignment vertical="top"/>
    </xf>
    <xf numFmtId="3" fontId="3" fillId="7" borderId="40" xfId="0" applyNumberFormat="1" applyFont="1" applyFill="1" applyBorder="1" applyAlignment="1">
      <alignment vertical="top"/>
    </xf>
    <xf numFmtId="49" fontId="5" fillId="7" borderId="115" xfId="0" applyNumberFormat="1" applyFont="1" applyFill="1" applyBorder="1" applyAlignment="1">
      <alignment horizontal="center" vertical="top"/>
    </xf>
    <xf numFmtId="49" fontId="5" fillId="9" borderId="29" xfId="0" applyNumberFormat="1" applyFont="1" applyFill="1" applyBorder="1" applyAlignment="1">
      <alignment horizontal="center" vertical="top"/>
    </xf>
    <xf numFmtId="49" fontId="5" fillId="2" borderId="28" xfId="0" applyNumberFormat="1" applyFont="1" applyFill="1" applyBorder="1" applyAlignment="1">
      <alignment horizontal="center" vertical="top"/>
    </xf>
    <xf numFmtId="49" fontId="5" fillId="7" borderId="28" xfId="0" applyNumberFormat="1" applyFont="1" applyFill="1" applyBorder="1" applyAlignment="1">
      <alignment horizontal="center" vertical="top"/>
    </xf>
    <xf numFmtId="3" fontId="3" fillId="7" borderId="19" xfId="0" applyNumberFormat="1" applyFont="1" applyFill="1" applyBorder="1" applyAlignment="1">
      <alignment vertical="top" wrapText="1"/>
    </xf>
    <xf numFmtId="3" fontId="3" fillId="7" borderId="10" xfId="0" applyNumberFormat="1" applyFont="1" applyFill="1" applyBorder="1" applyAlignment="1">
      <alignment vertical="top" wrapText="1"/>
    </xf>
    <xf numFmtId="3" fontId="3" fillId="7" borderId="28" xfId="0" applyNumberFormat="1" applyFont="1" applyFill="1" applyBorder="1" applyAlignment="1">
      <alignment vertical="top" wrapText="1"/>
    </xf>
    <xf numFmtId="49" fontId="3" fillId="7" borderId="10" xfId="0" applyNumberFormat="1" applyFont="1" applyFill="1" applyBorder="1" applyAlignment="1">
      <alignment horizontal="center" vertical="top" wrapText="1"/>
    </xf>
    <xf numFmtId="0" fontId="11" fillId="7" borderId="28" xfId="0" applyFont="1" applyFill="1" applyBorder="1" applyAlignment="1">
      <alignment horizontal="center" vertical="top" wrapText="1"/>
    </xf>
    <xf numFmtId="3" fontId="29" fillId="7" borderId="27" xfId="0" applyNumberFormat="1" applyFont="1" applyFill="1" applyBorder="1" applyAlignment="1">
      <alignment horizontal="left" vertical="top" wrapText="1"/>
    </xf>
    <xf numFmtId="3" fontId="3" fillId="6" borderId="10" xfId="0" applyNumberFormat="1" applyFont="1" applyFill="1" applyBorder="1" applyAlignment="1">
      <alignment horizontal="center" vertical="top"/>
    </xf>
    <xf numFmtId="0" fontId="5" fillId="7" borderId="79" xfId="0" applyFont="1" applyFill="1" applyBorder="1" applyAlignment="1">
      <alignment horizontal="center" vertical="top" wrapText="1"/>
    </xf>
    <xf numFmtId="49" fontId="5" fillId="7" borderId="82" xfId="0" applyNumberFormat="1" applyFont="1" applyFill="1" applyBorder="1" applyAlignment="1">
      <alignment horizontal="center" vertical="top"/>
    </xf>
    <xf numFmtId="3" fontId="3" fillId="7" borderId="94" xfId="0" applyNumberFormat="1" applyFont="1" applyFill="1" applyBorder="1" applyAlignment="1">
      <alignment horizontal="right" vertical="top"/>
    </xf>
    <xf numFmtId="165" fontId="5" fillId="7" borderId="37" xfId="0" applyNumberFormat="1" applyFont="1" applyFill="1" applyBorder="1" applyAlignment="1">
      <alignment horizontal="center" vertical="center" wrapText="1"/>
    </xf>
    <xf numFmtId="0" fontId="3" fillId="7" borderId="78" xfId="0" applyFont="1" applyFill="1" applyBorder="1" applyAlignment="1">
      <alignment horizontal="center" vertical="top"/>
    </xf>
    <xf numFmtId="0" fontId="17" fillId="0" borderId="0" xfId="0" applyFont="1" applyBorder="1" applyAlignment="1">
      <alignment vertical="top"/>
    </xf>
    <xf numFmtId="0" fontId="3" fillId="3" borderId="26" xfId="0" applyFont="1" applyFill="1" applyBorder="1" applyAlignment="1">
      <alignment vertical="top" wrapText="1"/>
    </xf>
    <xf numFmtId="0" fontId="3" fillId="0" borderId="45" xfId="0" applyFont="1" applyFill="1" applyBorder="1" applyAlignment="1">
      <alignment horizontal="center" vertical="center" textRotation="90" wrapText="1"/>
    </xf>
    <xf numFmtId="49" fontId="5" fillId="0" borderId="26" xfId="0" applyNumberFormat="1" applyFont="1" applyBorder="1" applyAlignment="1">
      <alignment horizontal="center" vertical="top"/>
    </xf>
    <xf numFmtId="3" fontId="3" fillId="7" borderId="31" xfId="0" applyNumberFormat="1" applyFont="1" applyFill="1" applyBorder="1" applyAlignment="1">
      <alignment horizontal="left" vertical="top" wrapText="1"/>
    </xf>
    <xf numFmtId="0" fontId="3" fillId="7" borderId="17" xfId="0" applyFont="1" applyFill="1" applyBorder="1" applyAlignment="1">
      <alignment horizontal="left" vertical="top" wrapText="1"/>
    </xf>
    <xf numFmtId="0" fontId="3" fillId="6" borderId="6" xfId="0" applyFont="1" applyFill="1" applyBorder="1" applyAlignment="1">
      <alignment horizontal="left" vertical="top" wrapText="1"/>
    </xf>
    <xf numFmtId="49" fontId="5" fillId="7" borderId="20" xfId="0" applyNumberFormat="1" applyFont="1" applyFill="1" applyBorder="1" applyAlignment="1">
      <alignment horizontal="center" vertical="top"/>
    </xf>
    <xf numFmtId="49" fontId="5" fillId="7" borderId="17" xfId="0" applyNumberFormat="1" applyFont="1" applyFill="1" applyBorder="1" applyAlignment="1">
      <alignment horizontal="center" vertical="top"/>
    </xf>
    <xf numFmtId="49" fontId="5" fillId="0" borderId="31" xfId="0" applyNumberFormat="1" applyFont="1" applyBorder="1" applyAlignment="1">
      <alignment horizontal="center" vertical="top"/>
    </xf>
    <xf numFmtId="0" fontId="5" fillId="0" borderId="8" xfId="0" applyFont="1" applyFill="1" applyBorder="1" applyAlignment="1">
      <alignment horizontal="center" vertical="top" wrapText="1"/>
    </xf>
    <xf numFmtId="49" fontId="5" fillId="9" borderId="6"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165" fontId="3" fillId="7" borderId="6" xfId="0" applyNumberFormat="1" applyFont="1" applyFill="1" applyBorder="1" applyAlignment="1">
      <alignment horizontal="left" vertical="center" textRotation="90" wrapText="1"/>
    </xf>
    <xf numFmtId="49" fontId="5" fillId="7" borderId="56" xfId="0" applyNumberFormat="1" applyFont="1" applyFill="1" applyBorder="1" applyAlignment="1">
      <alignment horizontal="center" vertical="top"/>
    </xf>
    <xf numFmtId="0" fontId="3" fillId="0" borderId="10" xfId="0" applyNumberFormat="1" applyFont="1" applyFill="1" applyBorder="1" applyAlignment="1">
      <alignment horizontal="center" vertical="top"/>
    </xf>
    <xf numFmtId="0" fontId="3" fillId="0" borderId="0" xfId="0" applyNumberFormat="1" applyFont="1" applyFill="1" applyBorder="1" applyAlignment="1">
      <alignment horizontal="center" vertical="top"/>
    </xf>
    <xf numFmtId="165" fontId="3" fillId="0" borderId="4" xfId="0" applyNumberFormat="1" applyFont="1" applyFill="1" applyBorder="1" applyAlignment="1">
      <alignment horizontal="left" vertical="top" wrapText="1"/>
    </xf>
    <xf numFmtId="0" fontId="3" fillId="0" borderId="25" xfId="0" applyNumberFormat="1" applyFont="1" applyFill="1" applyBorder="1" applyAlignment="1">
      <alignment horizontal="center" vertical="top"/>
    </xf>
    <xf numFmtId="0" fontId="3" fillId="0" borderId="51" xfId="0" applyNumberFormat="1" applyFont="1" applyFill="1" applyBorder="1" applyAlignment="1">
      <alignment horizontal="center" vertical="top"/>
    </xf>
    <xf numFmtId="3" fontId="17" fillId="6" borderId="10" xfId="0" applyNumberFormat="1" applyFont="1" applyFill="1" applyBorder="1" applyAlignment="1">
      <alignment horizontal="center" vertical="top"/>
    </xf>
    <xf numFmtId="3" fontId="3" fillId="10" borderId="19" xfId="0" applyNumberFormat="1" applyFont="1" applyFill="1" applyBorder="1" applyAlignment="1">
      <alignment horizontal="center" vertical="top"/>
    </xf>
    <xf numFmtId="3" fontId="3" fillId="10" borderId="19" xfId="0" applyNumberFormat="1" applyFont="1" applyFill="1" applyBorder="1" applyAlignment="1">
      <alignment horizontal="center" vertical="top" wrapText="1"/>
    </xf>
    <xf numFmtId="0" fontId="3" fillId="10" borderId="15" xfId="0" applyFont="1" applyFill="1" applyBorder="1" applyAlignment="1">
      <alignment horizontal="left" vertical="top" wrapText="1"/>
    </xf>
    <xf numFmtId="3" fontId="3" fillId="10" borderId="1" xfId="0" applyNumberFormat="1" applyFont="1" applyFill="1" applyBorder="1" applyAlignment="1">
      <alignment horizontal="center" vertical="top" wrapText="1"/>
    </xf>
    <xf numFmtId="3" fontId="3" fillId="10" borderId="16" xfId="0" applyNumberFormat="1" applyFont="1" applyFill="1" applyBorder="1" applyAlignment="1">
      <alignment horizontal="left" vertical="top" wrapText="1"/>
    </xf>
    <xf numFmtId="0" fontId="3" fillId="10" borderId="37" xfId="0" applyFont="1" applyFill="1" applyBorder="1" applyAlignment="1">
      <alignment horizontal="left" vertical="top" wrapText="1"/>
    </xf>
    <xf numFmtId="3" fontId="3" fillId="10" borderId="46" xfId="0" applyNumberFormat="1" applyFont="1" applyFill="1" applyBorder="1" applyAlignment="1">
      <alignment horizontal="center" vertical="top" wrapText="1"/>
    </xf>
    <xf numFmtId="3" fontId="3" fillId="10" borderId="10" xfId="0" applyNumberFormat="1" applyFont="1" applyFill="1" applyBorder="1" applyAlignment="1">
      <alignment horizontal="center" vertical="top" wrapText="1"/>
    </xf>
    <xf numFmtId="3" fontId="3" fillId="10" borderId="48" xfId="0" applyNumberFormat="1" applyFont="1" applyFill="1" applyBorder="1" applyAlignment="1">
      <alignment horizontal="center" vertical="top" wrapText="1"/>
    </xf>
    <xf numFmtId="0" fontId="11" fillId="7" borderId="31" xfId="0" applyFont="1" applyFill="1" applyBorder="1" applyAlignment="1">
      <alignment vertical="top" wrapText="1"/>
    </xf>
    <xf numFmtId="0" fontId="11" fillId="7" borderId="8" xfId="0" applyFont="1" applyFill="1" applyBorder="1" applyAlignment="1">
      <alignment horizontal="center" vertical="center" wrapText="1"/>
    </xf>
    <xf numFmtId="0" fontId="5" fillId="7" borderId="67" xfId="0" applyFont="1" applyFill="1" applyBorder="1" applyAlignment="1">
      <alignment horizontal="right" vertical="top"/>
    </xf>
    <xf numFmtId="0" fontId="3" fillId="7" borderId="31" xfId="0" applyFont="1" applyFill="1" applyBorder="1" applyAlignment="1">
      <alignment horizontal="left" vertical="top" wrapText="1"/>
    </xf>
    <xf numFmtId="0" fontId="11" fillId="7" borderId="8" xfId="0" applyFont="1" applyFill="1" applyBorder="1" applyAlignment="1">
      <alignment horizontal="left" vertical="top" wrapText="1"/>
    </xf>
    <xf numFmtId="3" fontId="31" fillId="7" borderId="30" xfId="0" applyNumberFormat="1" applyFont="1" applyFill="1" applyBorder="1" applyAlignment="1">
      <alignment vertical="center"/>
    </xf>
    <xf numFmtId="165" fontId="5" fillId="0" borderId="79" xfId="0" applyNumberFormat="1" applyFont="1" applyFill="1" applyBorder="1" applyAlignment="1">
      <alignment horizontal="center" vertical="top" wrapText="1"/>
    </xf>
    <xf numFmtId="0" fontId="3" fillId="0" borderId="78" xfId="0" applyFont="1" applyBorder="1" applyAlignment="1">
      <alignment horizontal="center" vertical="top"/>
    </xf>
    <xf numFmtId="0" fontId="11" fillId="7" borderId="31" xfId="0" applyFont="1" applyFill="1" applyBorder="1" applyAlignment="1">
      <alignment horizontal="left" vertical="top" wrapText="1"/>
    </xf>
    <xf numFmtId="49" fontId="5" fillId="7" borderId="31" xfId="0" applyNumberFormat="1" applyFont="1" applyFill="1" applyBorder="1" applyAlignment="1">
      <alignment horizontal="center" vertical="top"/>
    </xf>
    <xf numFmtId="0" fontId="32" fillId="7" borderId="30" xfId="0" applyFont="1" applyFill="1" applyBorder="1" applyAlignment="1">
      <alignment wrapText="1"/>
    </xf>
    <xf numFmtId="0" fontId="3" fillId="7" borderId="52" xfId="0" applyFont="1" applyFill="1" applyBorder="1" applyAlignment="1">
      <alignment horizontal="left" vertical="top" wrapText="1"/>
    </xf>
    <xf numFmtId="0" fontId="0" fillId="7" borderId="31" xfId="0" applyFill="1" applyBorder="1" applyAlignment="1">
      <alignment horizontal="left" vertical="top" wrapText="1"/>
    </xf>
    <xf numFmtId="0" fontId="11" fillId="7" borderId="31" xfId="0" applyFont="1" applyFill="1" applyBorder="1" applyAlignment="1"/>
    <xf numFmtId="0" fontId="11" fillId="7" borderId="8" xfId="0" applyFont="1" applyFill="1" applyBorder="1" applyAlignment="1"/>
    <xf numFmtId="0" fontId="3" fillId="10" borderId="122" xfId="0" applyFont="1" applyFill="1" applyBorder="1" applyAlignment="1">
      <alignment vertical="top" wrapText="1"/>
    </xf>
    <xf numFmtId="3" fontId="3" fillId="10" borderId="123" xfId="0" applyNumberFormat="1" applyFont="1" applyFill="1" applyBorder="1" applyAlignment="1">
      <alignment horizontal="center" vertical="top"/>
    </xf>
    <xf numFmtId="3" fontId="3" fillId="10" borderId="124" xfId="0" applyNumberFormat="1" applyFont="1" applyFill="1" applyBorder="1" applyAlignment="1">
      <alignment horizontal="left" vertical="top" wrapText="1"/>
    </xf>
    <xf numFmtId="0" fontId="3" fillId="7" borderId="73" xfId="0" applyFont="1" applyFill="1" applyBorder="1" applyAlignment="1">
      <alignment horizontal="center" vertical="center" textRotation="90" wrapText="1"/>
    </xf>
    <xf numFmtId="3" fontId="5" fillId="8" borderId="73" xfId="0" applyNumberFormat="1" applyFont="1" applyFill="1" applyBorder="1" applyAlignment="1">
      <alignment vertical="top"/>
    </xf>
    <xf numFmtId="0" fontId="3" fillId="0" borderId="108" xfId="0" applyFont="1" applyFill="1" applyBorder="1" applyAlignment="1">
      <alignment horizontal="center" vertical="center" textRotation="90" wrapText="1"/>
    </xf>
    <xf numFmtId="3" fontId="3" fillId="7" borderId="114" xfId="0" applyNumberFormat="1" applyFont="1" applyFill="1" applyBorder="1" applyAlignment="1">
      <alignment vertical="top"/>
    </xf>
    <xf numFmtId="3" fontId="3" fillId="7" borderId="103" xfId="0" applyNumberFormat="1" applyFont="1" applyFill="1" applyBorder="1" applyAlignment="1">
      <alignment vertical="top"/>
    </xf>
    <xf numFmtId="3" fontId="3" fillId="3" borderId="109" xfId="0" applyNumberFormat="1" applyFont="1" applyFill="1" applyBorder="1" applyAlignment="1">
      <alignment vertical="top" wrapText="1"/>
    </xf>
    <xf numFmtId="165" fontId="3" fillId="0" borderId="84" xfId="0" applyNumberFormat="1" applyFont="1" applyFill="1" applyBorder="1" applyAlignment="1">
      <alignment horizontal="left" vertical="top" wrapText="1"/>
    </xf>
    <xf numFmtId="49" fontId="5" fillId="2" borderId="10"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9" borderId="34" xfId="0" applyNumberFormat="1" applyFont="1" applyFill="1" applyBorder="1" applyAlignment="1">
      <alignment horizontal="center" vertical="top"/>
    </xf>
    <xf numFmtId="0" fontId="3" fillId="7" borderId="20" xfId="0" applyFont="1" applyFill="1" applyBorder="1" applyAlignment="1">
      <alignment vertical="top" wrapText="1"/>
    </xf>
    <xf numFmtId="0" fontId="11" fillId="7" borderId="27" xfId="0" applyFont="1" applyFill="1" applyBorder="1" applyAlignment="1">
      <alignment vertical="top" wrapText="1"/>
    </xf>
    <xf numFmtId="0" fontId="3" fillId="7" borderId="29" xfId="0" applyFont="1" applyFill="1" applyBorder="1" applyAlignment="1">
      <alignment vertical="top" wrapText="1"/>
    </xf>
    <xf numFmtId="49" fontId="3" fillId="7" borderId="28" xfId="0" applyNumberFormat="1" applyFont="1" applyFill="1" applyBorder="1" applyAlignment="1">
      <alignment horizontal="center" vertical="top"/>
    </xf>
    <xf numFmtId="0" fontId="3" fillId="7" borderId="30" xfId="0" applyFont="1" applyFill="1" applyBorder="1" applyAlignment="1">
      <alignment vertical="top" wrapText="1"/>
    </xf>
    <xf numFmtId="0" fontId="3" fillId="7" borderId="17" xfId="0" applyFont="1" applyFill="1" applyBorder="1" applyAlignment="1">
      <alignment vertical="top" wrapText="1"/>
    </xf>
    <xf numFmtId="0" fontId="3" fillId="0" borderId="80" xfId="0" applyFont="1" applyFill="1" applyBorder="1" applyAlignment="1">
      <alignment horizontal="center" vertical="top"/>
    </xf>
    <xf numFmtId="0" fontId="3" fillId="10" borderId="28" xfId="0" applyFont="1" applyFill="1" applyBorder="1" applyAlignment="1">
      <alignment vertical="top" wrapText="1"/>
    </xf>
    <xf numFmtId="3" fontId="3" fillId="7" borderId="7" xfId="0" applyNumberFormat="1" applyFont="1" applyFill="1" applyBorder="1" applyAlignment="1">
      <alignment vertical="top"/>
    </xf>
    <xf numFmtId="0" fontId="5" fillId="7" borderId="37" xfId="0" applyFont="1" applyFill="1" applyBorder="1" applyAlignment="1">
      <alignment horizontal="center" vertical="top" wrapText="1"/>
    </xf>
    <xf numFmtId="0" fontId="5" fillId="7" borderId="6" xfId="0" applyFont="1" applyFill="1" applyBorder="1" applyAlignment="1">
      <alignment horizontal="center" vertical="top" wrapText="1"/>
    </xf>
    <xf numFmtId="3" fontId="3" fillId="7" borderId="117" xfId="0" applyNumberFormat="1" applyFont="1" applyFill="1" applyBorder="1" applyAlignment="1">
      <alignment horizontal="right" vertical="top" wrapText="1"/>
    </xf>
    <xf numFmtId="0" fontId="3" fillId="7" borderId="78" xfId="0" applyFont="1" applyFill="1" applyBorder="1" applyAlignment="1">
      <alignment horizontal="center" vertical="top" wrapText="1"/>
    </xf>
    <xf numFmtId="0" fontId="3" fillId="7" borderId="5" xfId="0" applyFont="1" applyFill="1" applyBorder="1" applyAlignment="1">
      <alignment horizontal="center" vertical="top" wrapText="1"/>
    </xf>
    <xf numFmtId="0" fontId="3" fillId="7" borderId="7" xfId="0" applyFont="1" applyFill="1" applyBorder="1" applyAlignment="1">
      <alignment horizontal="center" vertical="top" wrapText="1"/>
    </xf>
    <xf numFmtId="3" fontId="3" fillId="7" borderId="39" xfId="0" applyNumberFormat="1" applyFont="1" applyFill="1" applyBorder="1" applyAlignment="1">
      <alignment horizontal="right" vertical="top" wrapText="1"/>
    </xf>
    <xf numFmtId="0" fontId="3" fillId="7" borderId="22" xfId="0" applyFont="1" applyFill="1" applyBorder="1" applyAlignment="1">
      <alignment horizontal="center" vertical="top" wrapText="1"/>
    </xf>
    <xf numFmtId="0" fontId="3" fillId="7" borderId="23" xfId="0" applyFont="1" applyFill="1" applyBorder="1" applyAlignment="1">
      <alignment horizontal="center" vertical="top" wrapText="1"/>
    </xf>
    <xf numFmtId="3" fontId="3" fillId="7" borderId="121" xfId="0" applyNumberFormat="1" applyFont="1" applyFill="1" applyBorder="1" applyAlignment="1">
      <alignment horizontal="right" vertical="top"/>
    </xf>
    <xf numFmtId="0" fontId="3" fillId="7" borderId="0" xfId="0" applyFont="1" applyFill="1" applyBorder="1" applyAlignment="1">
      <alignment horizontal="center" vertical="top" wrapText="1"/>
    </xf>
    <xf numFmtId="3" fontId="3" fillId="7" borderId="0" xfId="0" applyNumberFormat="1" applyFont="1" applyFill="1" applyBorder="1" applyAlignment="1">
      <alignment horizontal="right" vertical="top" wrapText="1"/>
    </xf>
    <xf numFmtId="0" fontId="3" fillId="7" borderId="65" xfId="0" applyFont="1" applyFill="1" applyBorder="1" applyAlignment="1">
      <alignment horizontal="center" vertical="top" wrapText="1"/>
    </xf>
    <xf numFmtId="0" fontId="3" fillId="7" borderId="49" xfId="0" applyFont="1" applyFill="1" applyBorder="1" applyAlignment="1">
      <alignment horizontal="center" vertical="top" wrapText="1"/>
    </xf>
    <xf numFmtId="3" fontId="3" fillId="7" borderId="117" xfId="0" applyNumberFormat="1" applyFont="1" applyFill="1" applyBorder="1" applyAlignment="1">
      <alignment vertical="top"/>
    </xf>
    <xf numFmtId="0" fontId="5" fillId="3" borderId="17" xfId="0" applyFont="1" applyFill="1" applyBorder="1" applyAlignment="1">
      <alignment vertical="top" wrapText="1"/>
    </xf>
    <xf numFmtId="0" fontId="11" fillId="3" borderId="31" xfId="0" applyFont="1" applyFill="1" applyBorder="1" applyAlignment="1">
      <alignment vertical="top" wrapText="1"/>
    </xf>
    <xf numFmtId="0" fontId="3" fillId="10" borderId="6" xfId="0" applyFont="1" applyFill="1" applyBorder="1" applyAlignment="1">
      <alignment horizontal="left" vertical="top" wrapText="1"/>
    </xf>
    <xf numFmtId="0" fontId="11" fillId="10" borderId="29" xfId="0" applyFont="1" applyFill="1" applyBorder="1" applyAlignment="1">
      <alignment horizontal="left" vertical="top" wrapText="1"/>
    </xf>
    <xf numFmtId="3" fontId="3" fillId="7" borderId="27" xfId="0" applyNumberFormat="1" applyFont="1" applyFill="1" applyBorder="1" applyAlignment="1">
      <alignment horizontal="left" vertical="top" wrapText="1"/>
    </xf>
    <xf numFmtId="3" fontId="3" fillId="7" borderId="28" xfId="0" applyNumberFormat="1" applyFont="1" applyFill="1" applyBorder="1" applyAlignment="1">
      <alignment vertical="top" wrapText="1"/>
    </xf>
    <xf numFmtId="3" fontId="3" fillId="7" borderId="19" xfId="0" applyNumberFormat="1" applyFont="1" applyFill="1" applyBorder="1" applyAlignment="1">
      <alignment vertical="top"/>
    </xf>
    <xf numFmtId="0" fontId="3" fillId="7" borderId="6" xfId="0" applyFont="1" applyFill="1" applyBorder="1" applyAlignment="1">
      <alignment horizontal="left" vertical="top" wrapText="1"/>
    </xf>
    <xf numFmtId="0" fontId="3" fillId="7" borderId="20" xfId="0" applyFont="1" applyFill="1" applyBorder="1" applyAlignment="1">
      <alignment horizontal="left" vertical="top" wrapText="1"/>
    </xf>
    <xf numFmtId="0" fontId="3" fillId="7" borderId="17" xfId="0" applyFont="1" applyFill="1" applyBorder="1" applyAlignment="1">
      <alignment horizontal="left" vertical="top" wrapText="1"/>
    </xf>
    <xf numFmtId="0" fontId="3" fillId="3" borderId="17" xfId="0" applyFont="1" applyFill="1" applyBorder="1" applyAlignment="1">
      <alignment horizontal="left" vertical="top" wrapText="1"/>
    </xf>
    <xf numFmtId="165" fontId="5" fillId="7" borderId="6" xfId="0" applyNumberFormat="1" applyFont="1" applyFill="1" applyBorder="1" applyAlignment="1">
      <alignment horizontal="center" vertical="top" wrapText="1"/>
    </xf>
    <xf numFmtId="49" fontId="5" fillId="0" borderId="17" xfId="0" applyNumberFormat="1" applyFont="1" applyBorder="1" applyAlignment="1">
      <alignment horizontal="center" vertical="top"/>
    </xf>
    <xf numFmtId="0" fontId="5" fillId="3" borderId="34" xfId="0" applyFont="1" applyFill="1" applyBorder="1" applyAlignment="1">
      <alignment horizontal="center" vertical="top" wrapText="1"/>
    </xf>
    <xf numFmtId="49" fontId="5" fillId="3" borderId="17" xfId="0" applyNumberFormat="1" applyFont="1" applyFill="1" applyBorder="1" applyAlignment="1">
      <alignment horizontal="center" vertical="top"/>
    </xf>
    <xf numFmtId="49" fontId="5" fillId="0" borderId="27" xfId="0" applyNumberFormat="1" applyFont="1" applyBorder="1" applyAlignment="1">
      <alignment horizontal="center" vertical="top"/>
    </xf>
    <xf numFmtId="0" fontId="5" fillId="0" borderId="34" xfId="0" applyFont="1" applyFill="1" applyBorder="1" applyAlignment="1">
      <alignment horizontal="center" vertical="top" wrapText="1"/>
    </xf>
    <xf numFmtId="49" fontId="5" fillId="0" borderId="26" xfId="0" applyNumberFormat="1" applyFont="1" applyBorder="1" applyAlignment="1">
      <alignment horizontal="center" vertical="top"/>
    </xf>
    <xf numFmtId="49" fontId="5" fillId="0" borderId="31" xfId="0" applyNumberFormat="1" applyFont="1" applyBorder="1" applyAlignment="1">
      <alignment horizontal="center" vertical="top"/>
    </xf>
    <xf numFmtId="49" fontId="5" fillId="9" borderId="6"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30" xfId="0" applyNumberFormat="1" applyFont="1" applyFill="1" applyBorder="1" applyAlignment="1">
      <alignment horizontal="center" vertical="top"/>
    </xf>
    <xf numFmtId="0" fontId="3" fillId="10" borderId="6" xfId="0" applyFont="1" applyFill="1" applyBorder="1" applyAlignment="1">
      <alignment vertical="top" wrapText="1"/>
    </xf>
    <xf numFmtId="49" fontId="5" fillId="9" borderId="4" xfId="0" applyNumberFormat="1" applyFont="1" applyFill="1" applyBorder="1" applyAlignment="1">
      <alignment horizontal="center" vertical="top"/>
    </xf>
    <xf numFmtId="49" fontId="5" fillId="9" borderId="8" xfId="0" applyNumberFormat="1" applyFont="1" applyFill="1" applyBorder="1" applyAlignment="1">
      <alignment horizontal="center" vertical="top"/>
    </xf>
    <xf numFmtId="49" fontId="5" fillId="2" borderId="25"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7" borderId="25" xfId="0" applyNumberFormat="1" applyFont="1" applyFill="1" applyBorder="1" applyAlignment="1">
      <alignment horizontal="center" vertical="top"/>
    </xf>
    <xf numFmtId="0" fontId="3" fillId="3" borderId="17" xfId="0" applyFont="1" applyFill="1" applyBorder="1" applyAlignment="1">
      <alignment vertical="top" wrapText="1"/>
    </xf>
    <xf numFmtId="0" fontId="3" fillId="0" borderId="34" xfId="0" applyFont="1" applyFill="1" applyBorder="1" applyAlignment="1">
      <alignment horizontal="center" vertical="center" textRotation="90" wrapText="1"/>
    </xf>
    <xf numFmtId="0" fontId="3" fillId="0" borderId="73" xfId="0" applyFont="1" applyFill="1" applyBorder="1" applyAlignment="1">
      <alignment horizontal="center" vertical="center" textRotation="90" wrapText="1"/>
    </xf>
    <xf numFmtId="0" fontId="2" fillId="7" borderId="6" xfId="0" applyFont="1" applyFill="1" applyBorder="1" applyAlignment="1">
      <alignment horizontal="center" vertical="center" textRotation="90" wrapText="1"/>
    </xf>
    <xf numFmtId="0" fontId="3" fillId="0" borderId="6" xfId="0" applyFont="1" applyFill="1" applyBorder="1" applyAlignment="1">
      <alignment horizontal="left" vertical="top" wrapText="1"/>
    </xf>
    <xf numFmtId="49" fontId="5" fillId="9" borderId="34" xfId="0" applyNumberFormat="1" applyFont="1" applyFill="1" applyBorder="1" applyAlignment="1">
      <alignment horizontal="center" vertical="top"/>
    </xf>
    <xf numFmtId="165" fontId="5" fillId="7" borderId="29" xfId="0" applyNumberFormat="1" applyFont="1" applyFill="1" applyBorder="1" applyAlignment="1">
      <alignment horizontal="center" vertical="top" wrapText="1"/>
    </xf>
    <xf numFmtId="49" fontId="5" fillId="7" borderId="27" xfId="0" applyNumberFormat="1" applyFont="1" applyFill="1" applyBorder="1" applyAlignment="1">
      <alignment horizontal="center" vertical="top"/>
    </xf>
    <xf numFmtId="0" fontId="19" fillId="7" borderId="6" xfId="0" applyFont="1" applyFill="1" applyBorder="1" applyAlignment="1">
      <alignment horizontal="center" vertical="top" wrapText="1"/>
    </xf>
    <xf numFmtId="0" fontId="16" fillId="7" borderId="27" xfId="0" applyFont="1" applyFill="1" applyBorder="1" applyAlignment="1">
      <alignment vertical="top" wrapText="1"/>
    </xf>
    <xf numFmtId="3" fontId="3" fillId="3" borderId="76" xfId="0" applyNumberFormat="1" applyFont="1" applyFill="1" applyBorder="1" applyAlignment="1">
      <alignment horizontal="right" vertical="top" wrapText="1"/>
    </xf>
    <xf numFmtId="49" fontId="5" fillId="2" borderId="85" xfId="0" applyNumberFormat="1" applyFont="1" applyFill="1" applyBorder="1" applyAlignment="1">
      <alignment horizontal="center" vertical="top"/>
    </xf>
    <xf numFmtId="49" fontId="5" fillId="7" borderId="85" xfId="0" applyNumberFormat="1" applyFont="1" applyFill="1" applyBorder="1" applyAlignment="1">
      <alignment horizontal="center" vertical="top"/>
    </xf>
    <xf numFmtId="0" fontId="3" fillId="3" borderId="16" xfId="0" applyFont="1" applyFill="1" applyBorder="1" applyAlignment="1">
      <alignment horizontal="left" vertical="top" wrapText="1"/>
    </xf>
    <xf numFmtId="165" fontId="5" fillId="0" borderId="15" xfId="0" applyNumberFormat="1" applyFont="1" applyFill="1" applyBorder="1" applyAlignment="1">
      <alignment horizontal="center" vertical="top" wrapText="1"/>
    </xf>
    <xf numFmtId="3" fontId="3" fillId="7" borderId="68" xfId="0" applyNumberFormat="1" applyFont="1" applyFill="1" applyBorder="1" applyAlignment="1">
      <alignment horizontal="right" vertical="top"/>
    </xf>
    <xf numFmtId="3" fontId="3" fillId="7" borderId="1" xfId="0" applyNumberFormat="1" applyFont="1" applyFill="1" applyBorder="1" applyAlignment="1">
      <alignment horizontal="left" vertical="top" wrapText="1"/>
    </xf>
    <xf numFmtId="3" fontId="3" fillId="7" borderId="16" xfId="0" applyNumberFormat="1" applyFont="1" applyFill="1" applyBorder="1" applyAlignment="1">
      <alignment horizontal="left" vertical="top" wrapText="1"/>
    </xf>
    <xf numFmtId="0" fontId="16" fillId="6" borderId="65" xfId="0" applyFont="1" applyFill="1" applyBorder="1" applyAlignment="1">
      <alignment vertical="top" wrapText="1"/>
    </xf>
    <xf numFmtId="0" fontId="16" fillId="6" borderId="35" xfId="0" applyFont="1" applyFill="1" applyBorder="1" applyAlignment="1">
      <alignment horizontal="center" vertical="top" wrapText="1"/>
    </xf>
    <xf numFmtId="0" fontId="5" fillId="7" borderId="15" xfId="0" applyFont="1" applyFill="1" applyBorder="1" applyAlignment="1">
      <alignment horizontal="center" vertical="top"/>
    </xf>
    <xf numFmtId="49" fontId="5" fillId="7" borderId="16" xfId="0" applyNumberFormat="1" applyFont="1" applyFill="1" applyBorder="1" applyAlignment="1">
      <alignment horizontal="center" vertical="top"/>
    </xf>
    <xf numFmtId="0" fontId="5" fillId="7" borderId="29" xfId="0" applyFont="1" applyFill="1" applyBorder="1" applyAlignment="1">
      <alignment horizontal="center" vertical="center"/>
    </xf>
    <xf numFmtId="0" fontId="5" fillId="7" borderId="37"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6" xfId="0" applyFont="1" applyFill="1" applyBorder="1" applyAlignment="1">
      <alignment horizontal="center" vertical="center"/>
    </xf>
    <xf numFmtId="3" fontId="3" fillId="10" borderId="1" xfId="0" applyNumberFormat="1" applyFont="1" applyFill="1" applyBorder="1" applyAlignment="1">
      <alignment vertical="top" wrapText="1"/>
    </xf>
    <xf numFmtId="0" fontId="3" fillId="7" borderId="86" xfId="0" applyFont="1" applyFill="1" applyBorder="1" applyAlignment="1">
      <alignment horizontal="left" vertical="top" wrapText="1"/>
    </xf>
    <xf numFmtId="0" fontId="5" fillId="7" borderId="84" xfId="0" applyFont="1" applyFill="1" applyBorder="1" applyAlignment="1">
      <alignment horizontal="center" vertical="center"/>
    </xf>
    <xf numFmtId="49" fontId="5" fillId="7" borderId="86" xfId="0" applyNumberFormat="1" applyFont="1" applyFill="1" applyBorder="1" applyAlignment="1">
      <alignment horizontal="center" vertical="top"/>
    </xf>
    <xf numFmtId="3" fontId="3" fillId="10" borderId="85" xfId="0" applyNumberFormat="1" applyFont="1" applyFill="1" applyBorder="1" applyAlignment="1">
      <alignment horizontal="center" vertical="top" wrapText="1"/>
    </xf>
    <xf numFmtId="3" fontId="3" fillId="10" borderId="105" xfId="0" applyNumberFormat="1" applyFont="1" applyFill="1" applyBorder="1" applyAlignment="1">
      <alignment horizontal="center" vertical="top" wrapText="1"/>
    </xf>
    <xf numFmtId="0" fontId="3" fillId="10" borderId="84" xfId="0" applyFont="1" applyFill="1" applyBorder="1" applyAlignment="1">
      <alignment horizontal="left" vertical="top" wrapText="1"/>
    </xf>
    <xf numFmtId="3" fontId="3" fillId="10" borderId="85" xfId="0" applyNumberFormat="1" applyFont="1" applyFill="1" applyBorder="1" applyAlignment="1">
      <alignment horizontal="center" vertical="top"/>
    </xf>
    <xf numFmtId="165" fontId="5" fillId="7" borderId="6" xfId="0" applyNumberFormat="1" applyFont="1" applyFill="1" applyBorder="1" applyAlignment="1">
      <alignment horizontal="center" vertical="center" wrapText="1"/>
    </xf>
    <xf numFmtId="0" fontId="3" fillId="7" borderId="35" xfId="0" applyFont="1" applyFill="1" applyBorder="1" applyAlignment="1">
      <alignment horizontal="left" vertical="top" wrapText="1"/>
    </xf>
    <xf numFmtId="165" fontId="3" fillId="7" borderId="29" xfId="0" applyNumberFormat="1" applyFont="1" applyFill="1" applyBorder="1" applyAlignment="1">
      <alignment horizontal="left" vertical="center" textRotation="90" wrapText="1"/>
    </xf>
    <xf numFmtId="49" fontId="5" fillId="7" borderId="46" xfId="0" applyNumberFormat="1" applyFont="1" applyFill="1" applyBorder="1" applyAlignment="1">
      <alignment horizontal="center" vertical="top"/>
    </xf>
    <xf numFmtId="0" fontId="3" fillId="7" borderId="20" xfId="0" applyFont="1" applyFill="1" applyBorder="1" applyAlignment="1">
      <alignment horizontal="center" vertical="top"/>
    </xf>
    <xf numFmtId="3" fontId="3" fillId="6" borderId="19" xfId="0" applyNumberFormat="1" applyFont="1" applyFill="1" applyBorder="1" applyAlignment="1">
      <alignment horizontal="center" vertical="top" wrapText="1"/>
    </xf>
    <xf numFmtId="3" fontId="3" fillId="6" borderId="19" xfId="0" applyNumberFormat="1" applyFont="1" applyFill="1" applyBorder="1" applyAlignment="1">
      <alignment vertical="top" wrapText="1"/>
    </xf>
    <xf numFmtId="3" fontId="3" fillId="6" borderId="28" xfId="0" applyNumberFormat="1" applyFont="1" applyFill="1" applyBorder="1" applyAlignment="1">
      <alignment horizontal="center" vertical="top" wrapText="1"/>
    </xf>
    <xf numFmtId="3" fontId="3" fillId="6" borderId="28" xfId="0" applyNumberFormat="1" applyFont="1" applyFill="1" applyBorder="1" applyAlignment="1">
      <alignment vertical="top" wrapText="1"/>
    </xf>
    <xf numFmtId="3" fontId="3" fillId="6" borderId="10" xfId="0" applyNumberFormat="1" applyFont="1" applyFill="1" applyBorder="1" applyAlignment="1">
      <alignment vertical="top" wrapText="1"/>
    </xf>
    <xf numFmtId="3" fontId="3" fillId="6" borderId="17" xfId="0" applyNumberFormat="1" applyFont="1" applyFill="1" applyBorder="1" applyAlignment="1">
      <alignment horizontal="left" vertical="top" wrapText="1"/>
    </xf>
    <xf numFmtId="0" fontId="3" fillId="6" borderId="92" xfId="0" applyFont="1" applyFill="1" applyBorder="1" applyAlignment="1">
      <alignment horizontal="left" vertical="top" wrapText="1"/>
    </xf>
    <xf numFmtId="3" fontId="3" fillId="6" borderId="93" xfId="0" applyNumberFormat="1" applyFont="1" applyFill="1" applyBorder="1" applyAlignment="1">
      <alignment horizontal="center" vertical="top"/>
    </xf>
    <xf numFmtId="3" fontId="3" fillId="6" borderId="93" xfId="0" applyNumberFormat="1" applyFont="1" applyFill="1" applyBorder="1" applyAlignment="1">
      <alignment horizontal="left" vertical="top" wrapText="1"/>
    </xf>
    <xf numFmtId="3" fontId="3" fillId="6" borderId="106" xfId="0" applyNumberFormat="1" applyFont="1" applyFill="1" applyBorder="1" applyAlignment="1">
      <alignment horizontal="left" vertical="top" wrapText="1"/>
    </xf>
    <xf numFmtId="3" fontId="3" fillId="7" borderId="80" xfId="0" applyNumberFormat="1" applyFont="1" applyFill="1" applyBorder="1" applyAlignment="1">
      <alignment horizontal="center" vertical="top"/>
    </xf>
    <xf numFmtId="49" fontId="5" fillId="9" borderId="84" xfId="0" applyNumberFormat="1" applyFont="1" applyFill="1" applyBorder="1" applyAlignment="1">
      <alignment horizontal="center" vertical="top"/>
    </xf>
    <xf numFmtId="0" fontId="11" fillId="7" borderId="108" xfId="0" applyFont="1" applyFill="1" applyBorder="1" applyAlignment="1">
      <alignment horizontal="center" vertical="center" wrapText="1"/>
    </xf>
    <xf numFmtId="3" fontId="3" fillId="7" borderId="114" xfId="0" applyNumberFormat="1" applyFont="1" applyFill="1" applyBorder="1" applyAlignment="1">
      <alignment horizontal="right" vertical="top" wrapText="1"/>
    </xf>
    <xf numFmtId="49" fontId="3" fillId="7" borderId="85" xfId="0" applyNumberFormat="1" applyFont="1" applyFill="1" applyBorder="1" applyAlignment="1">
      <alignment horizontal="center" vertical="top"/>
    </xf>
    <xf numFmtId="49" fontId="3" fillId="7" borderId="86" xfId="0" applyNumberFormat="1" applyFont="1" applyFill="1" applyBorder="1" applyAlignment="1">
      <alignment horizontal="center" vertical="top"/>
    </xf>
    <xf numFmtId="0" fontId="3" fillId="7" borderId="115" xfId="0" applyFont="1" applyFill="1" applyBorder="1" applyAlignment="1">
      <alignment vertical="top" wrapText="1"/>
    </xf>
    <xf numFmtId="0" fontId="16" fillId="10" borderId="110" xfId="0" applyFont="1" applyFill="1" applyBorder="1" applyAlignment="1">
      <alignment horizontal="left" vertical="top" wrapText="1"/>
    </xf>
    <xf numFmtId="0" fontId="16" fillId="10" borderId="111" xfId="0" applyNumberFormat="1" applyFont="1" applyFill="1" applyBorder="1" applyAlignment="1">
      <alignment horizontal="center" vertical="top"/>
    </xf>
    <xf numFmtId="0" fontId="16" fillId="10" borderId="6" xfId="0" applyFont="1" applyFill="1" applyBorder="1" applyAlignment="1">
      <alignment horizontal="left" vertical="top" wrapText="1"/>
    </xf>
    <xf numFmtId="0" fontId="16" fillId="10" borderId="10" xfId="0" applyNumberFormat="1" applyFont="1" applyFill="1" applyBorder="1" applyAlignment="1">
      <alignment horizontal="center" vertical="top"/>
    </xf>
    <xf numFmtId="0" fontId="16" fillId="10" borderId="29" xfId="0" applyFont="1" applyFill="1" applyBorder="1" applyAlignment="1">
      <alignment horizontal="left" vertical="top" wrapText="1"/>
    </xf>
    <xf numFmtId="0" fontId="16" fillId="10" borderId="28" xfId="0" applyNumberFormat="1" applyFont="1" applyFill="1" applyBorder="1" applyAlignment="1">
      <alignment horizontal="center" vertical="top"/>
    </xf>
    <xf numFmtId="0" fontId="18" fillId="7" borderId="34" xfId="0" applyFont="1" applyFill="1" applyBorder="1" applyAlignment="1">
      <alignment horizontal="center" vertical="top" textRotation="90" wrapText="1"/>
    </xf>
    <xf numFmtId="3" fontId="3" fillId="7" borderId="76" xfId="0" applyNumberFormat="1" applyFont="1" applyFill="1" applyBorder="1" applyAlignment="1">
      <alignment vertical="top"/>
    </xf>
    <xf numFmtId="3" fontId="3" fillId="7" borderId="53" xfId="0" applyNumberFormat="1" applyFont="1" applyFill="1" applyBorder="1" applyAlignment="1">
      <alignment vertical="top" wrapText="1"/>
    </xf>
    <xf numFmtId="0" fontId="3" fillId="7" borderId="126" xfId="0" applyFont="1" applyFill="1" applyBorder="1" applyAlignment="1">
      <alignment horizontal="center" vertical="center" textRotation="90" wrapText="1"/>
    </xf>
    <xf numFmtId="165" fontId="3" fillId="6" borderId="29" xfId="0" applyNumberFormat="1" applyFont="1" applyFill="1" applyBorder="1" applyAlignment="1">
      <alignment horizontal="left" vertical="top" wrapText="1"/>
    </xf>
    <xf numFmtId="0" fontId="3" fillId="6" borderId="93" xfId="0" applyNumberFormat="1" applyFont="1" applyFill="1" applyBorder="1" applyAlignment="1">
      <alignment horizontal="center" vertical="top"/>
    </xf>
    <xf numFmtId="0" fontId="3" fillId="6" borderId="125" xfId="0" applyNumberFormat="1" applyFont="1" applyFill="1" applyBorder="1" applyAlignment="1">
      <alignment horizontal="center" vertical="top"/>
    </xf>
    <xf numFmtId="0" fontId="5" fillId="6" borderId="106" xfId="0" applyNumberFormat="1" applyFont="1" applyFill="1" applyBorder="1" applyAlignment="1">
      <alignment horizontal="left" vertical="top" wrapText="1"/>
    </xf>
    <xf numFmtId="0" fontId="3" fillId="7" borderId="8" xfId="0" applyFont="1" applyFill="1" applyBorder="1" applyAlignment="1">
      <alignment horizontal="center" vertical="center" textRotation="90" wrapText="1"/>
    </xf>
    <xf numFmtId="3" fontId="3" fillId="7" borderId="31" xfId="0" applyNumberFormat="1" applyFont="1" applyFill="1" applyBorder="1" applyAlignment="1">
      <alignment horizontal="center" wrapText="1"/>
    </xf>
    <xf numFmtId="0" fontId="3" fillId="7" borderId="86" xfId="0" applyFont="1" applyFill="1" applyBorder="1" applyAlignment="1">
      <alignment vertical="top" wrapText="1"/>
    </xf>
    <xf numFmtId="165" fontId="3" fillId="7" borderId="84" xfId="0" applyNumberFormat="1" applyFont="1" applyFill="1" applyBorder="1" applyAlignment="1">
      <alignment horizontal="left" vertical="center" textRotation="90" wrapText="1"/>
    </xf>
    <xf numFmtId="0" fontId="5" fillId="7" borderId="108" xfId="0" applyFont="1" applyFill="1" applyBorder="1" applyAlignment="1">
      <alignment horizontal="center" vertical="top" wrapText="1"/>
    </xf>
    <xf numFmtId="0" fontId="3" fillId="7" borderId="108" xfId="0" applyFont="1" applyFill="1" applyBorder="1" applyAlignment="1">
      <alignment horizontal="center" vertical="top"/>
    </xf>
    <xf numFmtId="3" fontId="3" fillId="7" borderId="105" xfId="0" applyNumberFormat="1" applyFont="1" applyFill="1" applyBorder="1" applyAlignment="1">
      <alignment horizontal="center" vertical="top"/>
    </xf>
    <xf numFmtId="0" fontId="3" fillId="0" borderId="6" xfId="0" applyFont="1" applyBorder="1" applyAlignment="1">
      <alignment horizontal="left" vertical="top" wrapText="1"/>
    </xf>
    <xf numFmtId="49" fontId="3" fillId="0" borderId="10" xfId="0" applyNumberFormat="1" applyFont="1" applyFill="1" applyBorder="1" applyAlignment="1">
      <alignment horizontal="left" vertical="top" wrapText="1"/>
    </xf>
    <xf numFmtId="49" fontId="3" fillId="0" borderId="17" xfId="0" applyNumberFormat="1" applyFont="1" applyFill="1" applyBorder="1" applyAlignment="1">
      <alignment horizontal="center" vertical="top"/>
    </xf>
    <xf numFmtId="3" fontId="3" fillId="7" borderId="25" xfId="0" applyNumberFormat="1" applyFont="1" applyFill="1" applyBorder="1" applyAlignment="1">
      <alignment horizontal="right" vertical="top"/>
    </xf>
    <xf numFmtId="3" fontId="3" fillId="7" borderId="50" xfId="0" applyNumberFormat="1" applyFont="1" applyFill="1" applyBorder="1" applyAlignment="1">
      <alignment horizontal="right" vertical="top"/>
    </xf>
    <xf numFmtId="49" fontId="5" fillId="7" borderId="56" xfId="0" applyNumberFormat="1" applyFont="1" applyFill="1" applyBorder="1" applyAlignment="1">
      <alignment vertical="top"/>
    </xf>
    <xf numFmtId="0" fontId="3" fillId="0" borderId="127" xfId="0" applyFont="1" applyBorder="1" applyAlignment="1">
      <alignment vertical="top" wrapText="1"/>
    </xf>
    <xf numFmtId="0" fontId="3" fillId="0" borderId="8" xfId="0" applyFont="1" applyBorder="1" applyAlignment="1">
      <alignment vertical="top" wrapText="1"/>
    </xf>
    <xf numFmtId="166" fontId="3" fillId="0" borderId="31" xfId="0" applyNumberFormat="1" applyFont="1" applyFill="1" applyBorder="1" applyAlignment="1">
      <alignment horizontal="center" vertical="top"/>
    </xf>
    <xf numFmtId="0" fontId="4" fillId="0" borderId="0" xfId="0" applyFont="1" applyAlignment="1">
      <alignment horizontal="left" vertical="center" wrapText="1"/>
    </xf>
    <xf numFmtId="0" fontId="0" fillId="0" borderId="0" xfId="0" applyAlignment="1">
      <alignment horizontal="left" wrapText="1"/>
    </xf>
    <xf numFmtId="0" fontId="6" fillId="0" borderId="0" xfId="2" applyFont="1" applyAlignment="1">
      <alignment horizontal="center"/>
    </xf>
    <xf numFmtId="0" fontId="0" fillId="0" borderId="0" xfId="0" applyAlignment="1"/>
    <xf numFmtId="49" fontId="6" fillId="0" borderId="0" xfId="2" applyNumberFormat="1" applyFont="1" applyAlignment="1">
      <alignment horizontal="left" vertical="top" wrapText="1"/>
    </xf>
    <xf numFmtId="0" fontId="4" fillId="0" borderId="0" xfId="2" applyFont="1" applyAlignment="1">
      <alignment horizontal="left" vertical="top" wrapText="1"/>
    </xf>
    <xf numFmtId="0" fontId="4" fillId="7" borderId="0" xfId="2" applyFont="1" applyFill="1" applyAlignment="1">
      <alignment horizontal="left" vertical="top" wrapText="1"/>
    </xf>
    <xf numFmtId="0" fontId="0" fillId="0" borderId="0" xfId="0" applyAlignment="1">
      <alignment horizontal="left" vertical="top" wrapText="1"/>
    </xf>
    <xf numFmtId="0" fontId="4" fillId="0" borderId="0" xfId="0" applyFont="1" applyBorder="1" applyAlignment="1">
      <alignment horizontal="left" vertical="top" wrapText="1"/>
    </xf>
    <xf numFmtId="0" fontId="4" fillId="0" borderId="0" xfId="2" applyFont="1" applyAlignment="1">
      <alignment horizontal="left"/>
    </xf>
    <xf numFmtId="0" fontId="4" fillId="0" borderId="0" xfId="0" applyFont="1" applyAlignment="1">
      <alignment horizontal="left"/>
    </xf>
    <xf numFmtId="3" fontId="3" fillId="6" borderId="20" xfId="0" applyNumberFormat="1" applyFont="1" applyFill="1" applyBorder="1" applyAlignment="1">
      <alignment horizontal="left" vertical="top" wrapText="1"/>
    </xf>
    <xf numFmtId="0" fontId="11" fillId="0" borderId="27" xfId="0" applyFont="1" applyBorder="1" applyAlignment="1">
      <alignment horizontal="left" vertical="top" wrapText="1"/>
    </xf>
    <xf numFmtId="3" fontId="3" fillId="10" borderId="19" xfId="0" applyNumberFormat="1" applyFont="1" applyFill="1" applyBorder="1" applyAlignment="1">
      <alignment vertical="top" wrapText="1"/>
    </xf>
    <xf numFmtId="0" fontId="11" fillId="10" borderId="28" xfId="0" applyFont="1" applyFill="1" applyBorder="1" applyAlignment="1">
      <alignment vertical="top" wrapText="1"/>
    </xf>
    <xf numFmtId="0" fontId="11" fillId="0" borderId="85" xfId="0" applyFont="1" applyBorder="1" applyAlignment="1">
      <alignment vertical="top" wrapText="1"/>
    </xf>
    <xf numFmtId="3" fontId="3" fillId="10" borderId="20" xfId="0" applyNumberFormat="1" applyFont="1" applyFill="1" applyBorder="1" applyAlignment="1">
      <alignment horizontal="left" vertical="top" wrapText="1"/>
    </xf>
    <xf numFmtId="0" fontId="0" fillId="0" borderId="86" xfId="0" applyBorder="1" applyAlignment="1">
      <alignment vertical="top" wrapText="1"/>
    </xf>
    <xf numFmtId="0" fontId="11" fillId="0" borderId="10" xfId="0" applyFont="1" applyBorder="1" applyAlignment="1">
      <alignment vertical="top" wrapText="1"/>
    </xf>
    <xf numFmtId="3" fontId="3" fillId="10" borderId="115" xfId="0" applyNumberFormat="1" applyFont="1" applyFill="1" applyBorder="1" applyAlignment="1">
      <alignment horizontal="left" vertical="top" wrapText="1"/>
    </xf>
    <xf numFmtId="0" fontId="0" fillId="10" borderId="17" xfId="0" applyFill="1" applyBorder="1" applyAlignment="1">
      <alignment horizontal="left" vertical="top" wrapText="1"/>
    </xf>
    <xf numFmtId="0" fontId="0" fillId="10" borderId="27" xfId="0" applyFill="1" applyBorder="1" applyAlignment="1">
      <alignment horizontal="left" vertical="top" wrapText="1"/>
    </xf>
    <xf numFmtId="0" fontId="2" fillId="7" borderId="110" xfId="0" applyFont="1" applyFill="1" applyBorder="1" applyAlignment="1">
      <alignment horizontal="center" vertical="center" textRotation="90" wrapText="1"/>
    </xf>
    <xf numFmtId="0" fontId="0" fillId="7" borderId="6" xfId="0" applyFill="1" applyBorder="1" applyAlignment="1">
      <alignment horizontal="center" vertical="center" textRotation="90" wrapText="1"/>
    </xf>
    <xf numFmtId="0" fontId="3" fillId="0" borderId="105" xfId="0" applyNumberFormat="1" applyFont="1" applyFill="1" applyBorder="1" applyAlignment="1">
      <alignment horizontal="left" vertical="top" wrapText="1"/>
    </xf>
    <xf numFmtId="0" fontId="0" fillId="0" borderId="109" xfId="0" applyBorder="1" applyAlignment="1">
      <alignment vertical="top" wrapText="1"/>
    </xf>
    <xf numFmtId="0" fontId="3" fillId="0" borderId="42" xfId="0" applyNumberFormat="1" applyFont="1" applyFill="1" applyBorder="1" applyAlignment="1">
      <alignment horizontal="left" vertical="top" wrapText="1"/>
    </xf>
    <xf numFmtId="0" fontId="0" fillId="0" borderId="50" xfId="0" applyBorder="1" applyAlignment="1">
      <alignment vertical="top"/>
    </xf>
    <xf numFmtId="3" fontId="3" fillId="0" borderId="20" xfId="0" applyNumberFormat="1" applyFont="1" applyFill="1" applyBorder="1" applyAlignment="1">
      <alignment horizontal="left" vertical="top" wrapText="1"/>
    </xf>
    <xf numFmtId="3" fontId="3" fillId="0" borderId="17" xfId="0" applyNumberFormat="1" applyFont="1" applyFill="1" applyBorder="1" applyAlignment="1">
      <alignment horizontal="left" vertical="top" wrapText="1"/>
    </xf>
    <xf numFmtId="3" fontId="3" fillId="0" borderId="27" xfId="0" applyNumberFormat="1" applyFont="1" applyFill="1" applyBorder="1" applyAlignment="1">
      <alignment horizontal="left" vertical="top" wrapText="1"/>
    </xf>
    <xf numFmtId="0" fontId="3" fillId="10" borderId="20" xfId="0" applyFont="1" applyFill="1" applyBorder="1" applyAlignment="1">
      <alignment horizontal="left" vertical="top" wrapText="1"/>
    </xf>
    <xf numFmtId="0" fontId="0" fillId="6" borderId="27" xfId="0" applyFill="1" applyBorder="1" applyAlignment="1">
      <alignment horizontal="left" vertical="top" wrapText="1"/>
    </xf>
    <xf numFmtId="0" fontId="3" fillId="7" borderId="111" xfId="0" applyNumberFormat="1" applyFont="1" applyFill="1" applyBorder="1" applyAlignment="1">
      <alignment vertical="top" wrapText="1"/>
    </xf>
    <xf numFmtId="0" fontId="0" fillId="0" borderId="30" xfId="0" applyBorder="1" applyAlignment="1"/>
    <xf numFmtId="3" fontId="3" fillId="7" borderId="25" xfId="0" applyNumberFormat="1" applyFont="1" applyFill="1" applyBorder="1" applyAlignment="1">
      <alignment vertical="top" wrapText="1"/>
    </xf>
    <xf numFmtId="3" fontId="3" fillId="7" borderId="10" xfId="0" applyNumberFormat="1" applyFont="1" applyFill="1" applyBorder="1" applyAlignment="1">
      <alignment vertical="top" wrapText="1"/>
    </xf>
    <xf numFmtId="3" fontId="3" fillId="7" borderId="30" xfId="0" applyNumberFormat="1" applyFont="1" applyFill="1" applyBorder="1" applyAlignment="1">
      <alignment vertical="top" wrapText="1"/>
    </xf>
    <xf numFmtId="3" fontId="3" fillId="7" borderId="20" xfId="0" applyNumberFormat="1" applyFont="1" applyFill="1" applyBorder="1" applyAlignment="1">
      <alignment horizontal="left" vertical="top" wrapText="1"/>
    </xf>
    <xf numFmtId="3" fontId="3" fillId="7" borderId="17" xfId="0" applyNumberFormat="1" applyFont="1" applyFill="1" applyBorder="1" applyAlignment="1">
      <alignment horizontal="left" vertical="top" wrapText="1"/>
    </xf>
    <xf numFmtId="3" fontId="3" fillId="7" borderId="27" xfId="0" applyNumberFormat="1" applyFont="1" applyFill="1" applyBorder="1" applyAlignment="1">
      <alignment horizontal="left" vertical="top" wrapText="1"/>
    </xf>
    <xf numFmtId="49" fontId="3" fillId="7" borderId="104" xfId="0" applyNumberFormat="1" applyFont="1" applyFill="1" applyBorder="1" applyAlignment="1">
      <alignment horizontal="left" vertical="top" wrapText="1"/>
    </xf>
    <xf numFmtId="49" fontId="3" fillId="7" borderId="105" xfId="0" applyNumberFormat="1" applyFont="1" applyFill="1" applyBorder="1" applyAlignment="1">
      <alignment horizontal="left" vertical="top" wrapText="1"/>
    </xf>
    <xf numFmtId="3" fontId="3" fillId="10" borderId="111" xfId="0" applyNumberFormat="1" applyFont="1" applyFill="1" applyBorder="1" applyAlignment="1">
      <alignment horizontal="center" vertical="top" wrapText="1"/>
    </xf>
    <xf numFmtId="3" fontId="3" fillId="10" borderId="10" xfId="0" applyNumberFormat="1" applyFont="1" applyFill="1" applyBorder="1" applyAlignment="1">
      <alignment horizontal="center" vertical="top" wrapText="1"/>
    </xf>
    <xf numFmtId="3" fontId="3" fillId="10" borderId="28" xfId="0" applyNumberFormat="1" applyFont="1" applyFill="1" applyBorder="1" applyAlignment="1">
      <alignment horizontal="center" vertical="top" wrapText="1"/>
    </xf>
    <xf numFmtId="3" fontId="3" fillId="3" borderId="20" xfId="0" applyNumberFormat="1" applyFont="1" applyFill="1" applyBorder="1" applyAlignment="1">
      <alignment horizontal="left" vertical="top" wrapText="1"/>
    </xf>
    <xf numFmtId="0" fontId="0" fillId="0" borderId="17" xfId="0" applyBorder="1" applyAlignment="1">
      <alignment horizontal="left" wrapText="1"/>
    </xf>
    <xf numFmtId="0" fontId="0" fillId="0" borderId="31" xfId="0" applyBorder="1" applyAlignment="1">
      <alignment horizontal="left" wrapText="1"/>
    </xf>
    <xf numFmtId="3" fontId="3" fillId="7" borderId="10" xfId="0" applyNumberFormat="1" applyFont="1" applyFill="1" applyBorder="1" applyAlignment="1">
      <alignment horizontal="center" vertical="center" wrapText="1"/>
    </xf>
    <xf numFmtId="3" fontId="3" fillId="7" borderId="30" xfId="0" applyNumberFormat="1" applyFont="1" applyFill="1" applyBorder="1" applyAlignment="1">
      <alignment horizontal="center" vertical="center" wrapText="1"/>
    </xf>
    <xf numFmtId="3" fontId="3" fillId="7" borderId="31" xfId="0" applyNumberFormat="1" applyFont="1" applyFill="1" applyBorder="1" applyAlignment="1">
      <alignment horizontal="left" vertical="top" wrapText="1"/>
    </xf>
    <xf numFmtId="3" fontId="3" fillId="7" borderId="19" xfId="0" applyNumberFormat="1" applyFont="1" applyFill="1" applyBorder="1" applyAlignment="1">
      <alignment vertical="top" wrapText="1"/>
    </xf>
    <xf numFmtId="3" fontId="3" fillId="7" borderId="28" xfId="0" applyNumberFormat="1" applyFont="1" applyFill="1" applyBorder="1" applyAlignment="1">
      <alignment vertical="top" wrapText="1"/>
    </xf>
    <xf numFmtId="3" fontId="3" fillId="10" borderId="17" xfId="0" applyNumberFormat="1" applyFont="1" applyFill="1" applyBorder="1" applyAlignment="1">
      <alignment horizontal="left" vertical="top" wrapText="1"/>
    </xf>
    <xf numFmtId="3" fontId="3" fillId="7" borderId="19" xfId="0" applyNumberFormat="1" applyFont="1" applyFill="1" applyBorder="1" applyAlignment="1">
      <alignment vertical="top"/>
    </xf>
    <xf numFmtId="3" fontId="3" fillId="7" borderId="10" xfId="0" applyNumberFormat="1" applyFont="1" applyFill="1" applyBorder="1" applyAlignment="1">
      <alignment vertical="top"/>
    </xf>
    <xf numFmtId="3" fontId="3" fillId="7" borderId="30" xfId="0" applyNumberFormat="1" applyFont="1" applyFill="1" applyBorder="1" applyAlignment="1">
      <alignment vertical="top"/>
    </xf>
    <xf numFmtId="0" fontId="3" fillId="0" borderId="37" xfId="0" applyFont="1" applyFill="1" applyBorder="1" applyAlignment="1">
      <alignment horizontal="left" vertical="top" wrapText="1"/>
    </xf>
    <xf numFmtId="0" fontId="3" fillId="0" borderId="29" xfId="0" applyFont="1" applyFill="1" applyBorder="1" applyAlignment="1">
      <alignment horizontal="left" vertical="top" wrapText="1"/>
    </xf>
    <xf numFmtId="0" fontId="5" fillId="0" borderId="37" xfId="0"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29" xfId="0" applyFont="1" applyFill="1" applyBorder="1" applyAlignment="1">
      <alignment horizontal="center" vertical="top" wrapText="1"/>
    </xf>
    <xf numFmtId="0" fontId="3" fillId="7" borderId="20" xfId="0" applyFont="1" applyFill="1" applyBorder="1" applyAlignment="1">
      <alignment horizontal="left" vertical="top" wrapText="1"/>
    </xf>
    <xf numFmtId="0" fontId="11" fillId="7" borderId="27" xfId="0" applyFont="1" applyFill="1" applyBorder="1" applyAlignment="1">
      <alignment horizontal="left" vertical="top" wrapText="1"/>
    </xf>
    <xf numFmtId="0" fontId="3" fillId="7" borderId="37"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29" xfId="0" applyFont="1" applyFill="1" applyBorder="1" applyAlignment="1">
      <alignment horizontal="left" vertical="top" wrapText="1"/>
    </xf>
    <xf numFmtId="0" fontId="3" fillId="7" borderId="17" xfId="0" applyFont="1" applyFill="1" applyBorder="1" applyAlignment="1">
      <alignment horizontal="left" vertical="top" wrapText="1"/>
    </xf>
    <xf numFmtId="0" fontId="3" fillId="7" borderId="27" xfId="0" applyFont="1" applyFill="1" applyBorder="1" applyAlignment="1">
      <alignment horizontal="left" vertical="top" wrapText="1"/>
    </xf>
    <xf numFmtId="0" fontId="5" fillId="7" borderId="6" xfId="0" applyFont="1" applyFill="1" applyBorder="1" applyAlignment="1">
      <alignment horizontal="center" vertical="top" wrapText="1"/>
    </xf>
    <xf numFmtId="0" fontId="5" fillId="7" borderId="29" xfId="0" applyFont="1" applyFill="1" applyBorder="1" applyAlignment="1">
      <alignment horizontal="center" vertical="top" wrapText="1"/>
    </xf>
    <xf numFmtId="49" fontId="5" fillId="3" borderId="20" xfId="0" applyNumberFormat="1" applyFont="1" applyFill="1" applyBorder="1" applyAlignment="1">
      <alignment horizontal="center" vertical="top" wrapText="1"/>
    </xf>
    <xf numFmtId="49" fontId="5" fillId="3" borderId="17" xfId="0" applyNumberFormat="1" applyFont="1" applyFill="1" applyBorder="1" applyAlignment="1">
      <alignment horizontal="center" vertical="top" wrapText="1"/>
    </xf>
    <xf numFmtId="49" fontId="5" fillId="3" borderId="27" xfId="0" applyNumberFormat="1" applyFont="1" applyFill="1" applyBorder="1" applyAlignment="1">
      <alignment horizontal="center" vertical="top" wrapText="1"/>
    </xf>
    <xf numFmtId="0" fontId="3" fillId="3" borderId="17" xfId="0" applyFont="1" applyFill="1" applyBorder="1" applyAlignment="1">
      <alignment horizontal="left" vertical="top" wrapText="1"/>
    </xf>
    <xf numFmtId="0" fontId="11" fillId="0" borderId="17" xfId="0" applyFont="1" applyBorder="1" applyAlignment="1">
      <alignment horizontal="left" vertical="top" wrapText="1"/>
    </xf>
    <xf numFmtId="165" fontId="5" fillId="7" borderId="6" xfId="0" applyNumberFormat="1" applyFont="1" applyFill="1" applyBorder="1" applyAlignment="1">
      <alignment horizontal="center" vertical="top" wrapText="1"/>
    </xf>
    <xf numFmtId="0" fontId="11" fillId="7" borderId="86" xfId="0" applyFont="1" applyFill="1" applyBorder="1" applyAlignment="1">
      <alignment horizontal="left" vertical="top" wrapText="1"/>
    </xf>
    <xf numFmtId="49" fontId="5" fillId="0" borderId="17" xfId="0" applyNumberFormat="1" applyFont="1" applyBorder="1" applyAlignment="1">
      <alignment horizontal="center" vertical="top"/>
    </xf>
    <xf numFmtId="0" fontId="11" fillId="0" borderId="6" xfId="0" applyFont="1" applyBorder="1" applyAlignment="1">
      <alignment horizontal="left" vertical="top" wrapText="1"/>
    </xf>
    <xf numFmtId="0" fontId="0" fillId="0" borderId="8" xfId="0" applyBorder="1" applyAlignment="1">
      <alignment horizontal="left" vertical="top" wrapText="1"/>
    </xf>
    <xf numFmtId="49" fontId="5" fillId="7" borderId="20" xfId="0" applyNumberFormat="1" applyFont="1" applyFill="1" applyBorder="1" applyAlignment="1">
      <alignment horizontal="center" vertical="top"/>
    </xf>
    <xf numFmtId="49" fontId="5" fillId="7" borderId="17" xfId="0" applyNumberFormat="1" applyFont="1" applyFill="1" applyBorder="1" applyAlignment="1">
      <alignment horizontal="center" vertical="top"/>
    </xf>
    <xf numFmtId="0" fontId="5" fillId="3" borderId="34" xfId="0" applyFont="1" applyFill="1" applyBorder="1" applyAlignment="1">
      <alignment horizontal="center" vertical="top" wrapText="1"/>
    </xf>
    <xf numFmtId="49" fontId="5" fillId="3" borderId="17" xfId="0" applyNumberFormat="1" applyFont="1" applyFill="1" applyBorder="1" applyAlignment="1">
      <alignment horizontal="center" vertical="top"/>
    </xf>
    <xf numFmtId="0" fontId="5" fillId="3" borderId="37"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29" xfId="0" applyFont="1" applyFill="1" applyBorder="1" applyAlignment="1">
      <alignment horizontal="center" vertical="top" wrapText="1"/>
    </xf>
    <xf numFmtId="49" fontId="5" fillId="0" borderId="20" xfId="0" applyNumberFormat="1" applyFont="1" applyBorder="1" applyAlignment="1">
      <alignment horizontal="center" vertical="top"/>
    </xf>
    <xf numFmtId="49" fontId="5" fillId="0" borderId="27" xfId="0" applyNumberFormat="1" applyFont="1" applyBorder="1" applyAlignment="1">
      <alignment horizontal="center" vertical="top"/>
    </xf>
    <xf numFmtId="0" fontId="3" fillId="6" borderId="37" xfId="0" applyFont="1" applyFill="1" applyBorder="1" applyAlignment="1">
      <alignment horizontal="left" vertical="top" wrapText="1"/>
    </xf>
    <xf numFmtId="0" fontId="3" fillId="6" borderId="29" xfId="0" applyFont="1" applyFill="1" applyBorder="1" applyAlignment="1">
      <alignment horizontal="left" vertical="top" wrapText="1"/>
    </xf>
    <xf numFmtId="49" fontId="5" fillId="7" borderId="27" xfId="0" applyNumberFormat="1" applyFont="1" applyFill="1" applyBorder="1" applyAlignment="1">
      <alignment horizontal="center" vertical="top"/>
    </xf>
    <xf numFmtId="3" fontId="3" fillId="7" borderId="20" xfId="0" applyNumberFormat="1" applyFont="1" applyFill="1" applyBorder="1" applyAlignment="1">
      <alignment horizontal="left" vertical="top"/>
    </xf>
    <xf numFmtId="3" fontId="3" fillId="7" borderId="17" xfId="0" applyNumberFormat="1" applyFont="1" applyFill="1" applyBorder="1" applyAlignment="1">
      <alignment horizontal="left" vertical="top"/>
    </xf>
    <xf numFmtId="49" fontId="3" fillId="7" borderId="19" xfId="0" applyNumberFormat="1" applyFont="1" applyFill="1" applyBorder="1" applyAlignment="1">
      <alignment horizontal="center" vertical="top" wrapText="1"/>
    </xf>
    <xf numFmtId="49" fontId="3" fillId="7" borderId="10" xfId="0" applyNumberFormat="1" applyFont="1" applyFill="1" applyBorder="1" applyAlignment="1">
      <alignment horizontal="center" vertical="top" wrapText="1"/>
    </xf>
    <xf numFmtId="0" fontId="11" fillId="7" borderId="28" xfId="0" applyFont="1" applyFill="1" applyBorder="1" applyAlignment="1">
      <alignment horizontal="center" vertical="top" wrapText="1"/>
    </xf>
    <xf numFmtId="49" fontId="5" fillId="2" borderId="71" xfId="0" applyNumberFormat="1" applyFont="1" applyFill="1" applyBorder="1" applyAlignment="1">
      <alignment horizontal="right" vertical="top"/>
    </xf>
    <xf numFmtId="49" fontId="5" fillId="2" borderId="72" xfId="0" applyNumberFormat="1" applyFont="1" applyFill="1" applyBorder="1" applyAlignment="1">
      <alignment horizontal="right" vertical="top"/>
    </xf>
    <xf numFmtId="49" fontId="5" fillId="2" borderId="75" xfId="0" applyNumberFormat="1" applyFont="1" applyFill="1" applyBorder="1" applyAlignment="1">
      <alignment horizontal="left" vertical="top"/>
    </xf>
    <xf numFmtId="49" fontId="5" fillId="2" borderId="71" xfId="0" applyNumberFormat="1" applyFont="1" applyFill="1" applyBorder="1" applyAlignment="1">
      <alignment horizontal="left" vertical="top"/>
    </xf>
    <xf numFmtId="49" fontId="5" fillId="2" borderId="72" xfId="0" applyNumberFormat="1" applyFont="1" applyFill="1" applyBorder="1" applyAlignment="1">
      <alignment horizontal="left" vertical="top"/>
    </xf>
    <xf numFmtId="49" fontId="5" fillId="7" borderId="2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30" xfId="0" applyNumberFormat="1" applyFont="1" applyFill="1" applyBorder="1" applyAlignment="1">
      <alignment horizontal="center" vertical="top"/>
    </xf>
    <xf numFmtId="49" fontId="5" fillId="9" borderId="6"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0" fontId="3" fillId="3" borderId="49" xfId="0" applyFont="1" applyFill="1" applyBorder="1" applyAlignment="1">
      <alignment horizontal="left" vertical="top" wrapText="1"/>
    </xf>
    <xf numFmtId="0" fontId="11" fillId="0" borderId="34" xfId="0" applyFont="1" applyBorder="1" applyAlignment="1">
      <alignment vertical="top"/>
    </xf>
    <xf numFmtId="0" fontId="11" fillId="7" borderId="84" xfId="0" applyFont="1" applyFill="1" applyBorder="1" applyAlignment="1">
      <alignment horizontal="left" vertical="top" wrapText="1"/>
    </xf>
    <xf numFmtId="0" fontId="3" fillId="3" borderId="20" xfId="0" applyFont="1" applyFill="1" applyBorder="1" applyAlignment="1">
      <alignment horizontal="left" vertical="top" wrapText="1"/>
    </xf>
    <xf numFmtId="0" fontId="0" fillId="0" borderId="31" xfId="0" applyBorder="1" applyAlignment="1">
      <alignment horizontal="left" vertical="top" wrapText="1"/>
    </xf>
    <xf numFmtId="0" fontId="5" fillId="3" borderId="4" xfId="0" applyFont="1" applyFill="1" applyBorder="1" applyAlignment="1">
      <alignment horizontal="center" vertical="top" wrapText="1"/>
    </xf>
    <xf numFmtId="0" fontId="5" fillId="3" borderId="8" xfId="0" applyFont="1" applyFill="1" applyBorder="1" applyAlignment="1">
      <alignment horizontal="center" vertical="top" wrapText="1"/>
    </xf>
    <xf numFmtId="49" fontId="5" fillId="0" borderId="26" xfId="0" applyNumberFormat="1" applyFont="1" applyBorder="1" applyAlignment="1">
      <alignment horizontal="center" vertical="top"/>
    </xf>
    <xf numFmtId="49" fontId="5" fillId="0" borderId="31" xfId="0" applyNumberFormat="1" applyFont="1" applyBorder="1" applyAlignment="1">
      <alignment horizontal="center" vertical="top"/>
    </xf>
    <xf numFmtId="0" fontId="3" fillId="3" borderId="26" xfId="0" applyFont="1" applyFill="1" applyBorder="1" applyAlignment="1">
      <alignment vertical="top" wrapText="1"/>
    </xf>
    <xf numFmtId="0" fontId="11" fillId="0" borderId="17" xfId="0" applyFont="1" applyBorder="1" applyAlignment="1">
      <alignment vertical="top" wrapText="1"/>
    </xf>
    <xf numFmtId="0" fontId="5" fillId="0" borderId="45" xfId="0" applyFont="1" applyFill="1" applyBorder="1" applyAlignment="1">
      <alignment horizontal="center" vertical="top" wrapText="1"/>
    </xf>
    <xf numFmtId="0" fontId="5" fillId="0" borderId="34" xfId="0" applyFont="1" applyFill="1" applyBorder="1" applyAlignment="1">
      <alignment horizontal="center" vertical="top" wrapText="1"/>
    </xf>
    <xf numFmtId="0" fontId="5" fillId="0" borderId="73" xfId="0" applyFont="1" applyFill="1" applyBorder="1" applyAlignment="1">
      <alignment horizontal="center" vertical="top" wrapText="1"/>
    </xf>
    <xf numFmtId="0" fontId="3" fillId="10" borderId="6" xfId="0" applyFont="1" applyFill="1" applyBorder="1" applyAlignment="1">
      <alignment vertical="top" wrapText="1"/>
    </xf>
    <xf numFmtId="0" fontId="11" fillId="10" borderId="8" xfId="0" applyFont="1" applyFill="1" applyBorder="1" applyAlignment="1">
      <alignment vertical="top" wrapText="1"/>
    </xf>
    <xf numFmtId="0" fontId="5" fillId="3" borderId="26" xfId="0" applyFont="1" applyFill="1" applyBorder="1" applyAlignment="1">
      <alignment vertical="top" wrapText="1"/>
    </xf>
    <xf numFmtId="0" fontId="0" fillId="0" borderId="17" xfId="0" applyBorder="1" applyAlignment="1">
      <alignment vertical="top" wrapText="1"/>
    </xf>
    <xf numFmtId="0" fontId="3" fillId="2" borderId="71" xfId="0" applyFont="1" applyFill="1" applyBorder="1" applyAlignment="1">
      <alignment horizontal="center" vertical="top" wrapText="1"/>
    </xf>
    <xf numFmtId="0" fontId="3" fillId="2" borderId="72" xfId="0" applyFont="1" applyFill="1" applyBorder="1" applyAlignment="1">
      <alignment horizontal="center" vertical="top" wrapText="1"/>
    </xf>
    <xf numFmtId="0" fontId="3" fillId="7" borderId="42" xfId="0" applyFont="1" applyFill="1" applyBorder="1" applyAlignment="1">
      <alignment horizontal="left" vertical="top" wrapText="1"/>
    </xf>
    <xf numFmtId="0" fontId="3" fillId="7" borderId="56" xfId="0" applyFont="1" applyFill="1" applyBorder="1" applyAlignment="1">
      <alignment horizontal="left" vertical="top" wrapText="1"/>
    </xf>
    <xf numFmtId="0" fontId="3" fillId="7" borderId="110" xfId="0" applyFont="1" applyFill="1" applyBorder="1" applyAlignment="1">
      <alignment vertical="top" wrapText="1"/>
    </xf>
    <xf numFmtId="0" fontId="0" fillId="0" borderId="8" xfId="0" applyBorder="1" applyAlignment="1"/>
    <xf numFmtId="0" fontId="3" fillId="0" borderId="110" xfId="0" applyFont="1" applyFill="1" applyBorder="1" applyAlignment="1">
      <alignment horizontal="left" vertical="top" wrapText="1"/>
    </xf>
    <xf numFmtId="49" fontId="5" fillId="9" borderId="4" xfId="0" applyNumberFormat="1" applyFont="1" applyFill="1" applyBorder="1" applyAlignment="1">
      <alignment horizontal="center" vertical="top"/>
    </xf>
    <xf numFmtId="49" fontId="5" fillId="9" borderId="8"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10" xfId="0" applyNumberFormat="1" applyFont="1" applyBorder="1" applyAlignment="1">
      <alignment horizontal="center" vertical="top"/>
    </xf>
    <xf numFmtId="49" fontId="5" fillId="0" borderId="30" xfId="0" applyNumberFormat="1" applyFont="1" applyBorder="1" applyAlignment="1">
      <alignment horizontal="center" vertical="top"/>
    </xf>
    <xf numFmtId="0" fontId="3" fillId="3" borderId="26" xfId="0" applyFont="1" applyFill="1" applyBorder="1" applyAlignment="1">
      <alignment horizontal="left" vertical="top" wrapText="1"/>
    </xf>
    <xf numFmtId="0" fontId="3" fillId="3" borderId="31" xfId="0" applyFont="1" applyFill="1" applyBorder="1" applyAlignment="1">
      <alignment horizontal="left" vertical="top" wrapText="1"/>
    </xf>
    <xf numFmtId="0" fontId="11" fillId="0" borderId="31" xfId="0" applyFont="1" applyBorder="1" applyAlignment="1">
      <alignment horizontal="left" vertical="top" wrapText="1"/>
    </xf>
    <xf numFmtId="0" fontId="11" fillId="0" borderId="31" xfId="0" applyFont="1" applyBorder="1" applyAlignment="1">
      <alignment vertical="top"/>
    </xf>
    <xf numFmtId="49" fontId="5" fillId="2" borderId="25"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0" fontId="3" fillId="3" borderId="17" xfId="0" applyFont="1" applyFill="1" applyBorder="1" applyAlignment="1">
      <alignment vertical="top" wrapText="1"/>
    </xf>
    <xf numFmtId="0" fontId="3" fillId="3" borderId="31" xfId="0" applyFont="1" applyFill="1" applyBorder="1" applyAlignment="1">
      <alignment vertical="top" wrapText="1"/>
    </xf>
    <xf numFmtId="49" fontId="5" fillId="7" borderId="106" xfId="0" applyNumberFormat="1" applyFont="1" applyFill="1" applyBorder="1" applyAlignment="1">
      <alignment horizontal="center" vertical="top"/>
    </xf>
    <xf numFmtId="49" fontId="5" fillId="2" borderId="3" xfId="0" applyNumberFormat="1" applyFont="1" applyFill="1" applyBorder="1" applyAlignment="1">
      <alignment horizontal="left" vertical="top"/>
    </xf>
    <xf numFmtId="49" fontId="5" fillId="2" borderId="25" xfId="0" applyNumberFormat="1" applyFont="1" applyFill="1" applyBorder="1" applyAlignment="1">
      <alignment horizontal="left" vertical="top"/>
    </xf>
    <xf numFmtId="49" fontId="5" fillId="2" borderId="77" xfId="0" applyNumberFormat="1" applyFont="1" applyFill="1" applyBorder="1" applyAlignment="1">
      <alignment horizontal="left" vertical="top"/>
    </xf>
    <xf numFmtId="0" fontId="10" fillId="3" borderId="26" xfId="0" applyFont="1" applyFill="1" applyBorder="1" applyAlignment="1">
      <alignment vertical="top" wrapText="1"/>
    </xf>
    <xf numFmtId="0" fontId="11" fillId="0" borderId="27" xfId="0" applyFont="1" applyBorder="1" applyAlignment="1">
      <alignment vertical="top" wrapText="1"/>
    </xf>
    <xf numFmtId="0" fontId="3" fillId="2" borderId="55" xfId="0" applyFont="1" applyFill="1" applyBorder="1" applyAlignment="1">
      <alignment horizontal="center" vertical="top" wrapText="1"/>
    </xf>
    <xf numFmtId="3" fontId="3" fillId="10" borderId="10" xfId="0" applyNumberFormat="1" applyFont="1" applyFill="1" applyBorder="1" applyAlignment="1">
      <alignment vertical="top" wrapText="1"/>
    </xf>
    <xf numFmtId="3" fontId="3" fillId="10" borderId="28" xfId="0" applyNumberFormat="1" applyFont="1" applyFill="1" applyBorder="1" applyAlignment="1">
      <alignment vertical="top" wrapText="1"/>
    </xf>
    <xf numFmtId="3" fontId="3" fillId="10" borderId="27" xfId="0" applyNumberFormat="1" applyFont="1" applyFill="1" applyBorder="1" applyAlignment="1">
      <alignment horizontal="left" vertical="top" wrapText="1"/>
    </xf>
    <xf numFmtId="0" fontId="3" fillId="7" borderId="25" xfId="0" applyFont="1" applyFill="1" applyBorder="1" applyAlignment="1">
      <alignment horizontal="center" vertical="top" wrapText="1"/>
    </xf>
    <xf numFmtId="0" fontId="3" fillId="7" borderId="30" xfId="0" applyFont="1" applyFill="1" applyBorder="1" applyAlignment="1">
      <alignment horizontal="center" vertical="top" wrapText="1"/>
    </xf>
    <xf numFmtId="0" fontId="0" fillId="10" borderId="31" xfId="0" applyFill="1" applyBorder="1" applyAlignment="1">
      <alignment vertical="top"/>
    </xf>
    <xf numFmtId="0" fontId="9" fillId="0" borderId="4" xfId="0" applyFont="1" applyFill="1" applyBorder="1" applyAlignment="1">
      <alignment horizontal="center" vertical="center" textRotation="90" wrapText="1"/>
    </xf>
    <xf numFmtId="0" fontId="15" fillId="0" borderId="6" xfId="0" applyFont="1" applyBorder="1" applyAlignment="1">
      <alignment horizontal="center" vertical="center" textRotation="90" wrapText="1"/>
    </xf>
    <xf numFmtId="0" fontId="5" fillId="4" borderId="73" xfId="0" applyFont="1" applyFill="1" applyBorder="1" applyAlignment="1">
      <alignment horizontal="right" vertical="top" wrapText="1"/>
    </xf>
    <xf numFmtId="0" fontId="5" fillId="4" borderId="32" xfId="0" applyFont="1" applyFill="1" applyBorder="1" applyAlignment="1">
      <alignment horizontal="right" vertical="top" wrapText="1"/>
    </xf>
    <xf numFmtId="0" fontId="5" fillId="4" borderId="33" xfId="0" applyFont="1" applyFill="1" applyBorder="1" applyAlignment="1">
      <alignment horizontal="right" vertical="top" wrapText="1"/>
    </xf>
    <xf numFmtId="0" fontId="3" fillId="0" borderId="68" xfId="0" applyFont="1" applyBorder="1" applyAlignment="1">
      <alignment horizontal="left" vertical="top" wrapText="1"/>
    </xf>
    <xf numFmtId="0" fontId="3" fillId="0" borderId="64" xfId="0" applyFont="1" applyBorder="1" applyAlignment="1">
      <alignment horizontal="left" vertical="top" wrapText="1"/>
    </xf>
    <xf numFmtId="0" fontId="3" fillId="0" borderId="43" xfId="0" applyFont="1" applyBorder="1" applyAlignment="1">
      <alignment horizontal="left" vertical="top" wrapText="1"/>
    </xf>
    <xf numFmtId="0" fontId="3" fillId="3" borderId="68" xfId="0" applyFont="1" applyFill="1" applyBorder="1" applyAlignment="1">
      <alignment horizontal="left" vertical="top" wrapText="1"/>
    </xf>
    <xf numFmtId="0" fontId="3" fillId="3" borderId="64" xfId="0" applyFont="1" applyFill="1" applyBorder="1" applyAlignment="1">
      <alignment horizontal="left" vertical="top" wrapText="1"/>
    </xf>
    <xf numFmtId="0" fontId="3" fillId="3" borderId="43" xfId="0" applyFont="1" applyFill="1" applyBorder="1" applyAlignment="1">
      <alignment horizontal="left" vertical="top" wrapText="1"/>
    </xf>
    <xf numFmtId="0" fontId="5" fillId="5" borderId="68" xfId="0" applyFont="1" applyFill="1" applyBorder="1" applyAlignment="1">
      <alignment horizontal="right" vertical="top" wrapText="1"/>
    </xf>
    <xf numFmtId="0" fontId="5" fillId="5" borderId="64" xfId="0" applyFont="1" applyFill="1" applyBorder="1" applyAlignment="1">
      <alignment horizontal="right" vertical="top" wrapText="1"/>
    </xf>
    <xf numFmtId="0" fontId="5" fillId="5" borderId="43" xfId="0" applyFont="1" applyFill="1" applyBorder="1" applyAlignment="1">
      <alignment horizontal="right" vertical="top" wrapText="1"/>
    </xf>
    <xf numFmtId="0" fontId="3" fillId="3" borderId="65" xfId="0" applyFont="1" applyFill="1" applyBorder="1" applyAlignment="1">
      <alignment horizontal="left" vertical="top" wrapText="1"/>
    </xf>
    <xf numFmtId="0" fontId="3" fillId="3" borderId="76" xfId="0" applyFont="1" applyFill="1" applyBorder="1" applyAlignment="1">
      <alignment horizontal="left" vertical="top" wrapText="1"/>
    </xf>
    <xf numFmtId="0" fontId="3" fillId="3" borderId="53" xfId="0" applyFont="1" applyFill="1" applyBorder="1" applyAlignment="1">
      <alignment horizontal="left" vertical="top" wrapText="1"/>
    </xf>
    <xf numFmtId="0" fontId="3" fillId="8" borderId="68" xfId="0" applyFont="1" applyFill="1" applyBorder="1" applyAlignment="1">
      <alignment horizontal="left" vertical="top" wrapText="1"/>
    </xf>
    <xf numFmtId="0" fontId="3" fillId="8" borderId="64" xfId="0" applyFont="1" applyFill="1" applyBorder="1" applyAlignment="1">
      <alignment horizontal="left" vertical="top" wrapText="1"/>
    </xf>
    <xf numFmtId="0" fontId="3" fillId="8" borderId="43" xfId="0" applyFont="1" applyFill="1" applyBorder="1" applyAlignment="1">
      <alignment horizontal="left" vertical="top" wrapText="1"/>
    </xf>
    <xf numFmtId="0" fontId="3" fillId="7" borderId="68" xfId="0" applyFont="1" applyFill="1" applyBorder="1" applyAlignment="1">
      <alignment horizontal="left" vertical="top" wrapText="1"/>
    </xf>
    <xf numFmtId="0" fontId="3" fillId="7" borderId="64" xfId="0" applyFont="1" applyFill="1" applyBorder="1" applyAlignment="1">
      <alignment horizontal="left" vertical="top" wrapText="1"/>
    </xf>
    <xf numFmtId="0" fontId="3" fillId="7" borderId="43" xfId="0" applyFont="1" applyFill="1" applyBorder="1" applyAlignment="1">
      <alignment horizontal="left" vertical="top" wrapText="1"/>
    </xf>
    <xf numFmtId="0" fontId="3" fillId="7" borderId="65" xfId="0" applyFont="1" applyFill="1" applyBorder="1" applyAlignment="1">
      <alignment horizontal="left" vertical="top" wrapText="1"/>
    </xf>
    <xf numFmtId="0" fontId="3" fillId="7" borderId="76" xfId="0" applyFont="1" applyFill="1" applyBorder="1" applyAlignment="1">
      <alignment horizontal="left" vertical="top" wrapText="1"/>
    </xf>
    <xf numFmtId="0" fontId="3" fillId="7" borderId="53" xfId="0" applyFont="1" applyFill="1" applyBorder="1" applyAlignment="1">
      <alignment horizontal="left" vertical="top" wrapText="1"/>
    </xf>
    <xf numFmtId="0" fontId="5" fillId="5" borderId="69" xfId="0" applyFont="1" applyFill="1" applyBorder="1" applyAlignment="1">
      <alignment horizontal="right" vertical="top" wrapText="1"/>
    </xf>
    <xf numFmtId="0" fontId="5" fillId="5" borderId="74" xfId="0" applyFont="1" applyFill="1" applyBorder="1" applyAlignment="1">
      <alignment horizontal="right" vertical="top" wrapText="1"/>
    </xf>
    <xf numFmtId="0" fontId="5" fillId="5" borderId="70" xfId="0" applyFont="1" applyFill="1" applyBorder="1" applyAlignment="1">
      <alignment horizontal="right" vertical="top" wrapText="1"/>
    </xf>
    <xf numFmtId="0" fontId="5" fillId="8" borderId="68" xfId="0" applyFont="1" applyFill="1" applyBorder="1" applyAlignment="1">
      <alignment horizontal="right" vertical="top" wrapText="1"/>
    </xf>
    <xf numFmtId="0" fontId="11" fillId="8" borderId="64" xfId="0" applyFont="1" applyFill="1" applyBorder="1" applyAlignment="1">
      <alignment horizontal="right" vertical="top" wrapText="1"/>
    </xf>
    <xf numFmtId="0" fontId="11" fillId="8" borderId="43" xfId="0" applyFont="1" applyFill="1" applyBorder="1" applyAlignment="1">
      <alignment horizontal="right" vertical="top" wrapText="1"/>
    </xf>
    <xf numFmtId="49" fontId="3" fillId="0" borderId="51" xfId="0" applyNumberFormat="1" applyFont="1" applyFill="1" applyBorder="1" applyAlignment="1">
      <alignment horizontal="left" vertical="top"/>
    </xf>
    <xf numFmtId="0" fontId="5" fillId="0" borderId="55"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49" fontId="5" fillId="9" borderId="75" xfId="0" applyNumberFormat="1" applyFont="1" applyFill="1" applyBorder="1" applyAlignment="1">
      <alignment horizontal="right" vertical="top"/>
    </xf>
    <xf numFmtId="49" fontId="5" fillId="9" borderId="71" xfId="0" applyNumberFormat="1" applyFont="1" applyFill="1" applyBorder="1" applyAlignment="1">
      <alignment horizontal="right" vertical="top"/>
    </xf>
    <xf numFmtId="49" fontId="5" fillId="9" borderId="72" xfId="0" applyNumberFormat="1" applyFont="1" applyFill="1" applyBorder="1" applyAlignment="1">
      <alignment horizontal="right" vertical="top"/>
    </xf>
    <xf numFmtId="0" fontId="3" fillId="9" borderId="55" xfId="0" applyFont="1" applyFill="1" applyBorder="1" applyAlignment="1">
      <alignment horizontal="center" vertical="top"/>
    </xf>
    <xf numFmtId="0" fontId="3" fillId="9" borderId="71" xfId="0" applyFont="1" applyFill="1" applyBorder="1" applyAlignment="1">
      <alignment horizontal="center" vertical="top"/>
    </xf>
    <xf numFmtId="0" fontId="3" fillId="9" borderId="72" xfId="0" applyFont="1" applyFill="1" applyBorder="1" applyAlignment="1">
      <alignment horizontal="center" vertical="top"/>
    </xf>
    <xf numFmtId="49" fontId="5" fillId="5" borderId="75" xfId="0" applyNumberFormat="1" applyFont="1" applyFill="1" applyBorder="1" applyAlignment="1">
      <alignment horizontal="right" vertical="top"/>
    </xf>
    <xf numFmtId="49" fontId="5" fillId="5" borderId="71" xfId="0" applyNumberFormat="1" applyFont="1" applyFill="1" applyBorder="1" applyAlignment="1">
      <alignment horizontal="right" vertical="top"/>
    </xf>
    <xf numFmtId="49" fontId="5" fillId="5" borderId="72" xfId="0" applyNumberFormat="1" applyFont="1" applyFill="1" applyBorder="1" applyAlignment="1">
      <alignment horizontal="right" vertical="top"/>
    </xf>
    <xf numFmtId="0" fontId="3" fillId="5" borderId="55" xfId="0" applyFont="1" applyFill="1" applyBorder="1" applyAlignment="1">
      <alignment horizontal="center" vertical="top"/>
    </xf>
    <xf numFmtId="0" fontId="3" fillId="5" borderId="71" xfId="0" applyFont="1" applyFill="1" applyBorder="1" applyAlignment="1">
      <alignment horizontal="center" vertical="top"/>
    </xf>
    <xf numFmtId="0" fontId="3" fillId="5" borderId="72" xfId="0" applyFont="1" applyFill="1" applyBorder="1" applyAlignment="1">
      <alignment horizontal="center" vertical="top"/>
    </xf>
    <xf numFmtId="49" fontId="5" fillId="0" borderId="32" xfId="0" applyNumberFormat="1" applyFont="1" applyFill="1" applyBorder="1" applyAlignment="1">
      <alignment horizontal="center" vertical="top" wrapText="1"/>
    </xf>
    <xf numFmtId="3" fontId="3" fillId="0" borderId="26" xfId="0" applyNumberFormat="1" applyFont="1" applyFill="1" applyBorder="1" applyAlignment="1">
      <alignment horizontal="center" vertical="top" wrapText="1"/>
    </xf>
    <xf numFmtId="3" fontId="3" fillId="0" borderId="31" xfId="0" applyNumberFormat="1" applyFont="1" applyFill="1" applyBorder="1" applyAlignment="1">
      <alignment horizontal="center" vertical="top" wrapText="1"/>
    </xf>
    <xf numFmtId="166" fontId="3" fillId="0" borderId="111" xfId="0" applyNumberFormat="1" applyFont="1" applyFill="1" applyBorder="1" applyAlignment="1">
      <alignment horizontal="left" vertical="top" wrapText="1"/>
    </xf>
    <xf numFmtId="166" fontId="3" fillId="0" borderId="10" xfId="0" applyNumberFormat="1" applyFont="1" applyFill="1" applyBorder="1" applyAlignment="1">
      <alignment horizontal="left" vertical="top" wrapText="1"/>
    </xf>
    <xf numFmtId="166" fontId="2" fillId="0" borderId="19" xfId="0" applyNumberFormat="1" applyFont="1" applyFill="1" applyBorder="1" applyAlignment="1">
      <alignment horizontal="center" vertical="top" wrapText="1"/>
    </xf>
    <xf numFmtId="166" fontId="2" fillId="0" borderId="30" xfId="0" applyNumberFormat="1" applyFont="1" applyFill="1" applyBorder="1" applyAlignment="1">
      <alignment horizontal="center" vertical="top" wrapText="1"/>
    </xf>
    <xf numFmtId="0" fontId="3" fillId="0" borderId="45" xfId="0" applyFont="1" applyFill="1" applyBorder="1" applyAlignment="1">
      <alignment horizontal="center" vertical="center" textRotation="90" wrapText="1"/>
    </xf>
    <xf numFmtId="0" fontId="3" fillId="0" borderId="73" xfId="0" applyFont="1" applyFill="1" applyBorder="1" applyAlignment="1">
      <alignment horizontal="center" vertical="center" textRotation="90" wrapText="1"/>
    </xf>
    <xf numFmtId="49" fontId="3" fillId="7" borderId="19" xfId="0" applyNumberFormat="1" applyFont="1" applyFill="1" applyBorder="1" applyAlignment="1">
      <alignment horizontal="left" vertical="top" wrapText="1"/>
    </xf>
    <xf numFmtId="0" fontId="0" fillId="7" borderId="10" xfId="0" applyFill="1" applyBorder="1" applyAlignment="1">
      <alignment horizontal="left" vertical="top" wrapText="1"/>
    </xf>
    <xf numFmtId="0" fontId="0" fillId="0" borderId="6" xfId="0" applyBorder="1" applyAlignment="1">
      <alignment horizontal="left" vertical="top" wrapText="1"/>
    </xf>
    <xf numFmtId="0" fontId="3" fillId="0" borderId="34" xfId="0" applyFont="1" applyFill="1" applyBorder="1" applyAlignment="1">
      <alignment horizontal="center" vertical="center" textRotation="90" wrapText="1"/>
    </xf>
    <xf numFmtId="0" fontId="11" fillId="0" borderId="8" xfId="0" applyFont="1" applyBorder="1" applyAlignment="1">
      <alignment horizontal="left" vertical="top" wrapText="1"/>
    </xf>
    <xf numFmtId="164" fontId="3" fillId="7" borderId="6" xfId="1" applyFont="1" applyFill="1" applyBorder="1" applyAlignment="1">
      <alignment horizontal="left" vertical="top" wrapText="1"/>
    </xf>
    <xf numFmtId="0" fontId="2" fillId="7" borderId="6" xfId="0" applyFont="1" applyFill="1" applyBorder="1" applyAlignment="1">
      <alignment horizontal="center" vertical="center" textRotation="90" wrapText="1"/>
    </xf>
    <xf numFmtId="0" fontId="0" fillId="0" borderId="6" xfId="0" applyBorder="1" applyAlignment="1">
      <alignment horizontal="center" vertical="center" wrapText="1"/>
    </xf>
    <xf numFmtId="0" fontId="0" fillId="0" borderId="84" xfId="0" applyBorder="1" applyAlignment="1">
      <alignment horizontal="center" vertical="center" wrapText="1"/>
    </xf>
    <xf numFmtId="0" fontId="5" fillId="3" borderId="42" xfId="0" applyFont="1" applyFill="1" applyBorder="1" applyAlignment="1">
      <alignment horizontal="left" vertical="top" wrapText="1"/>
    </xf>
    <xf numFmtId="0" fontId="11" fillId="0" borderId="35" xfId="0" applyFont="1" applyBorder="1" applyAlignment="1">
      <alignment horizontal="left" vertical="top" wrapText="1"/>
    </xf>
    <xf numFmtId="0" fontId="3" fillId="0" borderId="6" xfId="0" applyFont="1" applyFill="1" applyBorder="1" applyAlignment="1">
      <alignment horizontal="left" vertical="top" wrapText="1"/>
    </xf>
    <xf numFmtId="0" fontId="0" fillId="0" borderId="8" xfId="0" applyBorder="1" applyAlignment="1">
      <alignment vertical="top" wrapText="1"/>
    </xf>
    <xf numFmtId="0" fontId="3" fillId="3" borderId="20" xfId="0" applyFont="1" applyFill="1" applyBorder="1" applyAlignment="1">
      <alignment vertical="top" wrapText="1"/>
    </xf>
    <xf numFmtId="0" fontId="3" fillId="7" borderId="20" xfId="0" applyFont="1" applyFill="1" applyBorder="1" applyAlignment="1">
      <alignment vertical="top" wrapText="1"/>
    </xf>
    <xf numFmtId="0" fontId="3" fillId="7" borderId="17" xfId="0" applyFont="1" applyFill="1" applyBorder="1" applyAlignment="1">
      <alignment vertical="top" wrapText="1"/>
    </xf>
    <xf numFmtId="49" fontId="5" fillId="7" borderId="56" xfId="0" applyNumberFormat="1" applyFont="1" applyFill="1" applyBorder="1" applyAlignment="1">
      <alignment horizontal="center" vertical="top"/>
    </xf>
    <xf numFmtId="0" fontId="3" fillId="3" borderId="46" xfId="0" applyFont="1" applyFill="1" applyBorder="1" applyAlignment="1">
      <alignment horizontal="left" vertical="top" wrapText="1"/>
    </xf>
    <xf numFmtId="0" fontId="3" fillId="3" borderId="48" xfId="0" applyFont="1" applyFill="1" applyBorder="1" applyAlignment="1">
      <alignment horizontal="left" vertical="top" wrapText="1"/>
    </xf>
    <xf numFmtId="0" fontId="3" fillId="3" borderId="4" xfId="0" applyFont="1" applyFill="1" applyBorder="1" applyAlignment="1">
      <alignment horizontal="center" vertical="center" textRotation="90" wrapText="1"/>
    </xf>
    <xf numFmtId="0" fontId="3" fillId="3" borderId="6" xfId="0" applyFont="1" applyFill="1" applyBorder="1" applyAlignment="1">
      <alignment horizontal="center" vertical="center" textRotation="90" wrapText="1"/>
    </xf>
    <xf numFmtId="0" fontId="3" fillId="3" borderId="8" xfId="0" applyFont="1" applyFill="1" applyBorder="1" applyAlignment="1">
      <alignment horizontal="center" vertical="center" textRotation="90" wrapText="1"/>
    </xf>
    <xf numFmtId="0" fontId="3" fillId="3" borderId="115" xfId="0" applyFont="1" applyFill="1" applyBorder="1" applyAlignment="1">
      <alignment vertical="top" wrapText="1"/>
    </xf>
    <xf numFmtId="0" fontId="0" fillId="0" borderId="31" xfId="0" applyBorder="1" applyAlignment="1">
      <alignment vertical="top" wrapText="1"/>
    </xf>
    <xf numFmtId="0" fontId="6" fillId="0" borderId="0" xfId="0" applyFont="1" applyBorder="1" applyAlignment="1">
      <alignment horizontal="center" vertical="top" wrapText="1"/>
    </xf>
    <xf numFmtId="0" fontId="3" fillId="0" borderId="32" xfId="0" applyFont="1" applyBorder="1" applyAlignment="1">
      <alignment horizontal="right" vertical="top"/>
    </xf>
    <xf numFmtId="0" fontId="16" fillId="0" borderId="11" xfId="0" applyFont="1" applyBorder="1" applyAlignment="1">
      <alignment horizontal="center" vertical="center" textRotation="90" wrapText="1"/>
    </xf>
    <xf numFmtId="0" fontId="16" fillId="0" borderId="15" xfId="0" applyFont="1" applyBorder="1" applyAlignment="1">
      <alignment horizontal="center" vertical="center" textRotation="90" wrapText="1"/>
    </xf>
    <xf numFmtId="0" fontId="16" fillId="0" borderId="58" xfId="0" applyFont="1" applyBorder="1" applyAlignment="1">
      <alignment horizontal="center" vertical="center" textRotation="90" wrapText="1"/>
    </xf>
    <xf numFmtId="0" fontId="16" fillId="0" borderId="12" xfId="0" applyFont="1" applyBorder="1" applyAlignment="1">
      <alignment horizontal="center" vertical="center" textRotation="90" wrapText="1"/>
    </xf>
    <xf numFmtId="0" fontId="16" fillId="0" borderId="1" xfId="0" applyFont="1" applyBorder="1" applyAlignment="1">
      <alignment horizontal="center" vertical="center" textRotation="90" wrapText="1"/>
    </xf>
    <xf numFmtId="0" fontId="16" fillId="0" borderId="2" xfId="0" applyFont="1" applyBorder="1" applyAlignment="1">
      <alignment horizontal="center" vertical="center" textRotation="90" wrapText="1"/>
    </xf>
    <xf numFmtId="0" fontId="16" fillId="0" borderId="2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1" xfId="0" applyFont="1" applyBorder="1" applyAlignment="1">
      <alignment horizontal="center" vertical="center" textRotation="90" wrapText="1"/>
    </xf>
    <xf numFmtId="0" fontId="16" fillId="0" borderId="0" xfId="0" applyFont="1" applyBorder="1" applyAlignment="1">
      <alignment horizontal="center" vertical="center" textRotation="90" wrapText="1"/>
    </xf>
    <xf numFmtId="0" fontId="16" fillId="0" borderId="32" xfId="0" applyFont="1" applyBorder="1" applyAlignment="1">
      <alignment horizontal="center" vertical="center" textRotation="90" wrapText="1"/>
    </xf>
    <xf numFmtId="0" fontId="16" fillId="0" borderId="49" xfId="0" applyFont="1" applyBorder="1" applyAlignment="1">
      <alignment horizontal="center" vertical="center" wrapText="1"/>
    </xf>
    <xf numFmtId="0" fontId="16" fillId="0" borderId="73" xfId="0" applyFont="1" applyBorder="1" applyAlignment="1">
      <alignment horizontal="center" vertical="center" wrapText="1"/>
    </xf>
    <xf numFmtId="3" fontId="27" fillId="0" borderId="45" xfId="0" applyNumberFormat="1" applyFont="1" applyBorder="1" applyAlignment="1">
      <alignment horizontal="center" vertical="center" wrapText="1"/>
    </xf>
    <xf numFmtId="3" fontId="27" fillId="0" borderId="51" xfId="0" applyNumberFormat="1" applyFont="1" applyBorder="1" applyAlignment="1">
      <alignment horizontal="center" vertical="center" wrapText="1"/>
    </xf>
    <xf numFmtId="3" fontId="27" fillId="0" borderId="50" xfId="0" applyNumberFormat="1" applyFont="1" applyBorder="1" applyAlignment="1">
      <alignment horizontal="center" vertical="center" wrapText="1"/>
    </xf>
    <xf numFmtId="0" fontId="16" fillId="0" borderId="45" xfId="0" applyFont="1" applyBorder="1" applyAlignment="1">
      <alignment horizontal="center" vertical="center" wrapText="1"/>
    </xf>
    <xf numFmtId="0" fontId="16" fillId="0" borderId="5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1" xfId="0" applyFont="1" applyBorder="1" applyAlignment="1">
      <alignment horizontal="center" vertical="center" wrapText="1"/>
    </xf>
    <xf numFmtId="3" fontId="16" fillId="0" borderId="37" xfId="0" applyNumberFormat="1" applyFont="1" applyBorder="1" applyAlignment="1">
      <alignment horizontal="center" vertical="center" wrapText="1"/>
    </xf>
    <xf numFmtId="3" fontId="16" fillId="0" borderId="8"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3" fillId="0" borderId="67" xfId="0" applyNumberFormat="1" applyFont="1" applyBorder="1" applyAlignment="1">
      <alignment horizontal="center" vertical="center" wrapText="1"/>
    </xf>
    <xf numFmtId="0" fontId="3" fillId="0" borderId="19" xfId="0" applyFont="1" applyBorder="1" applyAlignment="1">
      <alignment horizontal="center" vertical="center" textRotation="90"/>
    </xf>
    <xf numFmtId="0" fontId="3" fillId="0" borderId="30" xfId="0" applyFont="1" applyBorder="1" applyAlignment="1">
      <alignment horizontal="center" vertical="center" textRotation="90"/>
    </xf>
    <xf numFmtId="49" fontId="5" fillId="9" borderId="34" xfId="0" applyNumberFormat="1" applyFont="1" applyFill="1" applyBorder="1" applyAlignment="1">
      <alignment horizontal="center" vertical="top"/>
    </xf>
    <xf numFmtId="0" fontId="3" fillId="7" borderId="48" xfId="0" applyFont="1" applyFill="1" applyBorder="1" applyAlignment="1">
      <alignment horizontal="left" vertical="top" wrapText="1"/>
    </xf>
    <xf numFmtId="3" fontId="3" fillId="6" borderId="35" xfId="0" applyNumberFormat="1" applyFont="1" applyFill="1" applyBorder="1" applyAlignment="1">
      <alignment horizontal="left" vertical="top" wrapText="1"/>
    </xf>
    <xf numFmtId="0" fontId="0" fillId="6" borderId="53" xfId="0" applyFill="1" applyBorder="1" applyAlignment="1">
      <alignment vertical="top" wrapText="1"/>
    </xf>
    <xf numFmtId="0" fontId="28" fillId="0" borderId="0" xfId="0" applyFont="1" applyAlignment="1">
      <alignment horizontal="center" vertical="top"/>
    </xf>
    <xf numFmtId="49" fontId="8" fillId="6" borderId="69" xfId="0" applyNumberFormat="1" applyFont="1" applyFill="1" applyBorder="1" applyAlignment="1">
      <alignment horizontal="left" vertical="top" wrapText="1"/>
    </xf>
    <xf numFmtId="49" fontId="8" fillId="6" borderId="74" xfId="0" applyNumberFormat="1" applyFont="1" applyFill="1" applyBorder="1" applyAlignment="1">
      <alignment horizontal="left" vertical="top" wrapText="1"/>
    </xf>
    <xf numFmtId="49" fontId="8" fillId="6" borderId="70" xfId="0" applyNumberFormat="1" applyFont="1" applyFill="1" applyBorder="1" applyAlignment="1">
      <alignment horizontal="left" vertical="top" wrapText="1"/>
    </xf>
    <xf numFmtId="0" fontId="16" fillId="0" borderId="26" xfId="0" applyNumberFormat="1" applyFont="1" applyBorder="1" applyAlignment="1">
      <alignment horizontal="center" vertical="center" textRotation="90" wrapText="1"/>
    </xf>
    <xf numFmtId="0" fontId="16" fillId="0" borderId="17" xfId="0" applyNumberFormat="1" applyFont="1" applyBorder="1" applyAlignment="1">
      <alignment horizontal="center" vertical="center" textRotation="90" wrapText="1"/>
    </xf>
    <xf numFmtId="0" fontId="16" fillId="0" borderId="31" xfId="0" applyNumberFormat="1" applyFont="1" applyBorder="1" applyAlignment="1">
      <alignment horizontal="center" vertical="center" textRotation="90" wrapText="1"/>
    </xf>
    <xf numFmtId="0" fontId="3" fillId="0" borderId="40" xfId="0" applyFont="1" applyBorder="1" applyAlignment="1">
      <alignment horizontal="center" vertical="center" textRotation="90" wrapText="1"/>
    </xf>
    <xf numFmtId="0" fontId="3" fillId="0" borderId="5" xfId="0" applyFont="1" applyBorder="1" applyAlignment="1">
      <alignment horizontal="center" vertical="center" textRotation="90" wrapText="1"/>
    </xf>
    <xf numFmtId="0" fontId="3" fillId="0" borderId="67" xfId="0" applyFont="1" applyBorder="1" applyAlignment="1">
      <alignment horizontal="center" vertical="center" textRotation="90" wrapText="1"/>
    </xf>
    <xf numFmtId="0" fontId="8" fillId="5" borderId="68" xfId="0" applyFont="1" applyFill="1" applyBorder="1" applyAlignment="1">
      <alignment horizontal="left" vertical="top" wrapText="1"/>
    </xf>
    <xf numFmtId="0" fontId="8" fillId="5" borderId="64" xfId="0" applyFont="1" applyFill="1" applyBorder="1" applyAlignment="1">
      <alignment horizontal="left" vertical="top" wrapText="1"/>
    </xf>
    <xf numFmtId="0" fontId="8" fillId="5" borderId="43" xfId="0" applyFont="1" applyFill="1" applyBorder="1" applyAlignment="1">
      <alignment horizontal="left" vertical="top" wrapText="1"/>
    </xf>
    <xf numFmtId="0" fontId="5" fillId="9" borderId="38" xfId="0" applyFont="1" applyFill="1" applyBorder="1" applyAlignment="1">
      <alignment horizontal="left" vertical="top"/>
    </xf>
    <xf numFmtId="0" fontId="5" fillId="9" borderId="64" xfId="0" applyFont="1" applyFill="1" applyBorder="1" applyAlignment="1">
      <alignment horizontal="left" vertical="top"/>
    </xf>
    <xf numFmtId="0" fontId="5" fillId="9" borderId="43" xfId="0" applyFont="1" applyFill="1" applyBorder="1" applyAlignment="1">
      <alignment horizontal="left" vertical="top"/>
    </xf>
    <xf numFmtId="0" fontId="5" fillId="2" borderId="38" xfId="0" applyFont="1" applyFill="1" applyBorder="1" applyAlignment="1">
      <alignment horizontal="left" vertical="top" wrapText="1"/>
    </xf>
    <xf numFmtId="0" fontId="5" fillId="2" borderId="64" xfId="0" applyFont="1" applyFill="1" applyBorder="1" applyAlignment="1">
      <alignment horizontal="left" vertical="top" wrapText="1"/>
    </xf>
    <xf numFmtId="0" fontId="5" fillId="2" borderId="43" xfId="0" applyFont="1" applyFill="1" applyBorder="1" applyAlignment="1">
      <alignment horizontal="left" vertical="top" wrapText="1"/>
    </xf>
    <xf numFmtId="0" fontId="3" fillId="10" borderId="12" xfId="0" applyFont="1" applyFill="1" applyBorder="1" applyAlignment="1">
      <alignment vertical="center" wrapText="1"/>
    </xf>
    <xf numFmtId="0" fontId="3" fillId="10" borderId="38" xfId="0" applyFont="1" applyFill="1" applyBorder="1" applyAlignment="1">
      <alignment horizontal="left" vertical="top" wrapText="1"/>
    </xf>
    <xf numFmtId="0" fontId="11" fillId="10" borderId="64" xfId="0" applyFont="1" applyFill="1" applyBorder="1" applyAlignment="1">
      <alignment horizontal="left" vertical="top" wrapText="1"/>
    </xf>
    <xf numFmtId="0" fontId="11" fillId="10" borderId="36" xfId="0" applyFont="1" applyFill="1" applyBorder="1" applyAlignment="1">
      <alignment horizontal="left" vertical="top" wrapText="1"/>
    </xf>
    <xf numFmtId="0" fontId="3" fillId="10" borderId="1" xfId="0" applyFont="1" applyFill="1" applyBorder="1" applyAlignment="1">
      <alignment vertical="center" wrapText="1"/>
    </xf>
    <xf numFmtId="49" fontId="3" fillId="10" borderId="104" xfId="0" applyNumberFormat="1" applyFont="1" applyFill="1" applyBorder="1" applyAlignment="1">
      <alignment horizontal="left" vertical="top" wrapText="1"/>
    </xf>
    <xf numFmtId="0" fontId="0" fillId="10" borderId="35" xfId="0" applyFill="1" applyBorder="1" applyAlignment="1">
      <alignment horizontal="left" vertical="top" wrapText="1"/>
    </xf>
    <xf numFmtId="0" fontId="3" fillId="10" borderId="115" xfId="0" applyFont="1" applyFill="1" applyBorder="1" applyAlignment="1">
      <alignment horizontal="left" vertical="top" wrapText="1"/>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cellXfs>
  <cellStyles count="3">
    <cellStyle name="Įprastas" xfId="0" builtinId="0"/>
    <cellStyle name="Įprastas 2" xfId="2"/>
    <cellStyle name="Kablelis" xfId="1" builtinId="3"/>
  </cellStyles>
  <dxfs count="0"/>
  <tableStyles count="0" defaultTableStyle="TableStyleMedium2" defaultPivotStyle="PivotStyleLight16"/>
  <colors>
    <mruColors>
      <color rgb="FFFFCCFF"/>
      <color rgb="FFCCECFF"/>
      <color rgb="FFFFFF99"/>
      <color rgb="FFCCFFCC"/>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7"/>
          <c:dPt>
            <c:idx val="0"/>
            <c:bubble3D val="0"/>
            <c:spPr>
              <a:solidFill>
                <a:schemeClr val="bg1"/>
              </a:solidFill>
            </c:spPr>
            <c:extLst xmlns:c16r2="http://schemas.microsoft.com/office/drawing/2015/06/chart">
              <c:ext xmlns:c16="http://schemas.microsoft.com/office/drawing/2014/chart" uri="{C3380CC4-5D6E-409C-BE32-E72D297353CC}">
                <c16:uniqueId val="{00000001-726E-469B-9739-B4FEDC74B49E}"/>
              </c:ext>
            </c:extLst>
          </c:dPt>
          <c:dPt>
            <c:idx val="1"/>
            <c:bubble3D val="0"/>
            <c:spPr>
              <a:solidFill>
                <a:srgbClr val="CCECFF"/>
              </a:solidFill>
            </c:spPr>
            <c:extLst xmlns:c16r2="http://schemas.microsoft.com/office/drawing/2015/06/chart">
              <c:ext xmlns:c16="http://schemas.microsoft.com/office/drawing/2014/chart" uri="{C3380CC4-5D6E-409C-BE32-E72D297353CC}">
                <c16:uniqueId val="{00000003-726E-469B-9739-B4FEDC74B49E}"/>
              </c:ext>
            </c:extLst>
          </c:dPt>
          <c:dLbls>
            <c:dLbl>
              <c:idx val="0"/>
              <c:layout>
                <c:manualLayout>
                  <c:x val="-3.0555555555555659E-2"/>
                  <c:y val="0.29166666666666669"/>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5000000000000001E-2"/>
                  <c:y val="-0.19444444444444445"/>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spPr>
              <a:noFill/>
              <a:ln>
                <a:noFill/>
              </a:ln>
              <a:effectLst/>
            </c:spPr>
            <c:txPr>
              <a:bodyPr/>
              <a:lstStyle/>
              <a:p>
                <a:pPr>
                  <a:defRPr sz="1200">
                    <a:latin typeface="Times New Roman" panose="02020603050405020304" pitchFamily="18" charset="0"/>
                    <a:cs typeface="Times New Roman" panose="02020603050405020304" pitchFamily="18" charset="0"/>
                  </a:defRPr>
                </a:pPr>
                <a:endParaRPr lang="lt-LT"/>
              </a:p>
            </c:txPr>
            <c:dLblPos val="outEnd"/>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multiLvlStrRef>
              <c:f>Ataskaita!$B$10:$D$11</c:f>
              <c:multiLvlStrCache>
                <c:ptCount val="2"/>
                <c:lvl>
                  <c:pt idx="0">
                    <c:v>–</c:v>
                  </c:pt>
                  <c:pt idx="1">
                    <c:v>–</c:v>
                  </c:pt>
                </c:lvl>
                <c:lvl>
                  <c:pt idx="0">
                    <c:v>faktiškai įvykdyta</c:v>
                  </c:pt>
                  <c:pt idx="1">
                    <c:v>iš dalies įvykdyta</c:v>
                  </c:pt>
                </c:lvl>
              </c:multiLvlStrCache>
            </c:multiLvlStrRef>
          </c:cat>
          <c:val>
            <c:numRef>
              <c:f>Ataskaita!$E$10:$E$11</c:f>
              <c:numCache>
                <c:formatCode>General</c:formatCode>
                <c:ptCount val="2"/>
                <c:pt idx="0">
                  <c:v>11</c:v>
                </c:pt>
                <c:pt idx="1">
                  <c:v>10</c:v>
                </c:pt>
              </c:numCache>
            </c:numRef>
          </c:val>
          <c:extLst xmlns:c16r2="http://schemas.microsoft.com/office/drawing/2015/06/chart">
            <c:ext xmlns:c16="http://schemas.microsoft.com/office/drawing/2014/chart" uri="{C3380CC4-5D6E-409C-BE32-E72D297353CC}">
              <c16:uniqueId val="{00000004-726E-469B-9739-B4FEDC74B49E}"/>
            </c:ext>
          </c:extLst>
        </c:ser>
        <c:dLbls>
          <c:showLegendKey val="0"/>
          <c:showVal val="0"/>
          <c:showCatName val="0"/>
          <c:showSerName val="0"/>
          <c:showPercent val="0"/>
          <c:showBubbleSize val="0"/>
          <c:showLeaderLines val="0"/>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38100</xdr:colOff>
      <xdr:row>13</xdr:row>
      <xdr:rowOff>119062</xdr:rowOff>
    </xdr:from>
    <xdr:to>
      <xdr:col>8</xdr:col>
      <xdr:colOff>342900</xdr:colOff>
      <xdr:row>27</xdr:row>
      <xdr:rowOff>61912</xdr:rowOff>
    </xdr:to>
    <xdr:graphicFrame macro="">
      <xdr:nvGraphicFramePr>
        <xdr:cNvPr id="2" name="Diagrama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view="pageBreakPreview" zoomScaleNormal="100" zoomScaleSheetLayoutView="100" workbookViewId="0">
      <selection activeCell="Q28" sqref="Q28"/>
    </sheetView>
  </sheetViews>
  <sheetFormatPr defaultRowHeight="12.75" x14ac:dyDescent="0.2"/>
  <sheetData>
    <row r="1" spans="1:11" ht="15.75" x14ac:dyDescent="0.25">
      <c r="A1" s="812" t="s">
        <v>225</v>
      </c>
      <c r="B1" s="813"/>
      <c r="C1" s="813"/>
      <c r="D1" s="813"/>
      <c r="E1" s="813"/>
      <c r="F1" s="813"/>
      <c r="G1" s="813"/>
      <c r="H1" s="813"/>
      <c r="I1" s="813"/>
      <c r="J1" s="813"/>
      <c r="K1" s="444"/>
    </row>
    <row r="2" spans="1:11" ht="15.75" x14ac:dyDescent="0.25">
      <c r="A2" s="812" t="s">
        <v>211</v>
      </c>
      <c r="B2" s="813"/>
      <c r="C2" s="813"/>
      <c r="D2" s="813"/>
      <c r="E2" s="813"/>
      <c r="F2" s="813"/>
      <c r="G2" s="813"/>
      <c r="H2" s="813"/>
      <c r="I2" s="813"/>
      <c r="J2" s="813"/>
      <c r="K2" s="444"/>
    </row>
    <row r="3" spans="1:11" ht="15.75" x14ac:dyDescent="0.25">
      <c r="A3" s="812" t="s">
        <v>212</v>
      </c>
      <c r="B3" s="813"/>
      <c r="C3" s="813"/>
      <c r="D3" s="813"/>
      <c r="E3" s="813"/>
      <c r="F3" s="813"/>
      <c r="G3" s="813"/>
      <c r="H3" s="813"/>
      <c r="I3" s="813"/>
      <c r="J3" s="813"/>
      <c r="K3" s="444"/>
    </row>
    <row r="5" spans="1:11" ht="27.75" customHeight="1" x14ac:dyDescent="0.2">
      <c r="A5" s="814" t="s">
        <v>213</v>
      </c>
      <c r="B5" s="813"/>
      <c r="C5" s="813"/>
      <c r="D5" s="813"/>
      <c r="E5" s="813"/>
      <c r="F5" s="813"/>
      <c r="G5" s="813"/>
      <c r="H5" s="813"/>
      <c r="I5" s="813"/>
      <c r="J5" s="813"/>
      <c r="K5" s="445"/>
    </row>
    <row r="7" spans="1:11" ht="49.5" customHeight="1" x14ac:dyDescent="0.2">
      <c r="A7" s="815" t="s">
        <v>214</v>
      </c>
      <c r="B7" s="813"/>
      <c r="C7" s="813"/>
      <c r="D7" s="813"/>
      <c r="E7" s="813"/>
      <c r="F7" s="813"/>
      <c r="G7" s="813"/>
      <c r="H7" s="813"/>
      <c r="I7" s="813"/>
      <c r="J7" s="813"/>
      <c r="K7" s="446"/>
    </row>
    <row r="9" spans="1:11" ht="19.5" customHeight="1" x14ac:dyDescent="0.2">
      <c r="A9" s="816" t="s">
        <v>224</v>
      </c>
      <c r="B9" s="817"/>
      <c r="C9" s="817"/>
      <c r="D9" s="817"/>
      <c r="E9" s="817"/>
      <c r="F9" s="817"/>
      <c r="G9" s="817"/>
      <c r="H9" s="817"/>
      <c r="I9" s="817"/>
      <c r="J9" s="817"/>
      <c r="K9" s="448"/>
    </row>
    <row r="10" spans="1:11" ht="15.75" x14ac:dyDescent="0.25">
      <c r="A10" s="436"/>
      <c r="B10" s="819" t="s">
        <v>215</v>
      </c>
      <c r="C10" s="819"/>
      <c r="D10" s="437" t="s">
        <v>216</v>
      </c>
      <c r="E10" s="438">
        <v>11</v>
      </c>
      <c r="F10" s="447" t="s">
        <v>217</v>
      </c>
      <c r="G10" s="447"/>
      <c r="H10" s="447"/>
      <c r="I10" s="447"/>
      <c r="J10" s="447"/>
      <c r="K10" s="447"/>
    </row>
    <row r="11" spans="1:11" ht="15.75" x14ac:dyDescent="0.25">
      <c r="A11" s="436"/>
      <c r="B11" s="819" t="s">
        <v>218</v>
      </c>
      <c r="C11" s="819"/>
      <c r="D11" s="437" t="s">
        <v>216</v>
      </c>
      <c r="E11" s="438">
        <v>10</v>
      </c>
      <c r="F11" s="447" t="s">
        <v>250</v>
      </c>
      <c r="G11" s="447"/>
      <c r="H11" s="447"/>
      <c r="I11" s="447"/>
      <c r="J11" s="447"/>
      <c r="K11" s="447"/>
    </row>
    <row r="12" spans="1:11" s="3" customFormat="1" ht="15.75" x14ac:dyDescent="0.25">
      <c r="B12" s="820"/>
      <c r="C12" s="820"/>
      <c r="D12" s="439"/>
      <c r="E12" s="440"/>
    </row>
    <row r="13" spans="1:11" s="3" customFormat="1" ht="15.75" x14ac:dyDescent="0.25">
      <c r="B13" s="441"/>
      <c r="C13" s="441" t="s">
        <v>223</v>
      </c>
      <c r="D13" s="441"/>
      <c r="E13" s="442"/>
      <c r="F13" s="441"/>
      <c r="G13" s="441"/>
    </row>
    <row r="14" spans="1:11" s="3" customFormat="1" ht="15.75" x14ac:dyDescent="0.25">
      <c r="B14" s="441"/>
      <c r="C14" s="441"/>
      <c r="D14" s="441"/>
      <c r="E14" s="442"/>
      <c r="F14" s="441"/>
      <c r="G14" s="441"/>
    </row>
    <row r="15" spans="1:11" s="3" customFormat="1" ht="15.75" x14ac:dyDescent="0.25">
      <c r="E15" s="443"/>
    </row>
    <row r="16" spans="1:11" s="3" customFormat="1" ht="15.75" x14ac:dyDescent="0.25">
      <c r="E16" s="443"/>
    </row>
    <row r="17" spans="1:11" s="3" customFormat="1" ht="15.75" x14ac:dyDescent="0.25">
      <c r="E17" s="443"/>
    </row>
    <row r="18" spans="1:11" s="3" customFormat="1" ht="15.75" x14ac:dyDescent="0.25">
      <c r="E18" s="443"/>
    </row>
    <row r="19" spans="1:11" s="3" customFormat="1" ht="15.75" x14ac:dyDescent="0.25">
      <c r="E19" s="443"/>
    </row>
    <row r="20" spans="1:11" s="3" customFormat="1" ht="15.75" x14ac:dyDescent="0.25">
      <c r="E20" s="443"/>
    </row>
    <row r="21" spans="1:11" s="3" customFormat="1" ht="15.75" x14ac:dyDescent="0.25">
      <c r="E21" s="443"/>
    </row>
    <row r="22" spans="1:11" s="3" customFormat="1" ht="15.75" x14ac:dyDescent="0.25">
      <c r="E22" s="443"/>
    </row>
    <row r="23" spans="1:11" s="3" customFormat="1" ht="15.75" x14ac:dyDescent="0.25">
      <c r="E23" s="443"/>
    </row>
    <row r="24" spans="1:11" s="3" customFormat="1" ht="15.75" x14ac:dyDescent="0.25">
      <c r="E24" s="443"/>
    </row>
    <row r="25" spans="1:11" s="3" customFormat="1" ht="15.75" x14ac:dyDescent="0.25">
      <c r="E25" s="443"/>
    </row>
    <row r="26" spans="1:11" s="3" customFormat="1" ht="15.75" x14ac:dyDescent="0.25">
      <c r="E26" s="443"/>
    </row>
    <row r="27" spans="1:11" s="3" customFormat="1" ht="15.75" x14ac:dyDescent="0.25">
      <c r="E27" s="443"/>
    </row>
    <row r="28" spans="1:11" s="3" customFormat="1" ht="15.75" x14ac:dyDescent="0.25">
      <c r="E28" s="443"/>
    </row>
    <row r="30" spans="1:11" ht="36.75" customHeight="1" x14ac:dyDescent="0.2">
      <c r="A30" s="818" t="s">
        <v>219</v>
      </c>
      <c r="B30" s="811"/>
      <c r="C30" s="811"/>
      <c r="D30" s="811"/>
      <c r="E30" s="811"/>
      <c r="F30" s="811"/>
      <c r="G30" s="811"/>
      <c r="H30" s="811"/>
      <c r="I30" s="811"/>
      <c r="J30" s="811"/>
      <c r="K30" s="449"/>
    </row>
    <row r="31" spans="1:11" ht="33" customHeight="1" x14ac:dyDescent="0.2">
      <c r="A31" s="810" t="s">
        <v>220</v>
      </c>
      <c r="B31" s="811"/>
      <c r="C31" s="811"/>
      <c r="D31" s="811"/>
      <c r="E31" s="811"/>
      <c r="F31" s="811"/>
      <c r="G31" s="811"/>
      <c r="H31" s="811"/>
      <c r="I31" s="811"/>
      <c r="J31" s="811"/>
      <c r="K31" s="450"/>
    </row>
    <row r="32" spans="1:11" ht="30" customHeight="1" x14ac:dyDescent="0.2">
      <c r="A32" s="810" t="s">
        <v>221</v>
      </c>
      <c r="B32" s="811"/>
      <c r="C32" s="811"/>
      <c r="D32" s="811"/>
      <c r="E32" s="811"/>
      <c r="F32" s="811"/>
      <c r="G32" s="811"/>
      <c r="H32" s="811"/>
      <c r="I32" s="811"/>
      <c r="J32" s="811"/>
      <c r="K32" s="450"/>
    </row>
    <row r="33" spans="1:11" ht="33.75" customHeight="1" x14ac:dyDescent="0.2">
      <c r="A33" s="810" t="s">
        <v>222</v>
      </c>
      <c r="B33" s="811"/>
      <c r="C33" s="811"/>
      <c r="D33" s="811"/>
      <c r="E33" s="811"/>
      <c r="F33" s="811"/>
      <c r="G33" s="811"/>
      <c r="H33" s="811"/>
      <c r="I33" s="811"/>
      <c r="J33" s="811"/>
      <c r="K33" s="450"/>
    </row>
    <row r="34" spans="1:11" s="3" customFormat="1" ht="15.75" x14ac:dyDescent="0.25">
      <c r="E34" s="443"/>
    </row>
    <row r="35" spans="1:11" s="3" customFormat="1" ht="15.75" x14ac:dyDescent="0.25">
      <c r="E35" s="443"/>
    </row>
    <row r="36" spans="1:11" s="3" customFormat="1" ht="15.75" x14ac:dyDescent="0.25">
      <c r="E36" s="443"/>
    </row>
    <row r="37" spans="1:11" s="3" customFormat="1" ht="15.75" x14ac:dyDescent="0.25">
      <c r="E37" s="443"/>
    </row>
    <row r="38" spans="1:11" s="3" customFormat="1" ht="15.75" x14ac:dyDescent="0.25">
      <c r="E38" s="443"/>
    </row>
    <row r="39" spans="1:11" s="3" customFormat="1" ht="15.75" x14ac:dyDescent="0.25">
      <c r="E39" s="443"/>
    </row>
    <row r="40" spans="1:11" s="3" customFormat="1" ht="15.75" x14ac:dyDescent="0.25">
      <c r="E40" s="443"/>
    </row>
    <row r="41" spans="1:11" s="3" customFormat="1" ht="15.75" x14ac:dyDescent="0.25">
      <c r="E41" s="443"/>
    </row>
    <row r="42" spans="1:11" s="3" customFormat="1" ht="15.75" x14ac:dyDescent="0.25">
      <c r="E42" s="443"/>
    </row>
    <row r="43" spans="1:11" s="3" customFormat="1" ht="15.75" x14ac:dyDescent="0.25">
      <c r="E43" s="443"/>
    </row>
    <row r="44" spans="1:11" s="3" customFormat="1" ht="15.75" x14ac:dyDescent="0.25">
      <c r="E44" s="443"/>
    </row>
  </sheetData>
  <mergeCells count="13">
    <mergeCell ref="A31:J31"/>
    <mergeCell ref="A32:J32"/>
    <mergeCell ref="A33:J33"/>
    <mergeCell ref="A1:J1"/>
    <mergeCell ref="A2:J2"/>
    <mergeCell ref="A3:J3"/>
    <mergeCell ref="A5:J5"/>
    <mergeCell ref="A7:J7"/>
    <mergeCell ref="A9:J9"/>
    <mergeCell ref="A30:J30"/>
    <mergeCell ref="B10:C10"/>
    <mergeCell ref="B11:C11"/>
    <mergeCell ref="B12:C12"/>
  </mergeCells>
  <pageMargins left="0.98425196850393704" right="0" top="0.74803149606299213"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83"/>
  <sheetViews>
    <sheetView zoomScaleNormal="100" zoomScaleSheetLayoutView="100" workbookViewId="0">
      <selection activeCell="U20" sqref="U20"/>
    </sheetView>
  </sheetViews>
  <sheetFormatPr defaultRowHeight="12.75" x14ac:dyDescent="0.2"/>
  <cols>
    <col min="1" max="3" width="2.7109375" style="6" customWidth="1"/>
    <col min="4" max="4" width="32.140625" style="6" customWidth="1"/>
    <col min="5" max="5" width="3.42578125" style="26" customWidth="1"/>
    <col min="6" max="6" width="3.42578125" style="36" customWidth="1"/>
    <col min="7" max="7" width="7.7109375" style="7" customWidth="1"/>
    <col min="8" max="8" width="9.5703125" style="6" customWidth="1"/>
    <col min="9" max="9" width="9.7109375" style="6" customWidth="1"/>
    <col min="10" max="10" width="10" style="6" customWidth="1"/>
    <col min="11" max="11" width="32" style="6" customWidth="1"/>
    <col min="12" max="12" width="4.42578125" style="6" customWidth="1"/>
    <col min="13" max="13" width="4.5703125" style="6" customWidth="1"/>
    <col min="14" max="14" width="29.42578125" style="6" customWidth="1"/>
    <col min="15" max="15" width="27.85546875" style="6" customWidth="1"/>
    <col min="16" max="16384" width="9.140625" style="5"/>
  </cols>
  <sheetData>
    <row r="1" spans="1:17" s="343" customFormat="1" ht="15.75" x14ac:dyDescent="0.2">
      <c r="A1" s="1088" t="s">
        <v>203</v>
      </c>
      <c r="B1" s="1088"/>
      <c r="C1" s="1088"/>
      <c r="D1" s="1088"/>
      <c r="E1" s="1088"/>
      <c r="F1" s="1088"/>
      <c r="G1" s="1088"/>
      <c r="H1" s="1088"/>
      <c r="I1" s="1088"/>
      <c r="J1" s="1088"/>
      <c r="K1" s="1088"/>
      <c r="L1" s="1088"/>
      <c r="M1" s="1088"/>
      <c r="N1" s="1088"/>
      <c r="O1" s="1088"/>
      <c r="P1" s="344"/>
      <c r="Q1" s="344"/>
    </row>
    <row r="2" spans="1:17" ht="15.75" x14ac:dyDescent="0.2">
      <c r="A2" s="1051" t="s">
        <v>276</v>
      </c>
      <c r="B2" s="1051"/>
      <c r="C2" s="1051"/>
      <c r="D2" s="1051"/>
      <c r="E2" s="1051"/>
      <c r="F2" s="1051"/>
      <c r="G2" s="1051"/>
      <c r="H2" s="1051"/>
      <c r="I2" s="1051"/>
      <c r="J2" s="1051"/>
      <c r="K2" s="1051"/>
      <c r="L2" s="1051"/>
      <c r="M2" s="1051"/>
      <c r="N2" s="1051"/>
      <c r="O2" s="1051"/>
    </row>
    <row r="3" spans="1:17" ht="13.5" thickBot="1" x14ac:dyDescent="0.25">
      <c r="A3" s="70"/>
      <c r="B3" s="70"/>
      <c r="C3" s="70"/>
      <c r="D3" s="70"/>
      <c r="E3" s="71"/>
      <c r="F3" s="72"/>
      <c r="G3" s="317"/>
      <c r="H3" s="70"/>
      <c r="I3" s="70"/>
      <c r="J3" s="70"/>
      <c r="K3" s="70"/>
      <c r="L3" s="1052" t="s">
        <v>157</v>
      </c>
      <c r="M3" s="1052"/>
      <c r="N3" s="1052"/>
      <c r="O3" s="1052"/>
    </row>
    <row r="4" spans="1:17" s="343" customFormat="1" ht="24" customHeight="1" x14ac:dyDescent="0.2">
      <c r="A4" s="1053" t="s">
        <v>194</v>
      </c>
      <c r="B4" s="1056" t="s">
        <v>0</v>
      </c>
      <c r="C4" s="1056" t="s">
        <v>1</v>
      </c>
      <c r="D4" s="1059" t="s">
        <v>11</v>
      </c>
      <c r="E4" s="1062" t="s">
        <v>2</v>
      </c>
      <c r="F4" s="1092" t="s">
        <v>3</v>
      </c>
      <c r="G4" s="1095" t="s">
        <v>4</v>
      </c>
      <c r="H4" s="1067" t="s">
        <v>195</v>
      </c>
      <c r="I4" s="1068"/>
      <c r="J4" s="1069"/>
      <c r="K4" s="1070" t="s">
        <v>196</v>
      </c>
      <c r="L4" s="1071"/>
      <c r="M4" s="1071"/>
      <c r="N4" s="1072" t="s">
        <v>197</v>
      </c>
      <c r="O4" s="1075" t="s">
        <v>198</v>
      </c>
      <c r="P4" s="342"/>
    </row>
    <row r="5" spans="1:17" s="343" customFormat="1" ht="55.5" customHeight="1" x14ac:dyDescent="0.2">
      <c r="A5" s="1054"/>
      <c r="B5" s="1057"/>
      <c r="C5" s="1057"/>
      <c r="D5" s="1060"/>
      <c r="E5" s="1063"/>
      <c r="F5" s="1093"/>
      <c r="G5" s="1096"/>
      <c r="H5" s="1078" t="s">
        <v>199</v>
      </c>
      <c r="I5" s="1080" t="s">
        <v>200</v>
      </c>
      <c r="J5" s="1080" t="s">
        <v>201</v>
      </c>
      <c r="K5" s="1065" t="s">
        <v>279</v>
      </c>
      <c r="L5" s="1082" t="s">
        <v>202</v>
      </c>
      <c r="M5" s="1082" t="s">
        <v>204</v>
      </c>
      <c r="N5" s="1073"/>
      <c r="O5" s="1076"/>
      <c r="P5" s="342"/>
    </row>
    <row r="6" spans="1:17" s="343" customFormat="1" ht="37.5" customHeight="1" thickBot="1" x14ac:dyDescent="0.25">
      <c r="A6" s="1055"/>
      <c r="B6" s="1058"/>
      <c r="C6" s="1058"/>
      <c r="D6" s="1061"/>
      <c r="E6" s="1064"/>
      <c r="F6" s="1094"/>
      <c r="G6" s="1097"/>
      <c r="H6" s="1079"/>
      <c r="I6" s="1081"/>
      <c r="J6" s="1081"/>
      <c r="K6" s="1066"/>
      <c r="L6" s="1083"/>
      <c r="M6" s="1083"/>
      <c r="N6" s="1074"/>
      <c r="O6" s="1077"/>
      <c r="P6" s="342"/>
    </row>
    <row r="7" spans="1:17" s="34" customFormat="1" x14ac:dyDescent="0.2">
      <c r="A7" s="1089" t="s">
        <v>80</v>
      </c>
      <c r="B7" s="1090"/>
      <c r="C7" s="1090"/>
      <c r="D7" s="1090"/>
      <c r="E7" s="1090"/>
      <c r="F7" s="1090"/>
      <c r="G7" s="1090"/>
      <c r="H7" s="1090"/>
      <c r="I7" s="1090"/>
      <c r="J7" s="1090"/>
      <c r="K7" s="1090"/>
      <c r="L7" s="1090"/>
      <c r="M7" s="1090"/>
      <c r="N7" s="1090"/>
      <c r="O7" s="1091"/>
    </row>
    <row r="8" spans="1:17" s="34" customFormat="1" ht="13.5" thickBot="1" x14ac:dyDescent="0.25">
      <c r="A8" s="1098" t="s">
        <v>32</v>
      </c>
      <c r="B8" s="1099"/>
      <c r="C8" s="1099"/>
      <c r="D8" s="1099"/>
      <c r="E8" s="1099"/>
      <c r="F8" s="1099"/>
      <c r="G8" s="1099"/>
      <c r="H8" s="1099"/>
      <c r="I8" s="1099"/>
      <c r="J8" s="1099"/>
      <c r="K8" s="1099"/>
      <c r="L8" s="1099"/>
      <c r="M8" s="1099"/>
      <c r="N8" s="1099"/>
      <c r="O8" s="1100"/>
    </row>
    <row r="9" spans="1:17" ht="34.5" customHeight="1" x14ac:dyDescent="0.2">
      <c r="A9" s="421" t="s">
        <v>5</v>
      </c>
      <c r="B9" s="422" t="s">
        <v>34</v>
      </c>
      <c r="C9" s="423"/>
      <c r="D9" s="423"/>
      <c r="E9" s="423"/>
      <c r="F9" s="423"/>
      <c r="G9" s="423"/>
      <c r="H9" s="1107" t="s">
        <v>205</v>
      </c>
      <c r="I9" s="1107"/>
      <c r="J9" s="1107"/>
      <c r="K9" s="424" t="s">
        <v>206</v>
      </c>
      <c r="L9" s="425">
        <v>82</v>
      </c>
      <c r="M9" s="425">
        <v>82.8</v>
      </c>
      <c r="N9" s="426"/>
      <c r="O9" s="427"/>
    </row>
    <row r="10" spans="1:17" ht="24.75" customHeight="1" x14ac:dyDescent="0.2">
      <c r="A10" s="428"/>
      <c r="B10" s="1108"/>
      <c r="C10" s="1109"/>
      <c r="D10" s="1109"/>
      <c r="E10" s="1109"/>
      <c r="F10" s="1109"/>
      <c r="G10" s="1110"/>
      <c r="H10" s="1111" t="s">
        <v>205</v>
      </c>
      <c r="I10" s="1111"/>
      <c r="J10" s="1111"/>
      <c r="K10" s="429" t="s">
        <v>207</v>
      </c>
      <c r="L10" s="430">
        <v>3.05</v>
      </c>
      <c r="M10" s="430">
        <v>3.05</v>
      </c>
      <c r="N10" s="431"/>
      <c r="O10" s="432"/>
    </row>
    <row r="11" spans="1:17" ht="42.75" customHeight="1" x14ac:dyDescent="0.2">
      <c r="A11" s="428"/>
      <c r="B11" s="433"/>
      <c r="C11" s="434"/>
      <c r="D11" s="434"/>
      <c r="E11" s="434"/>
      <c r="F11" s="434"/>
      <c r="G11" s="434"/>
      <c r="H11" s="1111" t="s">
        <v>208</v>
      </c>
      <c r="I11" s="1111"/>
      <c r="J11" s="1111"/>
      <c r="K11" s="429" t="s">
        <v>209</v>
      </c>
      <c r="L11" s="430">
        <v>63</v>
      </c>
      <c r="M11" s="520">
        <v>60</v>
      </c>
      <c r="N11" s="431"/>
      <c r="O11" s="435"/>
    </row>
    <row r="12" spans="1:17" ht="25.5" customHeight="1" x14ac:dyDescent="0.2">
      <c r="A12" s="428"/>
      <c r="B12" s="433"/>
      <c r="C12" s="434"/>
      <c r="D12" s="434"/>
      <c r="E12" s="434"/>
      <c r="F12" s="434"/>
      <c r="G12" s="434"/>
      <c r="H12" s="1111" t="s">
        <v>208</v>
      </c>
      <c r="I12" s="1111"/>
      <c r="J12" s="1111"/>
      <c r="K12" s="429" t="s">
        <v>210</v>
      </c>
      <c r="L12" s="430">
        <v>121</v>
      </c>
      <c r="M12" s="520">
        <v>121</v>
      </c>
      <c r="N12" s="431"/>
      <c r="O12" s="435"/>
    </row>
    <row r="13" spans="1:17" ht="15" customHeight="1" x14ac:dyDescent="0.2">
      <c r="A13" s="75" t="s">
        <v>5</v>
      </c>
      <c r="B13" s="1101" t="s">
        <v>34</v>
      </c>
      <c r="C13" s="1102"/>
      <c r="D13" s="1102"/>
      <c r="E13" s="1102"/>
      <c r="F13" s="1102"/>
      <c r="G13" s="1102"/>
      <c r="H13" s="1102"/>
      <c r="I13" s="1102"/>
      <c r="J13" s="1102"/>
      <c r="K13" s="1102"/>
      <c r="L13" s="1102"/>
      <c r="M13" s="1102"/>
      <c r="N13" s="1102"/>
      <c r="O13" s="1103"/>
    </row>
    <row r="14" spans="1:17" ht="14.25" customHeight="1" x14ac:dyDescent="0.2">
      <c r="A14" s="76" t="s">
        <v>5</v>
      </c>
      <c r="B14" s="47" t="s">
        <v>5</v>
      </c>
      <c r="C14" s="1104" t="s">
        <v>35</v>
      </c>
      <c r="D14" s="1105"/>
      <c r="E14" s="1105"/>
      <c r="F14" s="1105"/>
      <c r="G14" s="1105"/>
      <c r="H14" s="1105"/>
      <c r="I14" s="1105"/>
      <c r="J14" s="1105"/>
      <c r="K14" s="1105"/>
      <c r="L14" s="1105"/>
      <c r="M14" s="1105"/>
      <c r="N14" s="1105"/>
      <c r="O14" s="1106"/>
    </row>
    <row r="15" spans="1:17" ht="27" customHeight="1" x14ac:dyDescent="0.2">
      <c r="A15" s="282" t="s">
        <v>5</v>
      </c>
      <c r="B15" s="284" t="s">
        <v>5</v>
      </c>
      <c r="C15" s="285" t="s">
        <v>5</v>
      </c>
      <c r="D15" s="346" t="s">
        <v>61</v>
      </c>
      <c r="E15" s="347" t="s">
        <v>124</v>
      </c>
      <c r="F15" s="335" t="s">
        <v>53</v>
      </c>
      <c r="G15" s="166"/>
      <c r="H15" s="352"/>
      <c r="I15" s="353"/>
      <c r="J15" s="348"/>
      <c r="K15" s="24"/>
      <c r="L15" s="33"/>
      <c r="M15" s="33"/>
      <c r="N15" s="43"/>
      <c r="O15" s="44"/>
    </row>
    <row r="16" spans="1:17" ht="41.25" customHeight="1" x14ac:dyDescent="0.2">
      <c r="A16" s="917"/>
      <c r="B16" s="918"/>
      <c r="C16" s="915"/>
      <c r="D16" s="279" t="s">
        <v>141</v>
      </c>
      <c r="E16" s="649" t="s">
        <v>58</v>
      </c>
      <c r="F16" s="230" t="s">
        <v>53</v>
      </c>
      <c r="G16" s="650"/>
      <c r="H16" s="354"/>
      <c r="I16" s="246"/>
      <c r="J16" s="196"/>
      <c r="K16" s="308"/>
      <c r="L16" s="35"/>
      <c r="M16" s="35"/>
      <c r="N16" s="474"/>
      <c r="O16" s="475"/>
    </row>
    <row r="17" spans="1:16" ht="33.75" customHeight="1" x14ac:dyDescent="0.2">
      <c r="A17" s="917"/>
      <c r="B17" s="918"/>
      <c r="C17" s="915"/>
      <c r="D17" s="878" t="s">
        <v>155</v>
      </c>
      <c r="E17" s="706"/>
      <c r="F17" s="620"/>
      <c r="G17" s="155" t="s">
        <v>171</v>
      </c>
      <c r="H17" s="391">
        <f>457.2/3.4528*1000</f>
        <v>132414</v>
      </c>
      <c r="I17" s="368">
        <f>457.2/3.4528*1000</f>
        <v>132414</v>
      </c>
      <c r="J17" s="682">
        <v>0</v>
      </c>
      <c r="K17" s="490" t="s">
        <v>188</v>
      </c>
      <c r="L17" s="491"/>
      <c r="M17" s="491"/>
      <c r="N17" s="1112" t="s">
        <v>233</v>
      </c>
      <c r="O17" s="1114" t="s">
        <v>252</v>
      </c>
      <c r="P17" s="251"/>
    </row>
    <row r="18" spans="1:16" ht="32.25" customHeight="1" x14ac:dyDescent="0.2">
      <c r="A18" s="917"/>
      <c r="B18" s="918"/>
      <c r="C18" s="915"/>
      <c r="D18" s="888"/>
      <c r="E18" s="730"/>
      <c r="F18" s="731"/>
      <c r="G18" s="255"/>
      <c r="H18" s="354"/>
      <c r="I18" s="246"/>
      <c r="J18" s="377"/>
      <c r="K18" s="492" t="s">
        <v>131</v>
      </c>
      <c r="L18" s="493"/>
      <c r="M18" s="493"/>
      <c r="N18" s="1113"/>
      <c r="O18" s="831"/>
    </row>
    <row r="19" spans="1:16" ht="31.5" customHeight="1" x14ac:dyDescent="0.2">
      <c r="A19" s="282"/>
      <c r="B19" s="284"/>
      <c r="C19" s="285"/>
      <c r="D19" s="873" t="s">
        <v>142</v>
      </c>
      <c r="E19" s="732"/>
      <c r="F19" s="620" t="s">
        <v>53</v>
      </c>
      <c r="G19" s="683" t="s">
        <v>171</v>
      </c>
      <c r="H19" s="357">
        <f>20/3.4528*1000</f>
        <v>5792</v>
      </c>
      <c r="I19" s="247">
        <f>20/3.4528*1000</f>
        <v>5792</v>
      </c>
      <c r="J19" s="609">
        <v>0</v>
      </c>
      <c r="K19" s="618" t="s">
        <v>147</v>
      </c>
      <c r="L19" s="606"/>
      <c r="M19" s="606"/>
      <c r="N19" s="633"/>
      <c r="O19" s="821" t="s">
        <v>280</v>
      </c>
      <c r="P19" s="612"/>
    </row>
    <row r="20" spans="1:16" ht="48" customHeight="1" x14ac:dyDescent="0.2">
      <c r="A20" s="282"/>
      <c r="B20" s="284"/>
      <c r="C20" s="285"/>
      <c r="D20" s="874"/>
      <c r="E20" s="732"/>
      <c r="F20" s="620"/>
      <c r="G20" s="684"/>
      <c r="H20" s="330"/>
      <c r="I20" s="358"/>
      <c r="J20" s="330"/>
      <c r="K20" s="618"/>
      <c r="L20" s="606"/>
      <c r="M20" s="606"/>
      <c r="N20" s="606"/>
      <c r="O20" s="822"/>
    </row>
    <row r="21" spans="1:16" ht="69" customHeight="1" x14ac:dyDescent="0.2">
      <c r="A21" s="420"/>
      <c r="B21" s="418"/>
      <c r="C21" s="419"/>
      <c r="D21" s="703" t="s">
        <v>120</v>
      </c>
      <c r="E21" s="680"/>
      <c r="F21" s="619" t="s">
        <v>53</v>
      </c>
      <c r="G21" s="685" t="s">
        <v>171</v>
      </c>
      <c r="H21" s="359">
        <f>50/3.4528*1000</f>
        <v>14481</v>
      </c>
      <c r="I21" s="236">
        <f>50/3.4528*1000</f>
        <v>14481</v>
      </c>
      <c r="J21" s="686">
        <v>0</v>
      </c>
      <c r="K21" s="477" t="s">
        <v>140</v>
      </c>
      <c r="L21" s="480">
        <v>1</v>
      </c>
      <c r="M21" s="480">
        <v>0</v>
      </c>
      <c r="N21" s="478"/>
      <c r="O21" s="479" t="s">
        <v>253</v>
      </c>
    </row>
    <row r="22" spans="1:16" ht="29.25" customHeight="1" x14ac:dyDescent="0.2">
      <c r="A22" s="597"/>
      <c r="B22" s="598"/>
      <c r="C22" s="599"/>
      <c r="D22" s="737" t="s">
        <v>143</v>
      </c>
      <c r="E22" s="738" t="s">
        <v>58</v>
      </c>
      <c r="F22" s="313" t="s">
        <v>53</v>
      </c>
      <c r="G22" s="88" t="s">
        <v>171</v>
      </c>
      <c r="H22" s="739">
        <f>50/3.4528*1000</f>
        <v>14481</v>
      </c>
      <c r="I22" s="329">
        <f>50/3.4528*1000</f>
        <v>14481</v>
      </c>
      <c r="J22" s="198">
        <v>3860</v>
      </c>
      <c r="K22" s="168" t="s">
        <v>139</v>
      </c>
      <c r="L22" s="496">
        <v>100</v>
      </c>
      <c r="M22" s="496">
        <v>100</v>
      </c>
      <c r="N22" s="740"/>
      <c r="O22" s="741"/>
    </row>
    <row r="23" spans="1:16" ht="79.5" customHeight="1" x14ac:dyDescent="0.2">
      <c r="A23" s="714"/>
      <c r="B23" s="715"/>
      <c r="C23" s="716"/>
      <c r="D23" s="733" t="s">
        <v>144</v>
      </c>
      <c r="E23" s="334"/>
      <c r="F23" s="710" t="s">
        <v>53</v>
      </c>
      <c r="G23" s="19" t="s">
        <v>178</v>
      </c>
      <c r="H23" s="192">
        <f>210.9/3.4528*1000</f>
        <v>61081</v>
      </c>
      <c r="I23" s="192">
        <f>61081-61081</f>
        <v>0</v>
      </c>
      <c r="J23" s="734">
        <v>0</v>
      </c>
      <c r="K23" s="742" t="s">
        <v>148</v>
      </c>
      <c r="L23" s="743"/>
      <c r="M23" s="743"/>
      <c r="N23" s="1086" t="s">
        <v>281</v>
      </c>
      <c r="O23" s="1087"/>
    </row>
    <row r="24" spans="1:16" ht="15.75" customHeight="1" x14ac:dyDescent="0.2">
      <c r="A24" s="282"/>
      <c r="B24" s="284"/>
      <c r="C24" s="285"/>
      <c r="D24" s="885" t="s">
        <v>95</v>
      </c>
      <c r="E24" s="887" t="s">
        <v>58</v>
      </c>
      <c r="F24" s="522" t="s">
        <v>53</v>
      </c>
      <c r="G24" s="12" t="s">
        <v>171</v>
      </c>
      <c r="H24" s="358">
        <f>66.3/3.4528*1000</f>
        <v>19202</v>
      </c>
      <c r="I24" s="358">
        <f>66.3/3.4528*1000+6020</f>
        <v>25222</v>
      </c>
      <c r="J24" s="185">
        <v>25208</v>
      </c>
      <c r="K24" s="876" t="s">
        <v>154</v>
      </c>
      <c r="L24" s="362">
        <v>100</v>
      </c>
      <c r="M24" s="362">
        <v>100</v>
      </c>
      <c r="N24" s="859"/>
      <c r="O24" s="849"/>
    </row>
    <row r="25" spans="1:16" ht="16.5" customHeight="1" x14ac:dyDescent="0.2">
      <c r="A25" s="282"/>
      <c r="B25" s="284"/>
      <c r="C25" s="285"/>
      <c r="D25" s="886"/>
      <c r="E25" s="887"/>
      <c r="F25" s="173"/>
      <c r="G25" s="12" t="s">
        <v>178</v>
      </c>
      <c r="H25" s="358">
        <f>358/3.4528*1000</f>
        <v>103684</v>
      </c>
      <c r="I25" s="358">
        <f>103684-11392</f>
        <v>92292</v>
      </c>
      <c r="J25" s="201">
        <v>91779</v>
      </c>
      <c r="K25" s="876"/>
      <c r="L25" s="362"/>
      <c r="M25" s="362"/>
      <c r="N25" s="859"/>
      <c r="O25" s="849"/>
    </row>
    <row r="26" spans="1:16" ht="15.75" customHeight="1" thickBot="1" x14ac:dyDescent="0.25">
      <c r="A26" s="333"/>
      <c r="B26" s="331"/>
      <c r="C26" s="332"/>
      <c r="D26" s="336"/>
      <c r="E26" s="334"/>
      <c r="F26" s="335"/>
      <c r="G26" s="119" t="s">
        <v>6</v>
      </c>
      <c r="H26" s="242">
        <f>SUM(H15:H25)</f>
        <v>351135</v>
      </c>
      <c r="I26" s="183">
        <f>SUM(I15:I25)</f>
        <v>284682</v>
      </c>
      <c r="J26" s="183">
        <f>SUM(J15:J25)</f>
        <v>120847</v>
      </c>
      <c r="K26" s="414"/>
      <c r="L26" s="147"/>
      <c r="M26" s="147"/>
      <c r="N26" s="860"/>
      <c r="O26" s="861"/>
    </row>
    <row r="27" spans="1:16" ht="33.75" customHeight="1" x14ac:dyDescent="0.2">
      <c r="A27" s="719" t="s">
        <v>5</v>
      </c>
      <c r="B27" s="721" t="s">
        <v>5</v>
      </c>
      <c r="C27" s="723" t="s">
        <v>7</v>
      </c>
      <c r="D27" s="42" t="s">
        <v>62</v>
      </c>
      <c r="E27" s="117" t="s">
        <v>126</v>
      </c>
      <c r="F27" s="712"/>
      <c r="G27" s="28"/>
      <c r="H27" s="363"/>
      <c r="I27" s="364"/>
      <c r="J27" s="199"/>
      <c r="K27" s="85"/>
      <c r="L27" s="104"/>
      <c r="M27" s="104"/>
      <c r="N27" s="108"/>
      <c r="O27" s="109"/>
      <c r="P27" s="10"/>
    </row>
    <row r="28" spans="1:16" ht="31.5" customHeight="1" x14ac:dyDescent="0.2">
      <c r="A28" s="1084"/>
      <c r="B28" s="918"/>
      <c r="C28" s="915"/>
      <c r="D28" s="873" t="s">
        <v>176</v>
      </c>
      <c r="E28" s="870" t="s">
        <v>58</v>
      </c>
      <c r="F28" s="899" t="s">
        <v>53</v>
      </c>
      <c r="G28" s="9" t="s">
        <v>178</v>
      </c>
      <c r="H28" s="319">
        <v>155207</v>
      </c>
      <c r="I28" s="236">
        <v>155210</v>
      </c>
      <c r="J28" s="237">
        <v>207466</v>
      </c>
      <c r="K28" s="259" t="s">
        <v>175</v>
      </c>
      <c r="L28" s="260">
        <v>100</v>
      </c>
      <c r="M28" s="260">
        <v>100</v>
      </c>
      <c r="N28" s="456"/>
      <c r="O28" s="457"/>
    </row>
    <row r="29" spans="1:16" ht="26.25" customHeight="1" x14ac:dyDescent="0.2">
      <c r="A29" s="1084"/>
      <c r="B29" s="918"/>
      <c r="C29" s="915"/>
      <c r="D29" s="878"/>
      <c r="E29" s="871"/>
      <c r="F29" s="889"/>
      <c r="G29" s="107" t="s">
        <v>171</v>
      </c>
      <c r="H29" s="355">
        <v>41387</v>
      </c>
      <c r="I29" s="356">
        <f>41387+57400</f>
        <v>98787</v>
      </c>
      <c r="J29" s="197">
        <v>64483</v>
      </c>
      <c r="K29" s="105" t="s">
        <v>177</v>
      </c>
      <c r="L29" s="106">
        <v>100</v>
      </c>
      <c r="M29" s="106">
        <v>100</v>
      </c>
      <c r="N29" s="458"/>
      <c r="O29" s="459"/>
    </row>
    <row r="30" spans="1:16" ht="25.5" x14ac:dyDescent="0.2">
      <c r="A30" s="1084"/>
      <c r="B30" s="918"/>
      <c r="C30" s="915"/>
      <c r="D30" s="879"/>
      <c r="E30" s="872"/>
      <c r="F30" s="900"/>
      <c r="G30" s="19"/>
      <c r="H30" s="322"/>
      <c r="I30" s="192"/>
      <c r="J30" s="180"/>
      <c r="K30" s="113" t="s">
        <v>118</v>
      </c>
      <c r="L30" s="112"/>
      <c r="M30" s="112"/>
      <c r="N30" s="461" t="s">
        <v>234</v>
      </c>
      <c r="O30" s="699"/>
    </row>
    <row r="31" spans="1:16" ht="67.5" customHeight="1" x14ac:dyDescent="0.2">
      <c r="A31" s="729"/>
      <c r="B31" s="715"/>
      <c r="C31" s="716"/>
      <c r="D31" s="167" t="s">
        <v>121</v>
      </c>
      <c r="E31" s="744" t="s">
        <v>58</v>
      </c>
      <c r="F31" s="745" t="s">
        <v>53</v>
      </c>
      <c r="G31" s="687" t="s">
        <v>178</v>
      </c>
      <c r="H31" s="367">
        <f>320/3.4528*1000</f>
        <v>92678</v>
      </c>
      <c r="I31" s="329">
        <f>92678-62364</f>
        <v>30314</v>
      </c>
      <c r="J31" s="386">
        <v>22651</v>
      </c>
      <c r="K31" s="636" t="s">
        <v>71</v>
      </c>
      <c r="L31" s="637">
        <v>1</v>
      </c>
      <c r="M31" s="637">
        <v>0</v>
      </c>
      <c r="N31" s="750" t="s">
        <v>282</v>
      </c>
      <c r="O31" s="638" t="s">
        <v>254</v>
      </c>
    </row>
    <row r="32" spans="1:16" ht="30" customHeight="1" x14ac:dyDescent="0.2">
      <c r="A32" s="714"/>
      <c r="B32" s="715"/>
      <c r="C32" s="716"/>
      <c r="D32" s="176" t="s">
        <v>145</v>
      </c>
      <c r="E32" s="746"/>
      <c r="F32" s="620" t="s">
        <v>53</v>
      </c>
      <c r="G32" s="688" t="s">
        <v>178</v>
      </c>
      <c r="H32" s="366">
        <f>131.2/3.4528*1000</f>
        <v>37998</v>
      </c>
      <c r="I32" s="192">
        <f>37998+35309</f>
        <v>73307</v>
      </c>
      <c r="J32" s="323">
        <v>71708</v>
      </c>
      <c r="K32" s="179" t="s">
        <v>149</v>
      </c>
      <c r="L32" s="171" t="s">
        <v>135</v>
      </c>
      <c r="M32" s="171" t="s">
        <v>135</v>
      </c>
      <c r="N32" s="700"/>
      <c r="O32" s="605"/>
    </row>
    <row r="33" spans="1:16" ht="20.25" customHeight="1" x14ac:dyDescent="0.2">
      <c r="A33" s="917"/>
      <c r="B33" s="918"/>
      <c r="C33" s="915"/>
      <c r="D33" s="873" t="s">
        <v>129</v>
      </c>
      <c r="E33" s="747" t="s">
        <v>58</v>
      </c>
      <c r="F33" s="892" t="s">
        <v>53</v>
      </c>
      <c r="G33" s="683" t="s">
        <v>178</v>
      </c>
      <c r="H33" s="365">
        <f>550/3.4528*1000</f>
        <v>159291</v>
      </c>
      <c r="I33" s="247">
        <f>159291-72126</f>
        <v>87165</v>
      </c>
      <c r="J33" s="609">
        <v>76067</v>
      </c>
      <c r="K33" s="868" t="s">
        <v>236</v>
      </c>
      <c r="L33" s="29">
        <v>1</v>
      </c>
      <c r="M33" s="29">
        <v>1</v>
      </c>
      <c r="N33" s="862" t="s">
        <v>235</v>
      </c>
      <c r="O33" s="848" t="s">
        <v>283</v>
      </c>
    </row>
    <row r="34" spans="1:16" ht="24.75" customHeight="1" x14ac:dyDescent="0.2">
      <c r="A34" s="917"/>
      <c r="B34" s="918"/>
      <c r="C34" s="915"/>
      <c r="D34" s="879"/>
      <c r="E34" s="746"/>
      <c r="F34" s="903"/>
      <c r="G34" s="688" t="s">
        <v>171</v>
      </c>
      <c r="H34" s="366">
        <f>85/3.4528*1000</f>
        <v>24618</v>
      </c>
      <c r="I34" s="192">
        <f>24618-6020</f>
        <v>18598</v>
      </c>
      <c r="J34" s="323">
        <v>0</v>
      </c>
      <c r="K34" s="869"/>
      <c r="L34" s="25">
        <v>100</v>
      </c>
      <c r="M34" s="25">
        <v>100</v>
      </c>
      <c r="N34" s="863"/>
      <c r="O34" s="850"/>
    </row>
    <row r="35" spans="1:16" ht="78.75" customHeight="1" x14ac:dyDescent="0.2">
      <c r="A35" s="714"/>
      <c r="B35" s="715"/>
      <c r="C35" s="716"/>
      <c r="D35" s="167" t="s">
        <v>146</v>
      </c>
      <c r="E35" s="748"/>
      <c r="F35" s="745" t="s">
        <v>53</v>
      </c>
      <c r="G35" s="687" t="s">
        <v>178</v>
      </c>
      <c r="H35" s="367">
        <f>34.7/3.4528*1000</f>
        <v>10050</v>
      </c>
      <c r="I35" s="329">
        <f>10050+39000</f>
        <v>49050</v>
      </c>
      <c r="J35" s="386">
        <v>46553</v>
      </c>
      <c r="K35" s="169" t="s">
        <v>150</v>
      </c>
      <c r="L35" s="170" t="s">
        <v>135</v>
      </c>
      <c r="M35" s="170" t="s">
        <v>135</v>
      </c>
      <c r="N35" s="460" t="s">
        <v>237</v>
      </c>
      <c r="O35" s="699" t="s">
        <v>284</v>
      </c>
    </row>
    <row r="36" spans="1:16" ht="14.25" customHeight="1" x14ac:dyDescent="0.2">
      <c r="A36" s="1084"/>
      <c r="B36" s="918"/>
      <c r="C36" s="915"/>
      <c r="D36" s="873" t="s">
        <v>77</v>
      </c>
      <c r="E36" s="747" t="s">
        <v>58</v>
      </c>
      <c r="F36" s="892" t="s">
        <v>53</v>
      </c>
      <c r="G36" s="685" t="s">
        <v>178</v>
      </c>
      <c r="H36" s="689">
        <f>83.7/3.4528*1000</f>
        <v>24241</v>
      </c>
      <c r="I36" s="236">
        <f>18455-4240</f>
        <v>14215</v>
      </c>
      <c r="J36" s="686">
        <v>8971</v>
      </c>
      <c r="K36" s="639" t="s">
        <v>56</v>
      </c>
      <c r="L36" s="635">
        <v>1</v>
      </c>
      <c r="M36" s="640">
        <v>0</v>
      </c>
      <c r="N36" s="823" t="s">
        <v>282</v>
      </c>
      <c r="O36" s="826" t="s">
        <v>254</v>
      </c>
    </row>
    <row r="37" spans="1:16" ht="23.25" customHeight="1" x14ac:dyDescent="0.2">
      <c r="A37" s="1084"/>
      <c r="B37" s="918"/>
      <c r="C37" s="915"/>
      <c r="D37" s="878"/>
      <c r="E37" s="749"/>
      <c r="F37" s="893"/>
      <c r="G37" s="684"/>
      <c r="H37" s="361"/>
      <c r="I37" s="358"/>
      <c r="J37" s="372"/>
      <c r="K37" s="718" t="s">
        <v>313</v>
      </c>
      <c r="L37" s="641"/>
      <c r="M37" s="642"/>
      <c r="N37" s="828"/>
      <c r="O37" s="864"/>
    </row>
    <row r="38" spans="1:16" ht="30.75" customHeight="1" x14ac:dyDescent="0.2">
      <c r="A38" s="729"/>
      <c r="B38" s="715"/>
      <c r="C38" s="716"/>
      <c r="D38" s="751"/>
      <c r="E38" s="752"/>
      <c r="F38" s="753"/>
      <c r="G38" s="690"/>
      <c r="H38" s="361"/>
      <c r="I38" s="358"/>
      <c r="J38" s="691"/>
      <c r="K38" s="542"/>
      <c r="L38" s="754"/>
      <c r="M38" s="755"/>
      <c r="N38" s="825"/>
      <c r="O38" s="557"/>
    </row>
    <row r="39" spans="1:16" ht="16.5" customHeight="1" thickBot="1" x14ac:dyDescent="0.25">
      <c r="A39" s="720"/>
      <c r="B39" s="722"/>
      <c r="C39" s="717"/>
      <c r="D39" s="651"/>
      <c r="E39" s="794"/>
      <c r="F39" s="652"/>
      <c r="G39" s="119" t="s">
        <v>6</v>
      </c>
      <c r="H39" s="242">
        <f>SUM(H27:H37)</f>
        <v>545470</v>
      </c>
      <c r="I39" s="183">
        <f>SUM(I27:I37)</f>
        <v>526646</v>
      </c>
      <c r="J39" s="184">
        <f>SUM(J27:J37)</f>
        <v>497899</v>
      </c>
      <c r="K39" s="272"/>
      <c r="L39" s="277"/>
      <c r="M39" s="277"/>
      <c r="N39" s="653"/>
      <c r="O39" s="795"/>
    </row>
    <row r="40" spans="1:16" ht="35.25" customHeight="1" x14ac:dyDescent="0.2">
      <c r="A40" s="297" t="s">
        <v>5</v>
      </c>
      <c r="B40" s="298" t="s">
        <v>5</v>
      </c>
      <c r="C40" s="300" t="s">
        <v>33</v>
      </c>
      <c r="D40" s="45" t="s">
        <v>287</v>
      </c>
      <c r="E40" s="116" t="s">
        <v>128</v>
      </c>
      <c r="F40" s="61"/>
      <c r="G40" s="140"/>
      <c r="H40" s="369"/>
      <c r="I40" s="370"/>
      <c r="J40" s="371"/>
      <c r="K40" s="273"/>
      <c r="L40" s="274"/>
      <c r="M40" s="274"/>
      <c r="N40" s="274"/>
      <c r="O40" s="275"/>
    </row>
    <row r="41" spans="1:16" ht="53.25" customHeight="1" x14ac:dyDescent="0.2">
      <c r="A41" s="714"/>
      <c r="B41" s="715"/>
      <c r="C41" s="716"/>
      <c r="D41" s="114" t="s">
        <v>74</v>
      </c>
      <c r="E41" s="89" t="s">
        <v>58</v>
      </c>
      <c r="F41" s="223" t="s">
        <v>53</v>
      </c>
      <c r="G41" s="141" t="s">
        <v>178</v>
      </c>
      <c r="H41" s="329">
        <f>165.1/3.4528*1000</f>
        <v>47816</v>
      </c>
      <c r="I41" s="329">
        <v>47820</v>
      </c>
      <c r="J41" s="205">
        <v>47798</v>
      </c>
      <c r="K41" s="168" t="s">
        <v>158</v>
      </c>
      <c r="L41" s="496">
        <v>100</v>
      </c>
      <c r="M41" s="496">
        <v>100</v>
      </c>
      <c r="N41" s="462"/>
      <c r="O41" s="276"/>
    </row>
    <row r="42" spans="1:16" ht="14.25" customHeight="1" x14ac:dyDescent="0.2">
      <c r="A42" s="917"/>
      <c r="B42" s="918"/>
      <c r="C42" s="915"/>
      <c r="D42" s="1085" t="s">
        <v>174</v>
      </c>
      <c r="E42" s="894" t="s">
        <v>58</v>
      </c>
      <c r="F42" s="895" t="s">
        <v>53</v>
      </c>
      <c r="G42" s="261" t="s">
        <v>178</v>
      </c>
      <c r="H42" s="358">
        <f>34725</f>
        <v>34725</v>
      </c>
      <c r="I42" s="358">
        <v>34730</v>
      </c>
      <c r="J42" s="372">
        <v>31249</v>
      </c>
      <c r="K42" s="417" t="s">
        <v>101</v>
      </c>
      <c r="L42" s="55">
        <v>1</v>
      </c>
      <c r="M42" s="55">
        <v>1</v>
      </c>
      <c r="N42" s="865" t="s">
        <v>231</v>
      </c>
      <c r="O42" s="904" t="s">
        <v>254</v>
      </c>
    </row>
    <row r="43" spans="1:16" ht="20.25" customHeight="1" x14ac:dyDescent="0.2">
      <c r="A43" s="917"/>
      <c r="B43" s="918"/>
      <c r="C43" s="915"/>
      <c r="D43" s="1085"/>
      <c r="E43" s="894"/>
      <c r="F43" s="895"/>
      <c r="G43" s="261"/>
      <c r="H43" s="358"/>
      <c r="I43" s="358"/>
      <c r="J43" s="372"/>
      <c r="K43" s="876" t="s">
        <v>189</v>
      </c>
      <c r="L43" s="55"/>
      <c r="M43" s="55"/>
      <c r="N43" s="866"/>
      <c r="O43" s="905"/>
    </row>
    <row r="44" spans="1:16" ht="23.25" customHeight="1" x14ac:dyDescent="0.2">
      <c r="A44" s="917"/>
      <c r="B44" s="918"/>
      <c r="C44" s="915"/>
      <c r="D44" s="1085"/>
      <c r="E44" s="894"/>
      <c r="F44" s="895"/>
      <c r="G44" s="166"/>
      <c r="H44" s="271"/>
      <c r="I44" s="192"/>
      <c r="J44" s="373"/>
      <c r="K44" s="890"/>
      <c r="L44" s="55"/>
      <c r="M44" s="55"/>
      <c r="N44" s="866"/>
      <c r="O44" s="905"/>
    </row>
    <row r="45" spans="1:16" ht="13.5" thickBot="1" x14ac:dyDescent="0.25">
      <c r="A45" s="292"/>
      <c r="B45" s="299"/>
      <c r="C45" s="303"/>
      <c r="D45" s="337"/>
      <c r="E45" s="257"/>
      <c r="F45" s="302"/>
      <c r="G45" s="120" t="s">
        <v>6</v>
      </c>
      <c r="H45" s="243">
        <f>SUM(H40:H44)</f>
        <v>82541</v>
      </c>
      <c r="I45" s="182">
        <f>SUM(I40:I44)</f>
        <v>82550</v>
      </c>
      <c r="J45" s="327">
        <f>SUM(J40:J44)</f>
        <v>79047</v>
      </c>
      <c r="K45" s="891"/>
      <c r="L45" s="277"/>
      <c r="M45" s="277"/>
      <c r="N45" s="867"/>
      <c r="O45" s="278"/>
    </row>
    <row r="46" spans="1:16" ht="27" customHeight="1" x14ac:dyDescent="0.2">
      <c r="A46" s="470" t="s">
        <v>5</v>
      </c>
      <c r="B46" s="473" t="s">
        <v>5</v>
      </c>
      <c r="C46" s="469" t="s">
        <v>37</v>
      </c>
      <c r="D46" s="48" t="s">
        <v>63</v>
      </c>
      <c r="E46" s="258" t="s">
        <v>125</v>
      </c>
      <c r="F46" s="49"/>
      <c r="G46" s="60"/>
      <c r="H46" s="363"/>
      <c r="I46" s="364"/>
      <c r="J46" s="375"/>
      <c r="K46" s="52"/>
      <c r="L46" s="53"/>
      <c r="M46" s="53"/>
      <c r="N46" s="53"/>
      <c r="O46" s="54"/>
      <c r="P46" s="10"/>
    </row>
    <row r="47" spans="1:16" ht="15.75" customHeight="1" x14ac:dyDescent="0.2">
      <c r="A47" s="471"/>
      <c r="B47" s="467"/>
      <c r="C47" s="468"/>
      <c r="D47" s="873" t="s">
        <v>78</v>
      </c>
      <c r="E47" s="896" t="s">
        <v>58</v>
      </c>
      <c r="F47" s="882" t="s">
        <v>53</v>
      </c>
      <c r="G47" s="250" t="s">
        <v>178</v>
      </c>
      <c r="H47" s="359">
        <f>340/3.4528*1000</f>
        <v>98471</v>
      </c>
      <c r="I47" s="236">
        <f>74849-5690</f>
        <v>69159</v>
      </c>
      <c r="J47" s="237">
        <v>52928</v>
      </c>
      <c r="K47" s="875" t="s">
        <v>286</v>
      </c>
      <c r="L47" s="55">
        <v>1</v>
      </c>
      <c r="M47" s="55">
        <v>1</v>
      </c>
      <c r="N47" s="862" t="s">
        <v>231</v>
      </c>
      <c r="O47" s="848" t="s">
        <v>254</v>
      </c>
      <c r="P47" s="10"/>
    </row>
    <row r="48" spans="1:16" ht="15" customHeight="1" x14ac:dyDescent="0.2">
      <c r="A48" s="471"/>
      <c r="B48" s="467"/>
      <c r="C48" s="468"/>
      <c r="D48" s="878"/>
      <c r="E48" s="897"/>
      <c r="F48" s="883"/>
      <c r="G48" s="142"/>
      <c r="H48" s="361"/>
      <c r="I48" s="358"/>
      <c r="J48" s="376"/>
      <c r="K48" s="876"/>
      <c r="L48" s="55"/>
      <c r="M48" s="55"/>
      <c r="N48" s="846"/>
      <c r="O48" s="849"/>
      <c r="P48" s="10"/>
    </row>
    <row r="49" spans="1:16" ht="15" customHeight="1" x14ac:dyDescent="0.2">
      <c r="A49" s="471"/>
      <c r="B49" s="467"/>
      <c r="C49" s="468"/>
      <c r="D49" s="879"/>
      <c r="E49" s="898"/>
      <c r="F49" s="884"/>
      <c r="G49" s="374"/>
      <c r="H49" s="271"/>
      <c r="I49" s="192"/>
      <c r="J49" s="323"/>
      <c r="K49" s="877"/>
      <c r="L49" s="55"/>
      <c r="M49" s="55"/>
      <c r="N49" s="863"/>
      <c r="O49" s="850"/>
      <c r="P49" s="10"/>
    </row>
    <row r="50" spans="1:16" ht="39" customHeight="1" x14ac:dyDescent="0.2">
      <c r="A50" s="917"/>
      <c r="B50" s="918"/>
      <c r="C50" s="915"/>
      <c r="D50" s="878" t="s">
        <v>285</v>
      </c>
      <c r="E50" s="880" t="s">
        <v>58</v>
      </c>
      <c r="F50" s="893" t="s">
        <v>53</v>
      </c>
      <c r="G50" s="261" t="s">
        <v>178</v>
      </c>
      <c r="H50" s="361">
        <f>100/3.4528*1000</f>
        <v>28962</v>
      </c>
      <c r="I50" s="358">
        <v>0</v>
      </c>
      <c r="J50" s="376">
        <v>0</v>
      </c>
      <c r="K50" s="697" t="s">
        <v>56</v>
      </c>
      <c r="L50" s="634"/>
      <c r="M50" s="634"/>
      <c r="N50" s="823" t="s">
        <v>267</v>
      </c>
      <c r="O50" s="841" t="s">
        <v>288</v>
      </c>
    </row>
    <row r="51" spans="1:16" ht="27" customHeight="1" x14ac:dyDescent="0.2">
      <c r="A51" s="917"/>
      <c r="B51" s="918"/>
      <c r="C51" s="915"/>
      <c r="D51" s="879"/>
      <c r="E51" s="881"/>
      <c r="F51" s="903"/>
      <c r="G51" s="692"/>
      <c r="H51" s="271"/>
      <c r="I51" s="192"/>
      <c r="J51" s="323"/>
      <c r="K51" s="698"/>
      <c r="L51" s="476"/>
      <c r="M51" s="476"/>
      <c r="N51" s="824"/>
      <c r="O51" s="831"/>
    </row>
    <row r="52" spans="1:16" ht="37.5" customHeight="1" x14ac:dyDescent="0.2">
      <c r="A52" s="917"/>
      <c r="B52" s="918"/>
      <c r="C52" s="915"/>
      <c r="D52" s="703" t="s">
        <v>265</v>
      </c>
      <c r="E52" s="680" t="s">
        <v>58</v>
      </c>
      <c r="F52" s="619" t="s">
        <v>53</v>
      </c>
      <c r="G52" s="693" t="s">
        <v>178</v>
      </c>
      <c r="H52" s="359">
        <f>88/3.4528*1000</f>
        <v>25487</v>
      </c>
      <c r="I52" s="236">
        <f>25487-14988</f>
        <v>10499</v>
      </c>
      <c r="J52" s="237">
        <v>0</v>
      </c>
      <c r="K52" s="639" t="s">
        <v>151</v>
      </c>
      <c r="L52" s="634">
        <v>1</v>
      </c>
      <c r="M52" s="634"/>
      <c r="N52" s="823" t="s">
        <v>264</v>
      </c>
      <c r="O52" s="826" t="s">
        <v>255</v>
      </c>
    </row>
    <row r="53" spans="1:16" ht="29.25" customHeight="1" x14ac:dyDescent="0.2">
      <c r="A53" s="917"/>
      <c r="B53" s="918"/>
      <c r="C53" s="915"/>
      <c r="D53" s="704"/>
      <c r="E53" s="681"/>
      <c r="F53" s="620"/>
      <c r="G53" s="692"/>
      <c r="H53" s="271"/>
      <c r="I53" s="192"/>
      <c r="J53" s="323"/>
      <c r="K53" s="756"/>
      <c r="L53" s="757"/>
      <c r="M53" s="757"/>
      <c r="N53" s="825"/>
      <c r="O53" s="827"/>
    </row>
    <row r="54" spans="1:16" ht="21.75" customHeight="1" thickBot="1" x14ac:dyDescent="0.25">
      <c r="A54" s="945"/>
      <c r="B54" s="954"/>
      <c r="C54" s="916"/>
      <c r="D54" s="646"/>
      <c r="E54" s="622"/>
      <c r="F54" s="621"/>
      <c r="G54" s="120" t="s">
        <v>6</v>
      </c>
      <c r="H54" s="243">
        <f>SUM(H46:H52)</f>
        <v>152920</v>
      </c>
      <c r="I54" s="182">
        <f>SUM(I46:I52)</f>
        <v>79658</v>
      </c>
      <c r="J54" s="521">
        <f>SUM(J46:J52)</f>
        <v>52928</v>
      </c>
      <c r="K54" s="647"/>
      <c r="L54" s="58"/>
      <c r="M54" s="58"/>
      <c r="N54" s="648"/>
      <c r="O54" s="616"/>
    </row>
    <row r="55" spans="1:16" ht="27" customHeight="1" x14ac:dyDescent="0.2">
      <c r="A55" s="297" t="s">
        <v>5</v>
      </c>
      <c r="B55" s="298" t="s">
        <v>5</v>
      </c>
      <c r="C55" s="300" t="s">
        <v>39</v>
      </c>
      <c r="D55" s="48" t="s">
        <v>161</v>
      </c>
      <c r="E55" s="258" t="s">
        <v>119</v>
      </c>
      <c r="F55" s="178"/>
      <c r="G55" s="103"/>
      <c r="H55" s="363"/>
      <c r="I55" s="364"/>
      <c r="J55" s="371"/>
      <c r="K55" s="318"/>
      <c r="L55" s="30"/>
      <c r="M55" s="30"/>
      <c r="N55" s="30"/>
      <c r="O55" s="312"/>
    </row>
    <row r="56" spans="1:16" ht="40.5" customHeight="1" x14ac:dyDescent="0.2">
      <c r="A56" s="714"/>
      <c r="B56" s="715"/>
      <c r="C56" s="716"/>
      <c r="D56" s="878" t="s">
        <v>266</v>
      </c>
      <c r="E56" s="706" t="s">
        <v>58</v>
      </c>
      <c r="F56" s="265" t="s">
        <v>53</v>
      </c>
      <c r="G56" s="172" t="s">
        <v>178</v>
      </c>
      <c r="H56" s="236">
        <f>50/3.4528*1000</f>
        <v>14481</v>
      </c>
      <c r="I56" s="236">
        <v>0</v>
      </c>
      <c r="J56" s="686">
        <v>0</v>
      </c>
      <c r="K56" s="901" t="s">
        <v>131</v>
      </c>
      <c r="L56" s="763">
        <v>1</v>
      </c>
      <c r="M56" s="763"/>
      <c r="N56" s="764" t="s">
        <v>270</v>
      </c>
      <c r="O56" s="821" t="s">
        <v>292</v>
      </c>
    </row>
    <row r="57" spans="1:16" ht="39.75" customHeight="1" x14ac:dyDescent="0.2">
      <c r="A57" s="714"/>
      <c r="B57" s="715"/>
      <c r="C57" s="716"/>
      <c r="D57" s="878"/>
      <c r="E57" s="758"/>
      <c r="F57" s="265"/>
      <c r="G57" s="155"/>
      <c r="H57" s="246"/>
      <c r="I57" s="358"/>
      <c r="J57" s="372"/>
      <c r="K57" s="902"/>
      <c r="L57" s="765"/>
      <c r="M57" s="765"/>
      <c r="N57" s="766"/>
      <c r="O57" s="842"/>
    </row>
    <row r="58" spans="1:16" ht="19.5" customHeight="1" x14ac:dyDescent="0.2">
      <c r="A58" s="714"/>
      <c r="B58" s="715"/>
      <c r="C58" s="716"/>
      <c r="D58" s="873" t="s">
        <v>162</v>
      </c>
      <c r="E58" s="610" t="s">
        <v>58</v>
      </c>
      <c r="F58" s="619" t="s">
        <v>53</v>
      </c>
      <c r="G58" s="611" t="s">
        <v>79</v>
      </c>
      <c r="H58" s="247">
        <v>5257</v>
      </c>
      <c r="I58" s="247">
        <v>5257</v>
      </c>
      <c r="J58" s="399">
        <v>5257</v>
      </c>
      <c r="K58" s="875" t="s">
        <v>153</v>
      </c>
      <c r="L58" s="497">
        <v>100</v>
      </c>
      <c r="M58" s="497">
        <v>100</v>
      </c>
      <c r="N58" s="701"/>
      <c r="O58" s="465"/>
    </row>
    <row r="59" spans="1:16" ht="21.75" customHeight="1" x14ac:dyDescent="0.2">
      <c r="A59" s="774"/>
      <c r="B59" s="735"/>
      <c r="C59" s="736"/>
      <c r="D59" s="888"/>
      <c r="E59" s="797"/>
      <c r="F59" s="753"/>
      <c r="G59" s="255" t="s">
        <v>55</v>
      </c>
      <c r="H59" s="246">
        <f>32.2/3.4528*1000</f>
        <v>9326</v>
      </c>
      <c r="I59" s="246">
        <f>32.2/3.4528*1000</f>
        <v>9326</v>
      </c>
      <c r="J59" s="377">
        <v>9326</v>
      </c>
      <c r="K59" s="921"/>
      <c r="L59" s="498"/>
      <c r="M59" s="498"/>
      <c r="N59" s="499"/>
      <c r="O59" s="262"/>
    </row>
    <row r="60" spans="1:16" ht="73.5" customHeight="1" x14ac:dyDescent="0.2">
      <c r="A60" s="623"/>
      <c r="B60" s="624"/>
      <c r="C60" s="625"/>
      <c r="D60" s="796" t="s">
        <v>268</v>
      </c>
      <c r="E60" s="626"/>
      <c r="F60" s="620"/>
      <c r="G60" s="255" t="s">
        <v>178</v>
      </c>
      <c r="H60" s="246">
        <f>50/3.4528*1000</f>
        <v>14481</v>
      </c>
      <c r="I60" s="246">
        <v>0</v>
      </c>
      <c r="J60" s="377">
        <v>0</v>
      </c>
      <c r="K60" s="618" t="s">
        <v>152</v>
      </c>
      <c r="L60" s="606">
        <v>1</v>
      </c>
      <c r="M60" s="606"/>
      <c r="N60" s="767" t="s">
        <v>270</v>
      </c>
      <c r="O60" s="768" t="s">
        <v>291</v>
      </c>
    </row>
    <row r="61" spans="1:16" ht="43.5" customHeight="1" x14ac:dyDescent="0.2">
      <c r="A61" s="282"/>
      <c r="B61" s="284"/>
      <c r="C61" s="285"/>
      <c r="D61" s="759" t="s">
        <v>269</v>
      </c>
      <c r="E61" s="760"/>
      <c r="F61" s="731"/>
      <c r="G61" s="79" t="s">
        <v>178</v>
      </c>
      <c r="H61" s="358">
        <f>472.1/3.4528*1000</f>
        <v>136730</v>
      </c>
      <c r="I61" s="192">
        <v>0</v>
      </c>
      <c r="J61" s="373">
        <v>0</v>
      </c>
      <c r="K61" s="769" t="s">
        <v>167</v>
      </c>
      <c r="L61" s="770">
        <v>100</v>
      </c>
      <c r="M61" s="770"/>
      <c r="N61" s="771" t="s">
        <v>271</v>
      </c>
      <c r="O61" s="772" t="s">
        <v>290</v>
      </c>
    </row>
    <row r="62" spans="1:16" ht="77.25" customHeight="1" x14ac:dyDescent="0.2">
      <c r="A62" s="333"/>
      <c r="B62" s="331"/>
      <c r="C62" s="332"/>
      <c r="D62" s="671" t="s">
        <v>272</v>
      </c>
      <c r="E62" s="761" t="s">
        <v>43</v>
      </c>
      <c r="F62" s="762"/>
      <c r="G62" s="88" t="s">
        <v>31</v>
      </c>
      <c r="H62" s="329">
        <f>10/3.4528*1000</f>
        <v>2896</v>
      </c>
      <c r="I62" s="329">
        <v>0</v>
      </c>
      <c r="J62" s="205">
        <v>0</v>
      </c>
      <c r="K62" s="102"/>
      <c r="L62" s="773"/>
      <c r="M62" s="773"/>
      <c r="N62" s="773"/>
      <c r="O62" s="457" t="s">
        <v>289</v>
      </c>
    </row>
    <row r="63" spans="1:16" ht="19.5" customHeight="1" thickBot="1" x14ac:dyDescent="0.25">
      <c r="A63" s="292"/>
      <c r="B63" s="299"/>
      <c r="C63" s="301"/>
      <c r="D63" s="643"/>
      <c r="E63" s="644"/>
      <c r="F63" s="627"/>
      <c r="G63" s="645" t="s">
        <v>6</v>
      </c>
      <c r="H63" s="243">
        <f>SUM(H55:H62)</f>
        <v>183171</v>
      </c>
      <c r="I63" s="182">
        <f>SUM(I55:I62)</f>
        <v>14583</v>
      </c>
      <c r="J63" s="327">
        <f>SUM(J55:J62)</f>
        <v>14583</v>
      </c>
      <c r="K63" s="654"/>
      <c r="L63" s="277"/>
      <c r="M63" s="277"/>
      <c r="N63" s="277"/>
      <c r="O63" s="655"/>
    </row>
    <row r="64" spans="1:16" ht="25.5" customHeight="1" x14ac:dyDescent="0.2">
      <c r="A64" s="297" t="s">
        <v>5</v>
      </c>
      <c r="B64" s="298" t="s">
        <v>5</v>
      </c>
      <c r="C64" s="300" t="s">
        <v>41</v>
      </c>
      <c r="D64" s="42" t="s">
        <v>88</v>
      </c>
      <c r="E64" s="258" t="s">
        <v>127</v>
      </c>
      <c r="F64" s="91"/>
      <c r="G64" s="249"/>
      <c r="H64" s="363"/>
      <c r="I64" s="364"/>
      <c r="J64" s="371"/>
      <c r="K64" s="11"/>
      <c r="L64" s="30"/>
      <c r="M64" s="30"/>
      <c r="N64" s="30"/>
      <c r="O64" s="312"/>
    </row>
    <row r="65" spans="1:16" ht="26.25" customHeight="1" x14ac:dyDescent="0.2">
      <c r="A65" s="917"/>
      <c r="B65" s="918"/>
      <c r="C65" s="915"/>
      <c r="D65" s="922" t="s">
        <v>163</v>
      </c>
      <c r="E65" s="289" t="s">
        <v>58</v>
      </c>
      <c r="F65" s="889" t="s">
        <v>53</v>
      </c>
      <c r="G65" s="115" t="s">
        <v>57</v>
      </c>
      <c r="H65" s="357">
        <f>(217.8+ 199.4)/3.4528*1000</f>
        <v>120829</v>
      </c>
      <c r="I65" s="247">
        <f>(217.8+ 199.4)/3.4528*1000</f>
        <v>120829</v>
      </c>
      <c r="J65" s="377">
        <v>120823</v>
      </c>
      <c r="K65" s="875" t="s">
        <v>159</v>
      </c>
      <c r="L65" s="906" t="s">
        <v>117</v>
      </c>
      <c r="M65" s="463" t="s">
        <v>238</v>
      </c>
      <c r="N65" s="600" t="s">
        <v>232</v>
      </c>
      <c r="O65" s="838" t="s">
        <v>256</v>
      </c>
      <c r="P65" s="24"/>
    </row>
    <row r="66" spans="1:16" ht="36" customHeight="1" x14ac:dyDescent="0.2">
      <c r="A66" s="917"/>
      <c r="B66" s="918"/>
      <c r="C66" s="915"/>
      <c r="D66" s="885"/>
      <c r="E66" s="309"/>
      <c r="F66" s="889"/>
      <c r="G66" s="252" t="s">
        <v>59</v>
      </c>
      <c r="H66" s="360">
        <v>23199</v>
      </c>
      <c r="I66" s="356">
        <v>23199</v>
      </c>
      <c r="J66" s="378">
        <v>0</v>
      </c>
      <c r="K66" s="876"/>
      <c r="L66" s="907"/>
      <c r="M66" s="603"/>
      <c r="N66" s="601"/>
      <c r="O66" s="839"/>
    </row>
    <row r="67" spans="1:16" ht="27.75" customHeight="1" x14ac:dyDescent="0.2">
      <c r="A67" s="917"/>
      <c r="B67" s="918"/>
      <c r="C67" s="915"/>
      <c r="D67" s="885"/>
      <c r="E67" s="148"/>
      <c r="F67" s="889"/>
      <c r="G67" s="143" t="s">
        <v>55</v>
      </c>
      <c r="H67" s="271">
        <v>191149</v>
      </c>
      <c r="I67" s="192">
        <v>191149</v>
      </c>
      <c r="J67" s="323">
        <v>72405</v>
      </c>
      <c r="K67" s="877"/>
      <c r="L67" s="908"/>
      <c r="M67" s="604"/>
      <c r="N67" s="602"/>
      <c r="O67" s="840"/>
    </row>
    <row r="68" spans="1:16" ht="20.25" customHeight="1" x14ac:dyDescent="0.2">
      <c r="A68" s="917"/>
      <c r="B68" s="918"/>
      <c r="C68" s="915"/>
      <c r="D68" s="922" t="s">
        <v>168</v>
      </c>
      <c r="E68" s="896" t="s">
        <v>58</v>
      </c>
      <c r="F68" s="899" t="s">
        <v>53</v>
      </c>
      <c r="G68" s="144" t="s">
        <v>54</v>
      </c>
      <c r="H68" s="379">
        <f>6842.4/3.4528*1000</f>
        <v>1981696</v>
      </c>
      <c r="I68" s="246">
        <f>6842.4/3.4528*1000</f>
        <v>1981696</v>
      </c>
      <c r="J68" s="377">
        <v>2198188</v>
      </c>
      <c r="K68" s="919" t="s">
        <v>169</v>
      </c>
      <c r="L68" s="500">
        <v>100</v>
      </c>
      <c r="M68" s="500">
        <v>100</v>
      </c>
      <c r="N68" s="501"/>
      <c r="O68" s="856" t="s">
        <v>293</v>
      </c>
    </row>
    <row r="69" spans="1:16" ht="18" customHeight="1" x14ac:dyDescent="0.2">
      <c r="A69" s="917"/>
      <c r="B69" s="918"/>
      <c r="C69" s="915"/>
      <c r="D69" s="885"/>
      <c r="E69" s="897"/>
      <c r="F69" s="889"/>
      <c r="G69" s="143" t="s">
        <v>59</v>
      </c>
      <c r="H69" s="271">
        <f>1701.8/3.4528*1000</f>
        <v>492875</v>
      </c>
      <c r="I69" s="192">
        <f>1701.8/3.4528*1000</f>
        <v>492875</v>
      </c>
      <c r="J69" s="323">
        <v>1023228</v>
      </c>
      <c r="K69" s="920"/>
      <c r="L69" s="33"/>
      <c r="M69" s="33"/>
      <c r="N69" s="502"/>
      <c r="O69" s="857"/>
    </row>
    <row r="70" spans="1:16" ht="26.25" customHeight="1" thickBot="1" x14ac:dyDescent="0.25">
      <c r="A70" s="282"/>
      <c r="B70" s="284"/>
      <c r="C70" s="265"/>
      <c r="D70" s="923"/>
      <c r="E70" s="290"/>
      <c r="F70" s="281"/>
      <c r="G70" s="120" t="s">
        <v>6</v>
      </c>
      <c r="H70" s="242">
        <f>SUM(H64:H69)</f>
        <v>2809748</v>
      </c>
      <c r="I70" s="183">
        <f>SUM(I64:I69)</f>
        <v>2809748</v>
      </c>
      <c r="J70" s="186">
        <f>SUM(J64:J69)</f>
        <v>3414644</v>
      </c>
      <c r="K70" s="466"/>
      <c r="L70" s="121"/>
      <c r="M70" s="121"/>
      <c r="N70" s="464"/>
      <c r="O70" s="858"/>
    </row>
    <row r="71" spans="1:16" s="27" customFormat="1" ht="27.75" customHeight="1" x14ac:dyDescent="0.2">
      <c r="A71" s="944" t="s">
        <v>5</v>
      </c>
      <c r="B71" s="953" t="s">
        <v>5</v>
      </c>
      <c r="C71" s="946" t="s">
        <v>42</v>
      </c>
      <c r="D71" s="949" t="s">
        <v>96</v>
      </c>
      <c r="E71" s="1046"/>
      <c r="F71" s="926" t="s">
        <v>53</v>
      </c>
      <c r="G71" s="145" t="s">
        <v>31</v>
      </c>
      <c r="H71" s="380">
        <f>10/3.4528*1000</f>
        <v>2896</v>
      </c>
      <c r="I71" s="381">
        <f>10/3.4528*1000</f>
        <v>2896</v>
      </c>
      <c r="J71" s="345">
        <v>2640</v>
      </c>
      <c r="K71" s="1032"/>
      <c r="L71" s="510"/>
      <c r="M71" s="510"/>
      <c r="N71" s="510"/>
      <c r="O71" s="511"/>
    </row>
    <row r="72" spans="1:16" ht="14.25" customHeight="1" x14ac:dyDescent="0.2">
      <c r="A72" s="917"/>
      <c r="B72" s="918"/>
      <c r="C72" s="947"/>
      <c r="D72" s="885"/>
      <c r="E72" s="1047"/>
      <c r="F72" s="889"/>
      <c r="G72" s="143"/>
      <c r="H72" s="361"/>
      <c r="I72" s="358"/>
      <c r="J72" s="185"/>
      <c r="K72" s="1032"/>
      <c r="L72" s="494"/>
      <c r="M72" s="494"/>
      <c r="N72" s="494"/>
      <c r="O72" s="512"/>
      <c r="P72" s="24"/>
    </row>
    <row r="73" spans="1:16" ht="13.5" thickBot="1" x14ac:dyDescent="0.25">
      <c r="A73" s="945"/>
      <c r="B73" s="954"/>
      <c r="C73" s="948"/>
      <c r="D73" s="950"/>
      <c r="E73" s="1048"/>
      <c r="F73" s="927"/>
      <c r="G73" s="146" t="s">
        <v>6</v>
      </c>
      <c r="H73" s="242">
        <f>SUM(H71:H72)</f>
        <v>2896</v>
      </c>
      <c r="I73" s="183">
        <f>SUM(I71:I72)</f>
        <v>2896</v>
      </c>
      <c r="J73" s="186">
        <f>SUM(J71:J72)</f>
        <v>2640</v>
      </c>
      <c r="K73" s="13"/>
      <c r="L73" s="20"/>
      <c r="M73" s="20"/>
      <c r="N73" s="20"/>
      <c r="O73" s="21"/>
    </row>
    <row r="74" spans="1:16" ht="13.5" thickBot="1" x14ac:dyDescent="0.25">
      <c r="A74" s="77" t="s">
        <v>5</v>
      </c>
      <c r="B74" s="8" t="s">
        <v>5</v>
      </c>
      <c r="C74" s="909" t="s">
        <v>8</v>
      </c>
      <c r="D74" s="909"/>
      <c r="E74" s="909"/>
      <c r="F74" s="909"/>
      <c r="G74" s="909"/>
      <c r="H74" s="245">
        <f>H73+H70+H63+H45+H39+H26+H54</f>
        <v>4127881</v>
      </c>
      <c r="I74" s="187">
        <f>I73+I70+I63+I45+I39+I26+I54</f>
        <v>3800763</v>
      </c>
      <c r="J74" s="328">
        <f>J73+J70+J63+J45+J39+J26+J54</f>
        <v>4182588</v>
      </c>
      <c r="K74" s="307"/>
      <c r="L74" s="22"/>
      <c r="M74" s="22"/>
      <c r="N74" s="22"/>
      <c r="O74" s="23"/>
    </row>
    <row r="75" spans="1:16" ht="13.5" thickBot="1" x14ac:dyDescent="0.25">
      <c r="A75" s="77" t="s">
        <v>5</v>
      </c>
      <c r="B75" s="8" t="s">
        <v>7</v>
      </c>
      <c r="C75" s="958" t="s">
        <v>36</v>
      </c>
      <c r="D75" s="958"/>
      <c r="E75" s="958"/>
      <c r="F75" s="958"/>
      <c r="G75" s="958"/>
      <c r="H75" s="959"/>
      <c r="I75" s="958"/>
      <c r="J75" s="958"/>
      <c r="K75" s="958"/>
      <c r="L75" s="958"/>
      <c r="M75" s="958"/>
      <c r="N75" s="958"/>
      <c r="O75" s="960"/>
    </row>
    <row r="76" spans="1:16" x14ac:dyDescent="0.2">
      <c r="A76" s="297" t="s">
        <v>5</v>
      </c>
      <c r="B76" s="298" t="s">
        <v>7</v>
      </c>
      <c r="C76" s="300" t="s">
        <v>5</v>
      </c>
      <c r="D76" s="961" t="s">
        <v>73</v>
      </c>
      <c r="E76" s="970" t="s">
        <v>156</v>
      </c>
      <c r="F76" s="306" t="s">
        <v>43</v>
      </c>
      <c r="G76" s="63" t="s">
        <v>31</v>
      </c>
      <c r="H76" s="382">
        <f>17326.9/3.4528*1000</f>
        <v>5018217</v>
      </c>
      <c r="I76" s="383">
        <f>5018217+2896</f>
        <v>5021113</v>
      </c>
      <c r="J76" s="202">
        <f>53665.44+62321.27+4752370+96443.9</f>
        <v>4964801</v>
      </c>
      <c r="K76" s="503"/>
      <c r="L76" s="504"/>
      <c r="M76" s="505"/>
      <c r="N76" s="504"/>
      <c r="O76" s="506"/>
    </row>
    <row r="77" spans="1:16" x14ac:dyDescent="0.2">
      <c r="A77" s="282"/>
      <c r="B77" s="284"/>
      <c r="C77" s="285"/>
      <c r="D77" s="929"/>
      <c r="E77" s="971"/>
      <c r="F77" s="173"/>
      <c r="G77" s="62" t="s">
        <v>86</v>
      </c>
      <c r="H77" s="329">
        <f>500/3.4528*1000</f>
        <v>144810</v>
      </c>
      <c r="I77" s="367">
        <f>500/3.4528*1000+155549</f>
        <v>300359</v>
      </c>
      <c r="J77" s="203">
        <v>300359</v>
      </c>
      <c r="K77" s="507"/>
      <c r="L77" s="508"/>
      <c r="M77" s="507"/>
      <c r="N77" s="508"/>
      <c r="O77" s="509"/>
    </row>
    <row r="78" spans="1:16" x14ac:dyDescent="0.2">
      <c r="A78" s="282"/>
      <c r="B78" s="284"/>
      <c r="C78" s="285"/>
      <c r="D78" s="962"/>
      <c r="E78" s="971"/>
      <c r="F78" s="281"/>
      <c r="G78" s="64" t="s">
        <v>79</v>
      </c>
      <c r="H78" s="192">
        <v>3717</v>
      </c>
      <c r="I78" s="366">
        <v>3717</v>
      </c>
      <c r="J78" s="193">
        <v>3717</v>
      </c>
      <c r="K78" s="507"/>
      <c r="L78" s="508"/>
      <c r="M78" s="507"/>
      <c r="N78" s="508"/>
      <c r="O78" s="509"/>
    </row>
    <row r="79" spans="1:16" ht="18.75" customHeight="1" x14ac:dyDescent="0.2">
      <c r="A79" s="714"/>
      <c r="B79" s="715"/>
      <c r="C79" s="716"/>
      <c r="D79" s="165" t="s">
        <v>64</v>
      </c>
      <c r="E79" s="711"/>
      <c r="F79" s="707"/>
      <c r="G79" s="122"/>
      <c r="H79" s="358"/>
      <c r="I79" s="376"/>
      <c r="J79" s="204"/>
      <c r="K79" s="161"/>
      <c r="L79" s="162"/>
      <c r="M79" s="163"/>
      <c r="N79" s="532"/>
      <c r="O79" s="164"/>
    </row>
    <row r="80" spans="1:16" ht="27" customHeight="1" x14ac:dyDescent="0.2">
      <c r="A80" s="714"/>
      <c r="B80" s="715"/>
      <c r="C80" s="716"/>
      <c r="D80" s="705" t="s">
        <v>277</v>
      </c>
      <c r="E80" s="526"/>
      <c r="F80" s="620"/>
      <c r="G80" s="527"/>
      <c r="H80" s="358"/>
      <c r="I80" s="376"/>
      <c r="J80" s="185"/>
      <c r="K80" s="728" t="s">
        <v>50</v>
      </c>
      <c r="L80" s="224">
        <v>5</v>
      </c>
      <c r="M80" s="528">
        <v>5</v>
      </c>
      <c r="N80" s="528"/>
      <c r="O80" s="525"/>
    </row>
    <row r="81" spans="1:21" ht="15.75" customHeight="1" x14ac:dyDescent="0.2">
      <c r="A81" s="774"/>
      <c r="B81" s="735"/>
      <c r="C81" s="736"/>
      <c r="D81" s="128" t="s">
        <v>278</v>
      </c>
      <c r="E81" s="798"/>
      <c r="F81" s="753"/>
      <c r="G81" s="799"/>
      <c r="H81" s="246"/>
      <c r="I81" s="384"/>
      <c r="J81" s="196"/>
      <c r="K81" s="529" t="s">
        <v>106</v>
      </c>
      <c r="L81" s="498">
        <v>3</v>
      </c>
      <c r="M81" s="800">
        <v>3</v>
      </c>
      <c r="N81" s="800"/>
      <c r="O81" s="262"/>
    </row>
    <row r="82" spans="1:21" ht="38.25" x14ac:dyDescent="0.2">
      <c r="A82" s="282"/>
      <c r="B82" s="284"/>
      <c r="C82" s="285"/>
      <c r="D82" s="530" t="s">
        <v>98</v>
      </c>
      <c r="E82" s="526"/>
      <c r="F82" s="495"/>
      <c r="G82" s="527"/>
      <c r="H82" s="358"/>
      <c r="I82" s="376"/>
      <c r="J82" s="185"/>
      <c r="K82" s="529" t="s">
        <v>107</v>
      </c>
      <c r="L82" s="498">
        <v>6</v>
      </c>
      <c r="M82" s="498">
        <v>23</v>
      </c>
      <c r="N82" s="553" t="s">
        <v>257</v>
      </c>
      <c r="O82" s="554"/>
    </row>
    <row r="83" spans="1:21" ht="27" customHeight="1" x14ac:dyDescent="0.2">
      <c r="A83" s="282"/>
      <c r="B83" s="284"/>
      <c r="C83" s="285"/>
      <c r="D83" s="128" t="s">
        <v>51</v>
      </c>
      <c r="E83" s="526"/>
      <c r="F83" s="495"/>
      <c r="G83" s="527"/>
      <c r="H83" s="358"/>
      <c r="I83" s="376"/>
      <c r="J83" s="185"/>
      <c r="K83" s="125" t="s">
        <v>69</v>
      </c>
      <c r="L83" s="126">
        <v>6.8</v>
      </c>
      <c r="M83" s="126">
        <v>6.7</v>
      </c>
      <c r="N83" s="533"/>
      <c r="O83" s="555"/>
    </row>
    <row r="84" spans="1:21" ht="51.75" customHeight="1" x14ac:dyDescent="0.2">
      <c r="A84" s="282"/>
      <c r="B84" s="284"/>
      <c r="C84" s="285"/>
      <c r="D84" s="127" t="s">
        <v>164</v>
      </c>
      <c r="E84" s="526"/>
      <c r="F84" s="495"/>
      <c r="G84" s="527"/>
      <c r="H84" s="358"/>
      <c r="I84" s="376"/>
      <c r="J84" s="185"/>
      <c r="K84" s="110" t="s">
        <v>52</v>
      </c>
      <c r="L84" s="100">
        <v>3</v>
      </c>
      <c r="M84" s="100">
        <v>3</v>
      </c>
      <c r="N84" s="351"/>
      <c r="O84" s="101"/>
    </row>
    <row r="85" spans="1:21" ht="29.25" customHeight="1" x14ac:dyDescent="0.2">
      <c r="A85" s="282"/>
      <c r="B85" s="284"/>
      <c r="C85" s="285"/>
      <c r="D85" s="1049" t="s">
        <v>97</v>
      </c>
      <c r="E85" s="486"/>
      <c r="F85" s="481"/>
      <c r="G85" s="123"/>
      <c r="H85" s="246"/>
      <c r="I85" s="384"/>
      <c r="J85" s="196"/>
      <c r="K85" s="523" t="s">
        <v>84</v>
      </c>
      <c r="L85" s="524">
        <v>36</v>
      </c>
      <c r="M85" s="524">
        <v>36</v>
      </c>
      <c r="N85" s="534"/>
      <c r="O85" s="525"/>
    </row>
    <row r="86" spans="1:21" ht="13.5" thickBot="1" x14ac:dyDescent="0.25">
      <c r="A86" s="482"/>
      <c r="B86" s="483"/>
      <c r="C86" s="484"/>
      <c r="D86" s="1050"/>
      <c r="E86" s="487"/>
      <c r="F86" s="485"/>
      <c r="G86" s="146" t="s">
        <v>6</v>
      </c>
      <c r="H86" s="183">
        <f>SUM(H75:H85)</f>
        <v>5166744</v>
      </c>
      <c r="I86" s="186">
        <f>SUM(I75:I85)</f>
        <v>5325189</v>
      </c>
      <c r="J86" s="183">
        <f>SUM(J76:J85)</f>
        <v>5268877</v>
      </c>
      <c r="K86" s="488"/>
      <c r="L86" s="66"/>
      <c r="M86" s="66"/>
      <c r="N86" s="256"/>
      <c r="O86" s="59"/>
    </row>
    <row r="87" spans="1:21" ht="13.5" thickBot="1" x14ac:dyDescent="0.25">
      <c r="A87" s="78" t="s">
        <v>5</v>
      </c>
      <c r="B87" s="8" t="s">
        <v>7</v>
      </c>
      <c r="C87" s="909" t="s">
        <v>8</v>
      </c>
      <c r="D87" s="909"/>
      <c r="E87" s="909"/>
      <c r="F87" s="909"/>
      <c r="G87" s="909"/>
      <c r="H87" s="187">
        <f>H86</f>
        <v>5166744</v>
      </c>
      <c r="I87" s="328">
        <f>I86</f>
        <v>5325189</v>
      </c>
      <c r="J87" s="187">
        <f t="shared" ref="J87" si="0">J86</f>
        <v>5268877</v>
      </c>
      <c r="K87" s="937"/>
      <c r="L87" s="937"/>
      <c r="M87" s="937"/>
      <c r="N87" s="937"/>
      <c r="O87" s="938"/>
    </row>
    <row r="88" spans="1:21" ht="13.5" thickBot="1" x14ac:dyDescent="0.25">
      <c r="A88" s="77" t="s">
        <v>5</v>
      </c>
      <c r="B88" s="8" t="s">
        <v>33</v>
      </c>
      <c r="C88" s="911" t="s">
        <v>38</v>
      </c>
      <c r="D88" s="912"/>
      <c r="E88" s="912"/>
      <c r="F88" s="912"/>
      <c r="G88" s="912"/>
      <c r="H88" s="912"/>
      <c r="I88" s="912"/>
      <c r="J88" s="912"/>
      <c r="K88" s="912"/>
      <c r="L88" s="912"/>
      <c r="M88" s="912"/>
      <c r="N88" s="912"/>
      <c r="O88" s="913"/>
    </row>
    <row r="89" spans="1:21" ht="38.25" customHeight="1" x14ac:dyDescent="0.2">
      <c r="A89" s="297" t="s">
        <v>5</v>
      </c>
      <c r="B89" s="298" t="s">
        <v>33</v>
      </c>
      <c r="C89" s="264" t="s">
        <v>5</v>
      </c>
      <c r="D89" s="98" t="s">
        <v>166</v>
      </c>
      <c r="E89" s="226" t="s">
        <v>94</v>
      </c>
      <c r="F89" s="91"/>
      <c r="G89" s="14"/>
      <c r="H89" s="389"/>
      <c r="I89" s="390"/>
      <c r="J89" s="210"/>
      <c r="K89" s="85"/>
      <c r="L89" s="104"/>
      <c r="M89" s="104"/>
      <c r="N89" s="538"/>
      <c r="O89" s="54"/>
    </row>
    <row r="90" spans="1:21" ht="39.75" customHeight="1" x14ac:dyDescent="0.2">
      <c r="A90" s="341"/>
      <c r="B90" s="340"/>
      <c r="C90" s="265"/>
      <c r="D90" s="1040" t="s">
        <v>81</v>
      </c>
      <c r="E90" s="253"/>
      <c r="F90" s="173" t="s">
        <v>43</v>
      </c>
      <c r="G90" s="407" t="s">
        <v>86</v>
      </c>
      <c r="H90" s="319">
        <f>364.8/3.4528*1000</f>
        <v>105653</v>
      </c>
      <c r="I90" s="236">
        <f>364.8/3.4528*1000</f>
        <v>105653</v>
      </c>
      <c r="J90" s="326">
        <v>105219</v>
      </c>
      <c r="K90" s="416" t="s">
        <v>99</v>
      </c>
      <c r="L90" s="224">
        <v>2</v>
      </c>
      <c r="M90" s="224">
        <v>2</v>
      </c>
      <c r="N90" s="535"/>
      <c r="O90" s="465"/>
      <c r="R90" s="10"/>
      <c r="S90" s="10"/>
      <c r="T90" s="10"/>
      <c r="U90" s="10"/>
    </row>
    <row r="91" spans="1:21" ht="93.75" customHeight="1" x14ac:dyDescent="0.2">
      <c r="A91" s="341"/>
      <c r="B91" s="340"/>
      <c r="C91" s="265"/>
      <c r="D91" s="929"/>
      <c r="E91" s="1033" t="s">
        <v>92</v>
      </c>
      <c r="F91" s="173"/>
      <c r="G91" s="15" t="s">
        <v>178</v>
      </c>
      <c r="H91" s="330">
        <v>152311</v>
      </c>
      <c r="I91" s="358">
        <v>152311</v>
      </c>
      <c r="J91" s="185">
        <v>152309</v>
      </c>
      <c r="K91" s="536" t="s">
        <v>100</v>
      </c>
      <c r="L91" s="537">
        <v>1</v>
      </c>
      <c r="M91" s="545">
        <v>1</v>
      </c>
      <c r="N91" s="540" t="s">
        <v>243</v>
      </c>
      <c r="O91" s="541"/>
      <c r="R91" s="10"/>
      <c r="S91" s="10"/>
      <c r="T91" s="10"/>
      <c r="U91" s="10"/>
    </row>
    <row r="92" spans="1:21" ht="15" customHeight="1" x14ac:dyDescent="0.2">
      <c r="A92" s="282"/>
      <c r="B92" s="284"/>
      <c r="C92" s="265"/>
      <c r="D92" s="338"/>
      <c r="E92" s="1034"/>
      <c r="F92" s="339"/>
      <c r="G92" s="255"/>
      <c r="H92" s="354"/>
      <c r="I92" s="246"/>
      <c r="J92" s="196"/>
      <c r="K92" s="81" t="s">
        <v>44</v>
      </c>
      <c r="L92" s="82">
        <v>67</v>
      </c>
      <c r="M92" s="83">
        <v>67</v>
      </c>
      <c r="N92" s="350"/>
      <c r="O92" s="262"/>
      <c r="R92" s="10"/>
      <c r="S92" s="10"/>
      <c r="T92" s="10"/>
      <c r="U92" s="10"/>
    </row>
    <row r="93" spans="1:21" ht="67.5" customHeight="1" x14ac:dyDescent="0.2">
      <c r="A93" s="282"/>
      <c r="B93" s="284"/>
      <c r="C93" s="265"/>
      <c r="D93" s="617"/>
      <c r="E93" s="1035"/>
      <c r="F93" s="286"/>
      <c r="G93" s="255" t="s">
        <v>89</v>
      </c>
      <c r="H93" s="356">
        <v>65825</v>
      </c>
      <c r="I93" s="246">
        <v>65825</v>
      </c>
      <c r="J93" s="377">
        <v>3992</v>
      </c>
      <c r="K93" s="542" t="s">
        <v>259</v>
      </c>
      <c r="L93" s="539">
        <v>2</v>
      </c>
      <c r="M93" s="539">
        <v>1</v>
      </c>
      <c r="N93" s="556" t="s">
        <v>246</v>
      </c>
      <c r="O93" s="557" t="s">
        <v>258</v>
      </c>
    </row>
    <row r="94" spans="1:21" ht="15.75" customHeight="1" x14ac:dyDescent="0.2">
      <c r="A94" s="714"/>
      <c r="B94" s="715"/>
      <c r="C94" s="265"/>
      <c r="D94" s="266" t="s">
        <v>82</v>
      </c>
      <c r="E94" s="267"/>
      <c r="F94" s="596"/>
      <c r="G94" s="228" t="s">
        <v>178</v>
      </c>
      <c r="H94" s="531">
        <f>600.1/3.4528*1000</f>
        <v>173801</v>
      </c>
      <c r="I94" s="368">
        <v>174911</v>
      </c>
      <c r="J94" s="682">
        <v>174911</v>
      </c>
      <c r="K94" s="472" t="s">
        <v>103</v>
      </c>
      <c r="L94" s="543">
        <v>0.5</v>
      </c>
      <c r="M94" s="543" t="s">
        <v>226</v>
      </c>
      <c r="N94" s="851"/>
      <c r="O94" s="544"/>
    </row>
    <row r="95" spans="1:21" ht="14.25" customHeight="1" x14ac:dyDescent="0.2">
      <c r="A95" s="714"/>
      <c r="B95" s="715"/>
      <c r="C95" s="265"/>
      <c r="D95" s="530"/>
      <c r="E95" s="775"/>
      <c r="F95" s="753"/>
      <c r="G95" s="255"/>
      <c r="H95" s="354"/>
      <c r="I95" s="246"/>
      <c r="J95" s="776"/>
      <c r="K95" s="105" t="s">
        <v>180</v>
      </c>
      <c r="L95" s="777" t="s">
        <v>72</v>
      </c>
      <c r="M95" s="777" t="s">
        <v>179</v>
      </c>
      <c r="N95" s="852"/>
      <c r="O95" s="778"/>
    </row>
    <row r="96" spans="1:21" ht="72" customHeight="1" x14ac:dyDescent="0.2">
      <c r="A96" s="774"/>
      <c r="B96" s="735"/>
      <c r="C96" s="736"/>
      <c r="D96" s="751" t="s">
        <v>273</v>
      </c>
      <c r="E96" s="798" t="s">
        <v>58</v>
      </c>
      <c r="F96" s="753" t="s">
        <v>53</v>
      </c>
      <c r="G96" s="255" t="s">
        <v>178</v>
      </c>
      <c r="H96" s="354">
        <f>30/3.4528*1000</f>
        <v>8689</v>
      </c>
      <c r="I96" s="246">
        <v>0</v>
      </c>
      <c r="J96" s="776">
        <v>0</v>
      </c>
      <c r="K96" s="756" t="s">
        <v>239</v>
      </c>
      <c r="L96" s="757">
        <v>1</v>
      </c>
      <c r="M96" s="757"/>
      <c r="N96" s="556" t="s">
        <v>295</v>
      </c>
      <c r="O96" s="557" t="s">
        <v>294</v>
      </c>
    </row>
    <row r="97" spans="1:15" ht="36.75" customHeight="1" x14ac:dyDescent="0.2">
      <c r="A97" s="282"/>
      <c r="B97" s="284"/>
      <c r="C97" s="265"/>
      <c r="D97" s="878" t="s">
        <v>245</v>
      </c>
      <c r="E97" s="708"/>
      <c r="F97" s="709" t="s">
        <v>43</v>
      </c>
      <c r="G97" s="65" t="s">
        <v>31</v>
      </c>
      <c r="H97" s="322">
        <f>18/3.4528*1000</f>
        <v>5213</v>
      </c>
      <c r="I97" s="192">
        <f>18/3.4528*1000</f>
        <v>5213</v>
      </c>
      <c r="J97" s="373">
        <v>5213</v>
      </c>
      <c r="K97" s="801" t="s">
        <v>115</v>
      </c>
      <c r="L97" s="543">
        <v>3</v>
      </c>
      <c r="M97" s="543" t="s">
        <v>116</v>
      </c>
      <c r="N97" s="802" t="s">
        <v>244</v>
      </c>
      <c r="O97" s="803"/>
    </row>
    <row r="98" spans="1:15" ht="17.25" customHeight="1" thickBot="1" x14ac:dyDescent="0.25">
      <c r="A98" s="282"/>
      <c r="B98" s="284"/>
      <c r="C98" s="265"/>
      <c r="D98" s="951"/>
      <c r="E98" s="287"/>
      <c r="F98" s="288"/>
      <c r="G98" s="158" t="s">
        <v>6</v>
      </c>
      <c r="H98" s="206">
        <f>SUM(H89:H97)</f>
        <v>511492</v>
      </c>
      <c r="I98" s="388">
        <f>SUM(I89:I97)</f>
        <v>503913</v>
      </c>
      <c r="J98" s="206">
        <f>SUM(J89:J97)</f>
        <v>441644</v>
      </c>
      <c r="K98" s="310"/>
      <c r="L98" s="55"/>
      <c r="M98" s="55"/>
      <c r="N98" s="55"/>
      <c r="O98" s="56"/>
    </row>
    <row r="99" spans="1:15" ht="15.75" customHeight="1" x14ac:dyDescent="0.2">
      <c r="A99" s="944" t="s">
        <v>5</v>
      </c>
      <c r="B99" s="953" t="s">
        <v>33</v>
      </c>
      <c r="C99" s="914" t="s">
        <v>7</v>
      </c>
      <c r="D99" s="928" t="s">
        <v>45</v>
      </c>
      <c r="E99" s="550"/>
      <c r="F99" s="551" t="s">
        <v>43</v>
      </c>
      <c r="G99" s="129" t="s">
        <v>86</v>
      </c>
      <c r="H99" s="392">
        <f>1730.2/3.4528*1000</f>
        <v>501101</v>
      </c>
      <c r="I99" s="393">
        <f>501101+15519</f>
        <v>516620</v>
      </c>
      <c r="J99" s="188">
        <f>+I99-1</f>
        <v>516619</v>
      </c>
      <c r="K99" s="311" t="s">
        <v>296</v>
      </c>
      <c r="L99" s="30">
        <v>155</v>
      </c>
      <c r="M99" s="30">
        <v>155</v>
      </c>
      <c r="N99" s="314"/>
      <c r="O99" s="316"/>
    </row>
    <row r="100" spans="1:15" ht="38.25" x14ac:dyDescent="0.2">
      <c r="A100" s="917"/>
      <c r="B100" s="918"/>
      <c r="C100" s="915"/>
      <c r="D100" s="929"/>
      <c r="E100" s="174"/>
      <c r="F100" s="552"/>
      <c r="G100" s="228" t="s">
        <v>89</v>
      </c>
      <c r="H100" s="391">
        <v>6482</v>
      </c>
      <c r="I100" s="368">
        <v>6482</v>
      </c>
      <c r="J100" s="227">
        <v>6482</v>
      </c>
      <c r="K100" s="154" t="s">
        <v>297</v>
      </c>
      <c r="L100" s="153">
        <v>3</v>
      </c>
      <c r="M100" s="153">
        <v>4</v>
      </c>
      <c r="N100" s="548" t="s">
        <v>298</v>
      </c>
      <c r="O100" s="124"/>
    </row>
    <row r="101" spans="1:15" ht="25.5" x14ac:dyDescent="0.2">
      <c r="A101" s="917"/>
      <c r="B101" s="918"/>
      <c r="C101" s="915"/>
      <c r="D101" s="293"/>
      <c r="E101" s="174"/>
      <c r="F101" s="552"/>
      <c r="G101" s="155"/>
      <c r="H101" s="330"/>
      <c r="I101" s="358"/>
      <c r="J101" s="185"/>
      <c r="K101" s="154" t="s">
        <v>160</v>
      </c>
      <c r="L101" s="546">
        <v>770</v>
      </c>
      <c r="M101" s="547">
        <v>254</v>
      </c>
      <c r="N101" s="451" t="s">
        <v>227</v>
      </c>
      <c r="O101" s="156"/>
    </row>
    <row r="102" spans="1:15" ht="32.25" customHeight="1" x14ac:dyDescent="0.2">
      <c r="A102" s="917"/>
      <c r="B102" s="918"/>
      <c r="C102" s="915"/>
      <c r="D102" s="293"/>
      <c r="E102" s="174"/>
      <c r="F102" s="552"/>
      <c r="G102" s="155"/>
      <c r="H102" s="330"/>
      <c r="I102" s="358"/>
      <c r="J102" s="201"/>
      <c r="K102" s="941" t="s">
        <v>113</v>
      </c>
      <c r="L102" s="408">
        <v>1</v>
      </c>
      <c r="M102" s="408">
        <v>1</v>
      </c>
      <c r="N102" s="843" t="s">
        <v>248</v>
      </c>
      <c r="O102" s="549"/>
    </row>
    <row r="103" spans="1:15" ht="14.25" customHeight="1" thickBot="1" x14ac:dyDescent="0.25">
      <c r="A103" s="945"/>
      <c r="B103" s="954"/>
      <c r="C103" s="916"/>
      <c r="D103" s="294"/>
      <c r="E103" s="296"/>
      <c r="F103" s="159"/>
      <c r="G103" s="68" t="s">
        <v>6</v>
      </c>
      <c r="H103" s="207">
        <f>SUM(H99:H102)</f>
        <v>507583</v>
      </c>
      <c r="I103" s="183">
        <f>SUM(I99:I102)</f>
        <v>523102</v>
      </c>
      <c r="J103" s="207">
        <f>SUM(J99:J102)</f>
        <v>523101</v>
      </c>
      <c r="K103" s="942"/>
      <c r="L103" s="149"/>
      <c r="M103" s="149"/>
      <c r="N103" s="844"/>
      <c r="O103" s="320"/>
    </row>
    <row r="104" spans="1:15" ht="41.25" customHeight="1" x14ac:dyDescent="0.2">
      <c r="A104" s="944" t="s">
        <v>5</v>
      </c>
      <c r="B104" s="953" t="s">
        <v>33</v>
      </c>
      <c r="C104" s="914" t="s">
        <v>33</v>
      </c>
      <c r="D104" s="935" t="s">
        <v>105</v>
      </c>
      <c r="E104" s="304" t="s">
        <v>58</v>
      </c>
      <c r="F104" s="306" t="s">
        <v>43</v>
      </c>
      <c r="G104" s="32" t="s">
        <v>86</v>
      </c>
      <c r="H104" s="394">
        <f>200/3.4528*1000</f>
        <v>57924</v>
      </c>
      <c r="I104" s="382">
        <f>57924-17189</f>
        <v>40735</v>
      </c>
      <c r="J104" s="208">
        <v>21255</v>
      </c>
      <c r="K104" s="559" t="s">
        <v>108</v>
      </c>
      <c r="L104" s="560">
        <v>1</v>
      </c>
      <c r="M104" s="560">
        <v>0</v>
      </c>
      <c r="N104" s="561"/>
      <c r="O104" s="562" t="s">
        <v>299</v>
      </c>
    </row>
    <row r="105" spans="1:15" ht="38.25" x14ac:dyDescent="0.2">
      <c r="A105" s="917"/>
      <c r="B105" s="918"/>
      <c r="C105" s="915"/>
      <c r="D105" s="936"/>
      <c r="E105" s="558"/>
      <c r="F105" s="495"/>
      <c r="G105" s="155"/>
      <c r="H105" s="330"/>
      <c r="I105" s="358"/>
      <c r="J105" s="200"/>
      <c r="K105" s="563" t="s">
        <v>109</v>
      </c>
      <c r="L105" s="564">
        <v>2</v>
      </c>
      <c r="M105" s="564">
        <v>0</v>
      </c>
      <c r="N105" s="565"/>
      <c r="O105" s="566" t="s">
        <v>300</v>
      </c>
    </row>
    <row r="106" spans="1:15" x14ac:dyDescent="0.2">
      <c r="A106" s="917"/>
      <c r="B106" s="918"/>
      <c r="C106" s="915"/>
      <c r="D106" s="695"/>
      <c r="E106" s="526"/>
      <c r="F106" s="495"/>
      <c r="G106" s="79"/>
      <c r="H106" s="322"/>
      <c r="I106" s="192"/>
      <c r="J106" s="209"/>
      <c r="K106" s="943" t="s">
        <v>110</v>
      </c>
      <c r="L106" s="534">
        <v>1</v>
      </c>
      <c r="M106" s="534">
        <v>1</v>
      </c>
      <c r="N106" s="524"/>
      <c r="O106" s="525"/>
    </row>
    <row r="107" spans="1:15" ht="13.5" thickBot="1" x14ac:dyDescent="0.25">
      <c r="A107" s="945"/>
      <c r="B107" s="954"/>
      <c r="C107" s="916"/>
      <c r="D107" s="696"/>
      <c r="E107" s="87"/>
      <c r="F107" s="302"/>
      <c r="G107" s="68" t="s">
        <v>6</v>
      </c>
      <c r="H107" s="207">
        <f>H104</f>
        <v>57924</v>
      </c>
      <c r="I107" s="183">
        <f t="shared" ref="I107:J107" si="1">I104</f>
        <v>40735</v>
      </c>
      <c r="J107" s="186">
        <f t="shared" si="1"/>
        <v>21255</v>
      </c>
      <c r="K107" s="891"/>
      <c r="L107" s="567"/>
      <c r="M107" s="567"/>
      <c r="N107" s="58"/>
      <c r="O107" s="59"/>
    </row>
    <row r="108" spans="1:15" ht="25.5" x14ac:dyDescent="0.2">
      <c r="A108" s="282" t="s">
        <v>5</v>
      </c>
      <c r="B108" s="284" t="s">
        <v>33</v>
      </c>
      <c r="C108" s="285" t="s">
        <v>37</v>
      </c>
      <c r="D108" s="111" t="s">
        <v>137</v>
      </c>
      <c r="E108" s="305"/>
      <c r="F108" s="280"/>
      <c r="G108" s="65"/>
      <c r="H108" s="322"/>
      <c r="I108" s="192"/>
      <c r="J108" s="180"/>
      <c r="K108" s="291"/>
      <c r="L108" s="73"/>
      <c r="M108" s="73"/>
      <c r="N108" s="73"/>
      <c r="O108" s="74"/>
    </row>
    <row r="109" spans="1:15" ht="25.5" x14ac:dyDescent="0.2">
      <c r="A109" s="283"/>
      <c r="B109" s="284"/>
      <c r="C109" s="285"/>
      <c r="D109" s="229" t="s">
        <v>193</v>
      </c>
      <c r="E109" s="607"/>
      <c r="F109" s="608" t="s">
        <v>43</v>
      </c>
      <c r="G109" s="231" t="s">
        <v>86</v>
      </c>
      <c r="H109" s="247">
        <f>20/3.4528*1000</f>
        <v>5792</v>
      </c>
      <c r="I109" s="247">
        <f>20/3.4528*1000</f>
        <v>5792</v>
      </c>
      <c r="J109" s="609">
        <v>5785</v>
      </c>
      <c r="K109" s="232" t="s">
        <v>262</v>
      </c>
      <c r="L109" s="233">
        <v>1</v>
      </c>
      <c r="M109" s="233">
        <v>1</v>
      </c>
      <c r="N109" s="234"/>
      <c r="O109" s="235"/>
    </row>
    <row r="110" spans="1:15" ht="26.25" customHeight="1" x14ac:dyDescent="0.2">
      <c r="A110" s="283"/>
      <c r="B110" s="284"/>
      <c r="C110" s="285"/>
      <c r="D110" s="779" t="s">
        <v>274</v>
      </c>
      <c r="E110" s="832" t="s">
        <v>130</v>
      </c>
      <c r="F110" s="957" t="s">
        <v>43</v>
      </c>
      <c r="G110" s="228" t="s">
        <v>86</v>
      </c>
      <c r="H110" s="694">
        <f>50/3.4528*1000</f>
        <v>14481</v>
      </c>
      <c r="I110" s="368">
        <v>0</v>
      </c>
      <c r="J110" s="682">
        <v>0</v>
      </c>
      <c r="K110" s="780" t="s">
        <v>301</v>
      </c>
      <c r="L110" s="781">
        <v>3</v>
      </c>
      <c r="M110" s="781">
        <v>0</v>
      </c>
      <c r="N110" s="853"/>
      <c r="O110" s="829" t="s">
        <v>304</v>
      </c>
    </row>
    <row r="111" spans="1:15" ht="24.75" customHeight="1" x14ac:dyDescent="0.2">
      <c r="A111" s="283"/>
      <c r="B111" s="284"/>
      <c r="C111" s="285"/>
      <c r="D111" s="676"/>
      <c r="E111" s="833"/>
      <c r="F111" s="893"/>
      <c r="G111" s="155"/>
      <c r="H111" s="330"/>
      <c r="I111" s="358"/>
      <c r="J111" s="372"/>
      <c r="K111" s="782" t="s">
        <v>302</v>
      </c>
      <c r="L111" s="783">
        <v>3</v>
      </c>
      <c r="M111" s="783">
        <v>0</v>
      </c>
      <c r="N111" s="854"/>
      <c r="O111" s="830"/>
    </row>
    <row r="112" spans="1:15" ht="42" customHeight="1" x14ac:dyDescent="0.2">
      <c r="A112" s="283"/>
      <c r="B112" s="284"/>
      <c r="C112" s="285"/>
      <c r="D112" s="676"/>
      <c r="E112" s="727"/>
      <c r="F112" s="892"/>
      <c r="G112" s="79"/>
      <c r="H112" s="322"/>
      <c r="I112" s="192"/>
      <c r="J112" s="323"/>
      <c r="K112" s="784" t="s">
        <v>303</v>
      </c>
      <c r="L112" s="785">
        <v>3</v>
      </c>
      <c r="M112" s="785">
        <v>0</v>
      </c>
      <c r="N112" s="855"/>
      <c r="O112" s="831"/>
    </row>
    <row r="113" spans="1:17" ht="23.25" customHeight="1" thickBot="1" x14ac:dyDescent="0.25">
      <c r="A113" s="283"/>
      <c r="B113" s="284"/>
      <c r="C113" s="285"/>
      <c r="D113" s="656"/>
      <c r="E113" s="657"/>
      <c r="F113" s="620"/>
      <c r="G113" s="248" t="s">
        <v>6</v>
      </c>
      <c r="H113" s="243">
        <f>SUM(H109:H112)</f>
        <v>20273</v>
      </c>
      <c r="I113" s="182">
        <f>SUM(I109:I112)</f>
        <v>5792</v>
      </c>
      <c r="J113" s="327">
        <f>SUM(J108:J112)</f>
        <v>5785</v>
      </c>
      <c r="K113" s="647"/>
      <c r="L113" s="55"/>
      <c r="M113" s="55"/>
      <c r="N113" s="55"/>
      <c r="O113" s="655"/>
    </row>
    <row r="114" spans="1:17" ht="14.25" customHeight="1" x14ac:dyDescent="0.2">
      <c r="A114" s="944" t="s">
        <v>5</v>
      </c>
      <c r="B114" s="953" t="s">
        <v>33</v>
      </c>
      <c r="C114" s="914" t="s">
        <v>39</v>
      </c>
      <c r="D114" s="928" t="s">
        <v>60</v>
      </c>
      <c r="E114" s="930" t="s">
        <v>91</v>
      </c>
      <c r="F114" s="926" t="s">
        <v>72</v>
      </c>
      <c r="G114" s="32" t="s">
        <v>31</v>
      </c>
      <c r="H114" s="804">
        <f>340/3.4528*1000</f>
        <v>98471</v>
      </c>
      <c r="I114" s="382">
        <f>98471-33546</f>
        <v>64925</v>
      </c>
      <c r="J114" s="805">
        <v>57738</v>
      </c>
      <c r="K114" s="658" t="s">
        <v>85</v>
      </c>
      <c r="L114" s="659">
        <v>18</v>
      </c>
      <c r="M114" s="659">
        <v>18</v>
      </c>
      <c r="N114" s="659"/>
      <c r="O114" s="660"/>
    </row>
    <row r="115" spans="1:17" ht="54.75" customHeight="1" x14ac:dyDescent="0.2">
      <c r="A115" s="917"/>
      <c r="B115" s="918"/>
      <c r="C115" s="915"/>
      <c r="D115" s="955"/>
      <c r="E115" s="931"/>
      <c r="F115" s="889"/>
      <c r="G115" s="175"/>
      <c r="H115" s="322"/>
      <c r="I115" s="192"/>
      <c r="J115" s="373"/>
      <c r="K115" s="933" t="s">
        <v>104</v>
      </c>
      <c r="L115" s="476">
        <v>5</v>
      </c>
      <c r="M115" s="476">
        <v>3</v>
      </c>
      <c r="N115" s="476"/>
      <c r="O115" s="864" t="s">
        <v>247</v>
      </c>
    </row>
    <row r="116" spans="1:17" ht="22.5" customHeight="1" thickBot="1" x14ac:dyDescent="0.25">
      <c r="A116" s="945"/>
      <c r="B116" s="954"/>
      <c r="C116" s="916"/>
      <c r="D116" s="956"/>
      <c r="E116" s="932"/>
      <c r="F116" s="927"/>
      <c r="G116" s="68" t="s">
        <v>6</v>
      </c>
      <c r="H116" s="242">
        <f>SUM(H114:H115)</f>
        <v>98471</v>
      </c>
      <c r="I116" s="183">
        <f>SUM(I114:I115)</f>
        <v>64925</v>
      </c>
      <c r="J116" s="186">
        <f t="shared" ref="J116" si="2">SUM(J114:J115)</f>
        <v>57738</v>
      </c>
      <c r="K116" s="934"/>
      <c r="L116" s="568"/>
      <c r="M116" s="568"/>
      <c r="N116" s="568"/>
      <c r="O116" s="969"/>
    </row>
    <row r="117" spans="1:17" ht="15" customHeight="1" x14ac:dyDescent="0.2">
      <c r="A117" s="944" t="s">
        <v>5</v>
      </c>
      <c r="B117" s="953" t="s">
        <v>33</v>
      </c>
      <c r="C117" s="914" t="s">
        <v>41</v>
      </c>
      <c r="D117" s="928" t="s">
        <v>68</v>
      </c>
      <c r="E117" s="930" t="s">
        <v>58</v>
      </c>
      <c r="F117" s="926" t="s">
        <v>53</v>
      </c>
      <c r="G117" s="136" t="s">
        <v>178</v>
      </c>
      <c r="H117" s="395">
        <f>250/3.4528*1000</f>
        <v>72405</v>
      </c>
      <c r="I117" s="393">
        <f>72405-64317</f>
        <v>8088</v>
      </c>
      <c r="J117" s="188">
        <v>6636</v>
      </c>
      <c r="K117" s="254" t="s">
        <v>122</v>
      </c>
      <c r="L117" s="513">
        <v>1</v>
      </c>
      <c r="M117" s="513">
        <v>1</v>
      </c>
      <c r="N117" s="845" t="s">
        <v>240</v>
      </c>
      <c r="O117" s="848"/>
    </row>
    <row r="118" spans="1:17" ht="14.25" customHeight="1" x14ac:dyDescent="0.2">
      <c r="A118" s="917"/>
      <c r="B118" s="918"/>
      <c r="C118" s="915"/>
      <c r="D118" s="955"/>
      <c r="E118" s="931"/>
      <c r="F118" s="889"/>
      <c r="G118" s="175" t="s">
        <v>86</v>
      </c>
      <c r="H118" s="396">
        <f>50/3.4528*1000</f>
        <v>14481</v>
      </c>
      <c r="I118" s="358">
        <f>50/3.4528*1000</f>
        <v>14481</v>
      </c>
      <c r="J118" s="185">
        <v>0</v>
      </c>
      <c r="K118" s="472"/>
      <c r="L118" s="55"/>
      <c r="M118" s="55"/>
      <c r="N118" s="846"/>
      <c r="O118" s="849"/>
    </row>
    <row r="119" spans="1:17" ht="13.5" customHeight="1" thickBot="1" x14ac:dyDescent="0.25">
      <c r="A119" s="945"/>
      <c r="B119" s="954"/>
      <c r="C119" s="916"/>
      <c r="D119" s="956"/>
      <c r="E119" s="932"/>
      <c r="F119" s="927"/>
      <c r="G119" s="68" t="s">
        <v>6</v>
      </c>
      <c r="H119" s="242">
        <f>H117+H118</f>
        <v>86886</v>
      </c>
      <c r="I119" s="183">
        <f>I117+I118</f>
        <v>22569</v>
      </c>
      <c r="J119" s="184">
        <f t="shared" ref="J119" si="3">J117+J118</f>
        <v>6636</v>
      </c>
      <c r="K119" s="57"/>
      <c r="L119" s="58"/>
      <c r="M119" s="58"/>
      <c r="N119" s="847"/>
      <c r="O119" s="850"/>
    </row>
    <row r="120" spans="1:17" ht="29.25" x14ac:dyDescent="0.2">
      <c r="A120" s="297" t="s">
        <v>5</v>
      </c>
      <c r="B120" s="298" t="s">
        <v>33</v>
      </c>
      <c r="C120" s="300" t="s">
        <v>42</v>
      </c>
      <c r="D120" s="130" t="s">
        <v>134</v>
      </c>
      <c r="E120" s="160" t="s">
        <v>93</v>
      </c>
      <c r="F120" s="131"/>
      <c r="G120" s="14"/>
      <c r="H120" s="397"/>
      <c r="I120" s="390"/>
      <c r="J120" s="398"/>
      <c r="K120" s="315"/>
      <c r="L120" s="177"/>
      <c r="M120" s="177"/>
      <c r="N120" s="177"/>
      <c r="O120" s="241"/>
    </row>
    <row r="121" spans="1:17" ht="18" customHeight="1" x14ac:dyDescent="0.2">
      <c r="A121" s="282"/>
      <c r="B121" s="284"/>
      <c r="C121" s="285"/>
      <c r="D121" s="1041" t="s">
        <v>170</v>
      </c>
      <c r="E121" s="680" t="s">
        <v>58</v>
      </c>
      <c r="F121" s="892" t="s">
        <v>53</v>
      </c>
      <c r="G121" s="611" t="s">
        <v>86</v>
      </c>
      <c r="H121" s="247">
        <f>30/3.4528*1000</f>
        <v>8689</v>
      </c>
      <c r="I121" s="247">
        <f>30/3.4528*1000</f>
        <v>8689</v>
      </c>
      <c r="J121" s="399">
        <v>0</v>
      </c>
      <c r="K121" s="514" t="s">
        <v>122</v>
      </c>
      <c r="L121" s="515">
        <v>1</v>
      </c>
      <c r="M121" s="515">
        <v>1</v>
      </c>
      <c r="N121" s="823" t="s">
        <v>241</v>
      </c>
      <c r="O121" s="826" t="s">
        <v>260</v>
      </c>
    </row>
    <row r="122" spans="1:17" ht="16.5" customHeight="1" x14ac:dyDescent="0.2">
      <c r="A122" s="282"/>
      <c r="B122" s="284"/>
      <c r="C122" s="285"/>
      <c r="D122" s="1042"/>
      <c r="E122" s="786"/>
      <c r="F122" s="893"/>
      <c r="G122" s="255" t="s">
        <v>178</v>
      </c>
      <c r="H122" s="246">
        <v>72405</v>
      </c>
      <c r="I122" s="246">
        <f>72410+457</f>
        <v>72867</v>
      </c>
      <c r="J122" s="378">
        <v>20607</v>
      </c>
      <c r="K122" s="516" t="s">
        <v>190</v>
      </c>
      <c r="L122" s="517">
        <v>20</v>
      </c>
      <c r="M122" s="517">
        <v>0</v>
      </c>
      <c r="N122" s="964"/>
      <c r="O122" s="864"/>
    </row>
    <row r="123" spans="1:17" ht="31.5" customHeight="1" x14ac:dyDescent="0.2">
      <c r="A123" s="282"/>
      <c r="B123" s="284"/>
      <c r="C123" s="285"/>
      <c r="D123" s="1042"/>
      <c r="E123" s="786"/>
      <c r="F123" s="893"/>
      <c r="G123" s="79" t="s">
        <v>55</v>
      </c>
      <c r="H123" s="192">
        <f>163.5/3.4528*1000</f>
        <v>47353</v>
      </c>
      <c r="I123" s="192">
        <f>163.5/3.4528*1000</f>
        <v>47353</v>
      </c>
      <c r="J123" s="323">
        <v>0</v>
      </c>
      <c r="K123" s="518"/>
      <c r="L123" s="519"/>
      <c r="M123" s="519"/>
      <c r="N123" s="965"/>
      <c r="O123" s="966"/>
      <c r="P123" s="251"/>
      <c r="Q123" s="251"/>
    </row>
    <row r="124" spans="1:17" ht="39.75" customHeight="1" x14ac:dyDescent="0.2">
      <c r="A124" s="283"/>
      <c r="B124" s="284"/>
      <c r="C124" s="285"/>
      <c r="D124" s="671" t="s">
        <v>186</v>
      </c>
      <c r="E124" s="680" t="s">
        <v>58</v>
      </c>
      <c r="F124" s="619" t="s">
        <v>43</v>
      </c>
      <c r="G124" s="172" t="s">
        <v>86</v>
      </c>
      <c r="H124" s="236">
        <v>218634</v>
      </c>
      <c r="I124" s="679">
        <f>147078-67842</f>
        <v>79236</v>
      </c>
      <c r="J124" s="237">
        <v>79235</v>
      </c>
      <c r="K124" s="452" t="s">
        <v>191</v>
      </c>
      <c r="L124" s="453">
        <v>19</v>
      </c>
      <c r="M124" s="677">
        <v>21</v>
      </c>
      <c r="N124" s="569" t="s">
        <v>305</v>
      </c>
      <c r="O124" s="238"/>
    </row>
    <row r="125" spans="1:17" ht="69.75" customHeight="1" x14ac:dyDescent="0.2">
      <c r="A125" s="670"/>
      <c r="B125" s="668"/>
      <c r="C125" s="669"/>
      <c r="D125" s="676"/>
      <c r="E125" s="681"/>
      <c r="F125" s="620"/>
      <c r="G125" s="79"/>
      <c r="H125" s="271"/>
      <c r="I125" s="590"/>
      <c r="J125" s="323"/>
      <c r="K125" s="570" t="s">
        <v>306</v>
      </c>
      <c r="L125" s="571" t="s">
        <v>179</v>
      </c>
      <c r="M125" s="571" t="s">
        <v>72</v>
      </c>
      <c r="N125" s="678"/>
      <c r="O125" s="678" t="s">
        <v>261</v>
      </c>
    </row>
    <row r="126" spans="1:17" ht="18" customHeight="1" thickBot="1" x14ac:dyDescent="0.25">
      <c r="A126" s="292"/>
      <c r="B126" s="299"/>
      <c r="C126" s="301"/>
      <c r="D126" s="672"/>
      <c r="E126" s="321"/>
      <c r="F126" s="152"/>
      <c r="G126" s="248" t="s">
        <v>6</v>
      </c>
      <c r="H126" s="243">
        <f>SUM(H120:H124)</f>
        <v>347081</v>
      </c>
      <c r="I126" s="182">
        <f>SUM(I120:I124)</f>
        <v>208145</v>
      </c>
      <c r="J126" s="327">
        <f>SUM(J121:J124)</f>
        <v>99842</v>
      </c>
      <c r="K126" s="673"/>
      <c r="L126" s="674"/>
      <c r="M126" s="543"/>
      <c r="N126" s="675"/>
      <c r="O126" s="675"/>
    </row>
    <row r="127" spans="1:17" ht="19.5" customHeight="1" x14ac:dyDescent="0.2">
      <c r="A127" s="297" t="s">
        <v>5</v>
      </c>
      <c r="B127" s="38" t="s">
        <v>33</v>
      </c>
      <c r="C127" s="914" t="s">
        <v>133</v>
      </c>
      <c r="D127" s="939" t="s">
        <v>76</v>
      </c>
      <c r="E127" s="924"/>
      <c r="F127" s="926" t="s">
        <v>43</v>
      </c>
      <c r="G127" s="14" t="s">
        <v>178</v>
      </c>
      <c r="H127" s="397">
        <v>29049</v>
      </c>
      <c r="I127" s="390">
        <v>93571</v>
      </c>
      <c r="J127" s="387">
        <v>93566</v>
      </c>
      <c r="K127" s="254" t="s">
        <v>307</v>
      </c>
      <c r="L127" s="572">
        <v>12</v>
      </c>
      <c r="M127" s="572">
        <v>15</v>
      </c>
      <c r="N127" s="967"/>
      <c r="O127" s="573"/>
    </row>
    <row r="128" spans="1:17" ht="13.5" thickBot="1" x14ac:dyDescent="0.25">
      <c r="A128" s="292"/>
      <c r="B128" s="39"/>
      <c r="C128" s="916"/>
      <c r="D128" s="940"/>
      <c r="E128" s="925"/>
      <c r="F128" s="927"/>
      <c r="G128" s="69" t="s">
        <v>6</v>
      </c>
      <c r="H128" s="242">
        <f>SUM(H127:H127)</f>
        <v>29049</v>
      </c>
      <c r="I128" s="183">
        <f>SUM(I127:I127)</f>
        <v>93571</v>
      </c>
      <c r="J128" s="186">
        <f>J127</f>
        <v>93566</v>
      </c>
      <c r="K128" s="57"/>
      <c r="L128" s="574"/>
      <c r="M128" s="574"/>
      <c r="N128" s="968"/>
      <c r="O128" s="59"/>
    </row>
    <row r="129" spans="1:16" ht="13.5" thickBot="1" x14ac:dyDescent="0.25">
      <c r="A129" s="78" t="s">
        <v>5</v>
      </c>
      <c r="B129" s="8" t="s">
        <v>33</v>
      </c>
      <c r="C129" s="909" t="s">
        <v>8</v>
      </c>
      <c r="D129" s="909"/>
      <c r="E129" s="909"/>
      <c r="F129" s="909"/>
      <c r="G129" s="910"/>
      <c r="H129" s="385">
        <f>H128+H126+H119+H116+H113+H107+H103+H98</f>
        <v>1658759</v>
      </c>
      <c r="I129" s="187">
        <f>I128+I126+I119+I116+I113+I107+I103+I98</f>
        <v>1462752</v>
      </c>
      <c r="J129" s="189">
        <f>J128+J126+J119+J116+J113+J107+J103+J98</f>
        <v>1249567</v>
      </c>
      <c r="K129" s="963"/>
      <c r="L129" s="937"/>
      <c r="M129" s="937"/>
      <c r="N129" s="937"/>
      <c r="O129" s="938"/>
    </row>
    <row r="130" spans="1:16" ht="15" customHeight="1" thickBot="1" x14ac:dyDescent="0.25">
      <c r="A130" s="77" t="s">
        <v>5</v>
      </c>
      <c r="B130" s="8" t="s">
        <v>37</v>
      </c>
      <c r="C130" s="911" t="s">
        <v>40</v>
      </c>
      <c r="D130" s="912"/>
      <c r="E130" s="912"/>
      <c r="F130" s="912"/>
      <c r="G130" s="912"/>
      <c r="H130" s="912"/>
      <c r="I130" s="912"/>
      <c r="J130" s="912"/>
      <c r="K130" s="912"/>
      <c r="L130" s="912"/>
      <c r="M130" s="912"/>
      <c r="N130" s="912"/>
      <c r="O130" s="913"/>
    </row>
    <row r="131" spans="1:16" ht="25.5" x14ac:dyDescent="0.2">
      <c r="A131" s="719" t="s">
        <v>5</v>
      </c>
      <c r="B131" s="721" t="s">
        <v>37</v>
      </c>
      <c r="C131" s="222" t="s">
        <v>5</v>
      </c>
      <c r="D131" s="98" t="s">
        <v>112</v>
      </c>
      <c r="E131" s="90"/>
      <c r="F131" s="91"/>
      <c r="G131" s="14"/>
      <c r="H131" s="583"/>
      <c r="I131" s="584"/>
      <c r="J131" s="325"/>
      <c r="K131" s="85"/>
      <c r="L131" s="84"/>
      <c r="M131" s="84"/>
      <c r="N131" s="84"/>
      <c r="O131" s="86"/>
    </row>
    <row r="132" spans="1:16" ht="39.75" customHeight="1" x14ac:dyDescent="0.2">
      <c r="A132" s="714"/>
      <c r="B132" s="715"/>
      <c r="C132" s="132"/>
      <c r="D132" s="409" t="s">
        <v>114</v>
      </c>
      <c r="E132" s="410"/>
      <c r="F132" s="230" t="s">
        <v>53</v>
      </c>
      <c r="G132" s="80" t="s">
        <v>178</v>
      </c>
      <c r="H132" s="585">
        <f>10/3.4528*1000</f>
        <v>2896</v>
      </c>
      <c r="I132" s="586">
        <f>2896-1896</f>
        <v>1000</v>
      </c>
      <c r="J132" s="411">
        <v>0</v>
      </c>
      <c r="K132" s="412" t="s">
        <v>123</v>
      </c>
      <c r="L132" s="413">
        <v>100</v>
      </c>
      <c r="M132" s="413">
        <v>0</v>
      </c>
      <c r="N132" s="413"/>
      <c r="O132" s="457" t="s">
        <v>242</v>
      </c>
    </row>
    <row r="133" spans="1:16" ht="16.5" customHeight="1" x14ac:dyDescent="0.2">
      <c r="A133" s="714"/>
      <c r="B133" s="715"/>
      <c r="C133" s="132"/>
      <c r="D133" s="724" t="s">
        <v>308</v>
      </c>
      <c r="E133" s="725"/>
      <c r="F133" s="707" t="s">
        <v>43</v>
      </c>
      <c r="G133" s="15" t="s">
        <v>178</v>
      </c>
      <c r="H133" s="240">
        <v>347544</v>
      </c>
      <c r="I133" s="587">
        <v>1108004</v>
      </c>
      <c r="J133" s="213">
        <v>1107430</v>
      </c>
      <c r="K133" s="943" t="s">
        <v>183</v>
      </c>
      <c r="L133" s="134">
        <v>3.5</v>
      </c>
      <c r="M133" s="134">
        <v>5</v>
      </c>
      <c r="N133" s="1021"/>
      <c r="O133" s="135"/>
      <c r="P133" s="41"/>
    </row>
    <row r="134" spans="1:16" ht="27" customHeight="1" x14ac:dyDescent="0.2">
      <c r="A134" s="714"/>
      <c r="B134" s="715"/>
      <c r="C134" s="132"/>
      <c r="D134" s="268" t="s">
        <v>184</v>
      </c>
      <c r="E134" s="174"/>
      <c r="F134" s="620"/>
      <c r="G134" s="155"/>
      <c r="H134" s="588"/>
      <c r="I134" s="587"/>
      <c r="J134" s="213"/>
      <c r="K134" s="1029"/>
      <c r="L134" s="269"/>
      <c r="M134" s="269"/>
      <c r="N134" s="1022"/>
      <c r="O134" s="270"/>
      <c r="P134" s="41"/>
    </row>
    <row r="135" spans="1:16" ht="15" customHeight="1" x14ac:dyDescent="0.2">
      <c r="A135" s="714"/>
      <c r="B135" s="715"/>
      <c r="C135" s="132"/>
      <c r="D135" s="268" t="s">
        <v>185</v>
      </c>
      <c r="E135" s="174"/>
      <c r="F135" s="620"/>
      <c r="G135" s="155"/>
      <c r="H135" s="588"/>
      <c r="I135" s="587"/>
      <c r="J135" s="213"/>
      <c r="K135" s="702"/>
      <c r="L135" s="269"/>
      <c r="M135" s="269"/>
      <c r="N135" s="269"/>
      <c r="O135" s="270"/>
      <c r="P135" s="41"/>
    </row>
    <row r="136" spans="1:16" ht="26.25" customHeight="1" x14ac:dyDescent="0.2">
      <c r="A136" s="714"/>
      <c r="B136" s="715"/>
      <c r="C136" s="132"/>
      <c r="D136" s="225" t="s">
        <v>187</v>
      </c>
      <c r="E136" s="174"/>
      <c r="F136" s="620"/>
      <c r="G136" s="79"/>
      <c r="H136" s="589"/>
      <c r="I136" s="590"/>
      <c r="J136" s="212"/>
      <c r="K136" s="472"/>
      <c r="L136" s="269"/>
      <c r="M136" s="269"/>
      <c r="N136" s="269"/>
      <c r="O136" s="270"/>
      <c r="P136" s="41"/>
    </row>
    <row r="137" spans="1:16" ht="27" customHeight="1" thickBot="1" x14ac:dyDescent="0.25">
      <c r="A137" s="720"/>
      <c r="B137" s="722"/>
      <c r="C137" s="806"/>
      <c r="D137" s="807" t="s">
        <v>309</v>
      </c>
      <c r="E137" s="726"/>
      <c r="F137" s="713"/>
      <c r="G137" s="248" t="s">
        <v>6</v>
      </c>
      <c r="H137" s="324">
        <f>SUM(H130:H133)</f>
        <v>350440</v>
      </c>
      <c r="I137" s="402">
        <f>SUM(I130:I133)</f>
        <v>1109004</v>
      </c>
      <c r="J137" s="214">
        <f t="shared" ref="J137" si="4">SUM(J130:J133)</f>
        <v>1107430</v>
      </c>
      <c r="K137" s="808"/>
      <c r="L137" s="455"/>
      <c r="M137" s="455"/>
      <c r="N137" s="455"/>
      <c r="O137" s="809"/>
      <c r="P137" s="41"/>
    </row>
    <row r="138" spans="1:16" x14ac:dyDescent="0.2">
      <c r="A138" s="944" t="s">
        <v>5</v>
      </c>
      <c r="B138" s="953" t="s">
        <v>37</v>
      </c>
      <c r="C138" s="914" t="s">
        <v>7</v>
      </c>
      <c r="D138" s="1036" t="s">
        <v>67</v>
      </c>
      <c r="E138" s="575"/>
      <c r="F138" s="576"/>
      <c r="G138" s="577"/>
      <c r="H138" s="594"/>
      <c r="I138" s="595"/>
      <c r="J138" s="211"/>
      <c r="K138" s="578"/>
      <c r="L138" s="579"/>
      <c r="M138" s="579"/>
      <c r="N138" s="579"/>
      <c r="O138" s="580"/>
    </row>
    <row r="139" spans="1:16" x14ac:dyDescent="0.2">
      <c r="A139" s="917"/>
      <c r="B139" s="918"/>
      <c r="C139" s="915"/>
      <c r="D139" s="1037"/>
      <c r="E139" s="174"/>
      <c r="F139" s="495" t="s">
        <v>43</v>
      </c>
      <c r="G139" s="79"/>
      <c r="H139" s="589"/>
      <c r="I139" s="590"/>
      <c r="J139" s="212"/>
      <c r="K139" s="489"/>
      <c r="L139" s="269"/>
      <c r="M139" s="269"/>
      <c r="N139" s="269"/>
      <c r="O139" s="270"/>
    </row>
    <row r="140" spans="1:16" ht="27" customHeight="1" x14ac:dyDescent="0.2">
      <c r="A140" s="917"/>
      <c r="B140" s="918"/>
      <c r="C140" s="915"/>
      <c r="D140" s="1044" t="s">
        <v>66</v>
      </c>
      <c r="E140" s="174"/>
      <c r="F140" s="173"/>
      <c r="G140" s="15" t="s">
        <v>178</v>
      </c>
      <c r="H140" s="240">
        <v>628475</v>
      </c>
      <c r="I140" s="587">
        <f>780613+65000+56134</f>
        <v>901747</v>
      </c>
      <c r="J140" s="213">
        <v>901743</v>
      </c>
      <c r="K140" s="416" t="s">
        <v>249</v>
      </c>
      <c r="L140" s="92" t="s">
        <v>111</v>
      </c>
      <c r="M140" s="92" t="s">
        <v>228</v>
      </c>
      <c r="N140" s="1027" t="s">
        <v>310</v>
      </c>
      <c r="O140" s="93"/>
    </row>
    <row r="141" spans="1:16" ht="25.5" x14ac:dyDescent="0.2">
      <c r="A141" s="917"/>
      <c r="B141" s="918"/>
      <c r="C141" s="915"/>
      <c r="D141" s="1045"/>
      <c r="E141" s="174"/>
      <c r="F141" s="173"/>
      <c r="G141" s="31"/>
      <c r="H141" s="588"/>
      <c r="I141" s="587"/>
      <c r="J141" s="213"/>
      <c r="K141" s="96" t="s">
        <v>49</v>
      </c>
      <c r="L141" s="97" t="s">
        <v>179</v>
      </c>
      <c r="M141" s="97" t="s">
        <v>229</v>
      </c>
      <c r="N141" s="1028"/>
      <c r="O141" s="544"/>
    </row>
    <row r="142" spans="1:16" ht="15.75" customHeight="1" x14ac:dyDescent="0.2">
      <c r="A142" s="917"/>
      <c r="B142" s="918"/>
      <c r="C142" s="915"/>
      <c r="D142" s="1045"/>
      <c r="E142" s="295"/>
      <c r="F142" s="280"/>
      <c r="G142" s="175"/>
      <c r="H142" s="589"/>
      <c r="I142" s="590"/>
      <c r="J142" s="212"/>
      <c r="K142" s="415" t="s">
        <v>83</v>
      </c>
      <c r="L142" s="94" t="s">
        <v>181</v>
      </c>
      <c r="M142" s="94" t="s">
        <v>230</v>
      </c>
      <c r="N142" s="581"/>
      <c r="O142" s="95"/>
    </row>
    <row r="143" spans="1:16" ht="15.75" customHeight="1" x14ac:dyDescent="0.2">
      <c r="A143" s="917"/>
      <c r="B143" s="918"/>
      <c r="C143" s="915"/>
      <c r="D143" s="922" t="s">
        <v>65</v>
      </c>
      <c r="E143" s="295"/>
      <c r="F143" s="280"/>
      <c r="G143" s="18" t="s">
        <v>31</v>
      </c>
      <c r="H143" s="591">
        <f>500/3.4528*1000</f>
        <v>144810</v>
      </c>
      <c r="I143" s="400">
        <f>500/3.4528*1000</f>
        <v>144810</v>
      </c>
      <c r="J143" s="244">
        <v>144810</v>
      </c>
      <c r="K143" s="868" t="s">
        <v>48</v>
      </c>
      <c r="L143" s="50">
        <v>0.8</v>
      </c>
      <c r="M143" s="582">
        <v>0.6</v>
      </c>
      <c r="N143" s="1023"/>
      <c r="O143" s="51"/>
    </row>
    <row r="144" spans="1:16" ht="13.5" thickBot="1" x14ac:dyDescent="0.25">
      <c r="A144" s="945"/>
      <c r="B144" s="954"/>
      <c r="C144" s="1043"/>
      <c r="D144" s="952"/>
      <c r="E144" s="133"/>
      <c r="F144" s="137"/>
      <c r="G144" s="248" t="s">
        <v>6</v>
      </c>
      <c r="H144" s="324">
        <f>SUM(H138:H143)</f>
        <v>773285</v>
      </c>
      <c r="I144" s="402">
        <f>SUM(I138:I143)</f>
        <v>1046557</v>
      </c>
      <c r="J144" s="214">
        <f>SUM(J138:J143)</f>
        <v>1046553</v>
      </c>
      <c r="K144" s="1031"/>
      <c r="L144" s="138"/>
      <c r="M144" s="455"/>
      <c r="N144" s="1024"/>
      <c r="O144" s="139"/>
    </row>
    <row r="145" spans="1:32" ht="15" customHeight="1" x14ac:dyDescent="0.2">
      <c r="A145" s="917" t="s">
        <v>5</v>
      </c>
      <c r="B145" s="918" t="s">
        <v>37</v>
      </c>
      <c r="C145" s="915" t="s">
        <v>33</v>
      </c>
      <c r="D145" s="955" t="s">
        <v>165</v>
      </c>
      <c r="E145" s="1030"/>
      <c r="F145" s="889" t="s">
        <v>43</v>
      </c>
      <c r="G145" s="136" t="s">
        <v>86</v>
      </c>
      <c r="H145" s="592">
        <f>45/3.4528*1000</f>
        <v>13033</v>
      </c>
      <c r="I145" s="593">
        <f>45/3.4528*1000</f>
        <v>13033</v>
      </c>
      <c r="J145" s="239">
        <v>13033</v>
      </c>
      <c r="K145" s="416" t="s">
        <v>47</v>
      </c>
      <c r="L145" s="134">
        <v>1</v>
      </c>
      <c r="M145" s="134">
        <v>0.8</v>
      </c>
      <c r="N145" s="454"/>
      <c r="O145" s="135"/>
    </row>
    <row r="146" spans="1:32" ht="15.75" customHeight="1" x14ac:dyDescent="0.2">
      <c r="A146" s="917"/>
      <c r="B146" s="918"/>
      <c r="C146" s="915"/>
      <c r="D146" s="955"/>
      <c r="E146" s="1030"/>
      <c r="F146" s="889"/>
      <c r="G146" s="65" t="s">
        <v>178</v>
      </c>
      <c r="H146" s="240">
        <v>131777</v>
      </c>
      <c r="I146" s="587">
        <f>451220-32009-600-338</f>
        <v>418273</v>
      </c>
      <c r="J146" s="240">
        <v>418269</v>
      </c>
      <c r="K146" s="1038" t="s">
        <v>311</v>
      </c>
      <c r="L146" s="134">
        <v>3.7</v>
      </c>
      <c r="M146" s="134">
        <v>3.7</v>
      </c>
      <c r="N146" s="55"/>
      <c r="O146" s="56"/>
    </row>
    <row r="147" spans="1:32" ht="14.25" customHeight="1" thickBot="1" x14ac:dyDescent="0.25">
      <c r="A147" s="945"/>
      <c r="B147" s="954"/>
      <c r="C147" s="916"/>
      <c r="D147" s="956"/>
      <c r="E147" s="1026"/>
      <c r="F147" s="927"/>
      <c r="G147" s="68" t="s">
        <v>6</v>
      </c>
      <c r="H147" s="401">
        <f>SUM(H145:H146)</f>
        <v>144810</v>
      </c>
      <c r="I147" s="403">
        <f>SUM(I145:I146)</f>
        <v>431306</v>
      </c>
      <c r="J147" s="216">
        <f>SUM(J145:J146)</f>
        <v>431302</v>
      </c>
      <c r="K147" s="1039"/>
      <c r="L147" s="66"/>
      <c r="M147" s="256"/>
      <c r="N147" s="66"/>
      <c r="O147" s="67"/>
    </row>
    <row r="148" spans="1:32" ht="26.25" customHeight="1" x14ac:dyDescent="0.2">
      <c r="A148" s="944" t="s">
        <v>5</v>
      </c>
      <c r="B148" s="953" t="s">
        <v>37</v>
      </c>
      <c r="C148" s="914" t="s">
        <v>37</v>
      </c>
      <c r="D148" s="613" t="s">
        <v>192</v>
      </c>
      <c r="E148" s="614"/>
      <c r="F148" s="615" t="s">
        <v>43</v>
      </c>
      <c r="G148" s="32" t="s">
        <v>31</v>
      </c>
      <c r="H148" s="503">
        <f>182/3.4528*1000</f>
        <v>52711</v>
      </c>
      <c r="I148" s="595">
        <f>52711+28897+32954</f>
        <v>114562</v>
      </c>
      <c r="J148" s="211">
        <v>114562</v>
      </c>
      <c r="K148" s="630" t="s">
        <v>136</v>
      </c>
      <c r="L148" s="631">
        <v>21</v>
      </c>
      <c r="M148" s="632">
        <v>17</v>
      </c>
      <c r="N148" s="836" t="s">
        <v>263</v>
      </c>
      <c r="O148" s="837"/>
    </row>
    <row r="149" spans="1:32" ht="149.25" customHeight="1" x14ac:dyDescent="0.2">
      <c r="A149" s="917"/>
      <c r="B149" s="918"/>
      <c r="C149" s="915"/>
      <c r="D149" s="128"/>
      <c r="E149" s="663"/>
      <c r="F149" s="286"/>
      <c r="G149" s="118"/>
      <c r="H149" s="664"/>
      <c r="I149" s="665"/>
      <c r="J149" s="666"/>
      <c r="K149" s="667"/>
      <c r="L149" s="628"/>
      <c r="M149" s="629"/>
      <c r="N149" s="834" t="s">
        <v>312</v>
      </c>
      <c r="O149" s="835"/>
    </row>
    <row r="150" spans="1:32" ht="42" customHeight="1" x14ac:dyDescent="0.2">
      <c r="A150" s="917"/>
      <c r="B150" s="918"/>
      <c r="C150" s="915"/>
      <c r="D150" s="779" t="s">
        <v>275</v>
      </c>
      <c r="E150" s="789"/>
      <c r="F150" s="596" t="s">
        <v>53</v>
      </c>
      <c r="G150" s="79" t="s">
        <v>178</v>
      </c>
      <c r="H150" s="787">
        <f>30/3.4528*1000</f>
        <v>8689</v>
      </c>
      <c r="I150" s="590">
        <v>0</v>
      </c>
      <c r="J150" s="788">
        <v>0</v>
      </c>
      <c r="K150" s="790" t="s">
        <v>122</v>
      </c>
      <c r="L150" s="791">
        <v>1</v>
      </c>
      <c r="M150" s="792">
        <v>0</v>
      </c>
      <c r="N150" s="791"/>
      <c r="O150" s="793" t="s">
        <v>251</v>
      </c>
    </row>
    <row r="151" spans="1:32" ht="21.75" customHeight="1" thickBot="1" x14ac:dyDescent="0.25">
      <c r="A151" s="945"/>
      <c r="B151" s="954"/>
      <c r="C151" s="916"/>
      <c r="D151" s="643"/>
      <c r="E151" s="661"/>
      <c r="F151" s="652"/>
      <c r="G151" s="248" t="s">
        <v>6</v>
      </c>
      <c r="H151" s="662">
        <f>SUM(H148:H150)</f>
        <v>61400</v>
      </c>
      <c r="I151" s="402">
        <f>SUM(I148:I150)</f>
        <v>114562</v>
      </c>
      <c r="J151" s="214">
        <f t="shared" ref="J151" si="5">SUM(J148:J150)</f>
        <v>114562</v>
      </c>
      <c r="K151" s="57"/>
      <c r="L151" s="58"/>
      <c r="M151" s="567"/>
      <c r="N151" s="58"/>
      <c r="O151" s="655"/>
    </row>
    <row r="152" spans="1:32" ht="18.75" customHeight="1" x14ac:dyDescent="0.2">
      <c r="A152" s="944" t="s">
        <v>5</v>
      </c>
      <c r="B152" s="953" t="s">
        <v>37</v>
      </c>
      <c r="C152" s="914" t="s">
        <v>39</v>
      </c>
      <c r="D152" s="928" t="s">
        <v>46</v>
      </c>
      <c r="E152" s="1025"/>
      <c r="F152" s="926" t="s">
        <v>43</v>
      </c>
      <c r="G152" s="32" t="s">
        <v>178</v>
      </c>
      <c r="H152" s="503">
        <f>317.7/3.4528*1000</f>
        <v>92012</v>
      </c>
      <c r="I152" s="595">
        <f>317.7/3.4528*1000</f>
        <v>92012</v>
      </c>
      <c r="J152" s="211">
        <v>92012</v>
      </c>
      <c r="K152" s="315" t="s">
        <v>70</v>
      </c>
      <c r="L152" s="177">
        <v>14</v>
      </c>
      <c r="M152" s="177">
        <v>13</v>
      </c>
      <c r="N152" s="177"/>
      <c r="O152" s="1019"/>
    </row>
    <row r="153" spans="1:32" ht="15.75" customHeight="1" thickBot="1" x14ac:dyDescent="0.25">
      <c r="A153" s="945"/>
      <c r="B153" s="954"/>
      <c r="C153" s="916"/>
      <c r="D153" s="956"/>
      <c r="E153" s="1026"/>
      <c r="F153" s="927"/>
      <c r="G153" s="68" t="s">
        <v>6</v>
      </c>
      <c r="H153" s="215">
        <f>SUM(H152:H152)</f>
        <v>92012</v>
      </c>
      <c r="I153" s="403">
        <f>SUM(I152:I152)</f>
        <v>92012</v>
      </c>
      <c r="J153" s="216">
        <f>SUM(J152:J152)</f>
        <v>92012</v>
      </c>
      <c r="K153" s="99"/>
      <c r="L153" s="66"/>
      <c r="M153" s="66"/>
      <c r="N153" s="66"/>
      <c r="O153" s="1020"/>
    </row>
    <row r="154" spans="1:32" ht="14.25" customHeight="1" thickBot="1" x14ac:dyDescent="0.25">
      <c r="A154" s="78" t="s">
        <v>5</v>
      </c>
      <c r="B154" s="8" t="s">
        <v>37</v>
      </c>
      <c r="C154" s="909" t="s">
        <v>8</v>
      </c>
      <c r="D154" s="909"/>
      <c r="E154" s="909"/>
      <c r="F154" s="909"/>
      <c r="G154" s="910"/>
      <c r="H154" s="217">
        <f>SUM(H153,H147,H144,H137,H151)</f>
        <v>1421947</v>
      </c>
      <c r="I154" s="217">
        <f t="shared" ref="I154:J154" si="6">SUM(I153,I147,I144,I137,I151)</f>
        <v>2793441</v>
      </c>
      <c r="J154" s="217">
        <f t="shared" si="6"/>
        <v>2791859</v>
      </c>
      <c r="K154" s="963"/>
      <c r="L154" s="937"/>
      <c r="M154" s="937"/>
      <c r="N154" s="937"/>
      <c r="O154" s="938"/>
    </row>
    <row r="155" spans="1:32" ht="14.25" customHeight="1" thickBot="1" x14ac:dyDescent="0.25">
      <c r="A155" s="78" t="s">
        <v>5</v>
      </c>
      <c r="B155" s="1006" t="s">
        <v>9</v>
      </c>
      <c r="C155" s="1007"/>
      <c r="D155" s="1007"/>
      <c r="E155" s="1007"/>
      <c r="F155" s="1007"/>
      <c r="G155" s="1008"/>
      <c r="H155" s="218">
        <f>H154+H129+H87+H74</f>
        <v>12375331</v>
      </c>
      <c r="I155" s="404">
        <f>I154+I129+I87+I74</f>
        <v>13382145</v>
      </c>
      <c r="J155" s="219">
        <f>J154+J129+J87+J74</f>
        <v>13492891</v>
      </c>
      <c r="K155" s="1009"/>
      <c r="L155" s="1010"/>
      <c r="M155" s="1010"/>
      <c r="N155" s="1010"/>
      <c r="O155" s="1011"/>
    </row>
    <row r="156" spans="1:32" ht="14.25" customHeight="1" thickBot="1" x14ac:dyDescent="0.25">
      <c r="A156" s="46" t="s">
        <v>41</v>
      </c>
      <c r="B156" s="1012" t="s">
        <v>75</v>
      </c>
      <c r="C156" s="1013"/>
      <c r="D156" s="1013"/>
      <c r="E156" s="1013"/>
      <c r="F156" s="1013"/>
      <c r="G156" s="1014"/>
      <c r="H156" s="220">
        <f>H155</f>
        <v>12375331</v>
      </c>
      <c r="I156" s="405">
        <f>I155</f>
        <v>13382145</v>
      </c>
      <c r="J156" s="221">
        <f t="shared" ref="J156" si="7">SUM(J155)</f>
        <v>13492891</v>
      </c>
      <c r="K156" s="1015"/>
      <c r="L156" s="1016"/>
      <c r="M156" s="1016"/>
      <c r="N156" s="1016"/>
      <c r="O156" s="1017"/>
    </row>
    <row r="157" spans="1:32" s="17" customFormat="1" ht="12.75" customHeight="1" x14ac:dyDescent="0.2">
      <c r="A157" s="1002" t="s">
        <v>314</v>
      </c>
      <c r="B157" s="1002"/>
      <c r="C157" s="1002"/>
      <c r="D157" s="1002"/>
      <c r="E157" s="1002"/>
      <c r="F157" s="1002"/>
      <c r="G157" s="1002"/>
      <c r="H157" s="1002"/>
      <c r="I157" s="1002"/>
      <c r="J157" s="1002"/>
      <c r="K157" s="1002"/>
      <c r="L157" s="1002"/>
      <c r="M157" s="1002"/>
      <c r="N157" s="1002"/>
      <c r="O157" s="1002"/>
      <c r="P157" s="16"/>
      <c r="Q157" s="16"/>
      <c r="R157" s="16"/>
      <c r="S157" s="16"/>
      <c r="T157" s="16"/>
      <c r="U157" s="16"/>
      <c r="V157" s="16"/>
      <c r="W157" s="16"/>
      <c r="X157" s="16"/>
      <c r="Y157" s="16"/>
      <c r="Z157" s="16"/>
      <c r="AA157" s="16"/>
      <c r="AB157" s="16"/>
      <c r="AC157" s="16"/>
      <c r="AD157" s="16"/>
      <c r="AE157" s="16"/>
      <c r="AF157" s="16"/>
    </row>
    <row r="158" spans="1:32" s="17" customFormat="1" ht="12.75" customHeight="1" x14ac:dyDescent="0.2">
      <c r="A158" s="406" t="s">
        <v>315</v>
      </c>
      <c r="B158" s="406"/>
      <c r="C158" s="406"/>
      <c r="D158" s="406"/>
      <c r="E158" s="406"/>
      <c r="F158" s="406"/>
      <c r="G158" s="406"/>
      <c r="H158" s="406"/>
      <c r="I158" s="406"/>
      <c r="J158" s="406"/>
      <c r="K158" s="406"/>
      <c r="L158" s="406"/>
      <c r="M158" s="406"/>
      <c r="N158" s="406"/>
      <c r="O158" s="406"/>
      <c r="P158" s="16"/>
      <c r="Q158" s="16"/>
      <c r="R158" s="16"/>
      <c r="S158" s="16"/>
      <c r="T158" s="16"/>
      <c r="U158" s="16"/>
      <c r="V158" s="16"/>
      <c r="W158" s="16"/>
      <c r="X158" s="16"/>
      <c r="Y158" s="16"/>
      <c r="Z158" s="16"/>
      <c r="AA158" s="16"/>
      <c r="AB158" s="16"/>
      <c r="AC158" s="16"/>
      <c r="AD158" s="16"/>
      <c r="AE158" s="16"/>
      <c r="AF158" s="16"/>
    </row>
    <row r="159" spans="1:32" s="17" customFormat="1" ht="12.75" customHeight="1" x14ac:dyDescent="0.2">
      <c r="A159" s="349"/>
      <c r="B159" s="349"/>
      <c r="C159" s="349"/>
      <c r="D159" s="349"/>
      <c r="E159" s="349"/>
      <c r="F159" s="349"/>
      <c r="G159" s="349"/>
      <c r="H159" s="349"/>
      <c r="I159" s="349"/>
      <c r="J159" s="349"/>
      <c r="K159" s="349"/>
      <c r="L159" s="349"/>
      <c r="M159" s="349"/>
      <c r="N159" s="349"/>
      <c r="O159" s="349"/>
      <c r="P159" s="16"/>
      <c r="Q159" s="16"/>
      <c r="R159" s="16"/>
      <c r="S159" s="16"/>
      <c r="T159" s="16"/>
      <c r="U159" s="16"/>
      <c r="V159" s="16"/>
      <c r="W159" s="16"/>
      <c r="X159" s="16"/>
      <c r="Y159" s="16"/>
      <c r="Z159" s="16"/>
      <c r="AA159" s="16"/>
      <c r="AB159" s="16"/>
      <c r="AC159" s="16"/>
      <c r="AD159" s="16"/>
      <c r="AE159" s="16"/>
      <c r="AF159" s="16"/>
    </row>
    <row r="160" spans="1:32" s="17" customFormat="1" ht="15" customHeight="1" thickBot="1" x14ac:dyDescent="0.25">
      <c r="A160" s="1018" t="s">
        <v>12</v>
      </c>
      <c r="B160" s="1018"/>
      <c r="C160" s="1018"/>
      <c r="D160" s="1018"/>
      <c r="E160" s="1018"/>
      <c r="F160" s="1018"/>
      <c r="G160" s="1018"/>
      <c r="H160" s="1018"/>
      <c r="I160" s="1018"/>
      <c r="J160" s="1018"/>
      <c r="K160" s="4"/>
      <c r="L160" s="4"/>
      <c r="M160" s="4"/>
      <c r="N160" s="4"/>
      <c r="O160" s="4"/>
      <c r="P160" s="16"/>
      <c r="Q160" s="16"/>
      <c r="R160" s="16"/>
      <c r="S160" s="16"/>
      <c r="T160" s="16"/>
      <c r="U160" s="16"/>
      <c r="V160" s="16"/>
      <c r="W160" s="16"/>
      <c r="X160" s="16"/>
      <c r="Y160" s="16"/>
      <c r="Z160" s="16"/>
      <c r="AA160" s="16"/>
      <c r="AB160" s="16"/>
      <c r="AC160" s="16"/>
      <c r="AD160" s="16"/>
      <c r="AE160" s="16"/>
      <c r="AF160" s="16"/>
    </row>
    <row r="161" spans="1:15" ht="51" customHeight="1" thickBot="1" x14ac:dyDescent="0.25">
      <c r="A161" s="1003" t="s">
        <v>10</v>
      </c>
      <c r="B161" s="1004"/>
      <c r="C161" s="1004"/>
      <c r="D161" s="1004"/>
      <c r="E161" s="1004"/>
      <c r="F161" s="1004"/>
      <c r="G161" s="1005"/>
      <c r="H161" s="157" t="s">
        <v>138</v>
      </c>
      <c r="I161" s="157" t="s">
        <v>138</v>
      </c>
      <c r="J161" s="150" t="s">
        <v>102</v>
      </c>
    </row>
    <row r="162" spans="1:15" ht="14.25" customHeight="1" x14ac:dyDescent="0.2">
      <c r="A162" s="996" t="s">
        <v>13</v>
      </c>
      <c r="B162" s="997"/>
      <c r="C162" s="997"/>
      <c r="D162" s="997"/>
      <c r="E162" s="997"/>
      <c r="F162" s="997"/>
      <c r="G162" s="998"/>
      <c r="H162" s="190">
        <f>H163+H169+H170</f>
        <v>9629733</v>
      </c>
      <c r="I162" s="190">
        <f t="shared" ref="I162:J162" si="8">I163+I169+I170</f>
        <v>10636547</v>
      </c>
      <c r="J162" s="190">
        <f t="shared" si="8"/>
        <v>10189744</v>
      </c>
    </row>
    <row r="163" spans="1:15" ht="14.25" customHeight="1" x14ac:dyDescent="0.2">
      <c r="A163" s="999" t="s">
        <v>132</v>
      </c>
      <c r="B163" s="1000"/>
      <c r="C163" s="1000"/>
      <c r="D163" s="1000"/>
      <c r="E163" s="1000"/>
      <c r="F163" s="1000"/>
      <c r="G163" s="1001"/>
      <c r="H163" s="191">
        <f>SUM(H164:H168)</f>
        <v>9305051</v>
      </c>
      <c r="I163" s="191">
        <f>SUM(I164:I168)</f>
        <v>10254465</v>
      </c>
      <c r="J163" s="191">
        <f t="shared" ref="J163" si="9">SUM(J164:J168)</f>
        <v>10085719</v>
      </c>
    </row>
    <row r="164" spans="1:15" x14ac:dyDescent="0.2">
      <c r="A164" s="993" t="s">
        <v>25</v>
      </c>
      <c r="B164" s="994"/>
      <c r="C164" s="994"/>
      <c r="D164" s="994"/>
      <c r="E164" s="994"/>
      <c r="F164" s="994"/>
      <c r="G164" s="995"/>
      <c r="H164" s="192">
        <f>SUMIF(G15:G156,"SB",H15:H156)</f>
        <v>5325214</v>
      </c>
      <c r="I164" s="192">
        <f>SUMIF(G15:G156,"SB",I15:I156)</f>
        <v>5353519</v>
      </c>
      <c r="J164" s="192">
        <f>SUMIF(G15:G156,"SB",J15:J156)</f>
        <v>5289764</v>
      </c>
      <c r="K164" s="37"/>
    </row>
    <row r="165" spans="1:15" x14ac:dyDescent="0.2">
      <c r="A165" s="990" t="s">
        <v>26</v>
      </c>
      <c r="B165" s="991"/>
      <c r="C165" s="991"/>
      <c r="D165" s="991"/>
      <c r="E165" s="991"/>
      <c r="F165" s="991"/>
      <c r="G165" s="992"/>
      <c r="H165" s="192">
        <f>SUMIF(G15:G156,"SB(P)",H15:H156)</f>
        <v>120829</v>
      </c>
      <c r="I165" s="192">
        <f>SUMIF(G15:G156,"SB(P)",I15:I156)</f>
        <v>120829</v>
      </c>
      <c r="J165" s="192">
        <f>SUMIF(G15:G156,"SB(P)",J15:J156)</f>
        <v>120823</v>
      </c>
      <c r="K165" s="37"/>
    </row>
    <row r="166" spans="1:15" x14ac:dyDescent="0.2">
      <c r="A166" s="990" t="s">
        <v>87</v>
      </c>
      <c r="B166" s="991"/>
      <c r="C166" s="991"/>
      <c r="D166" s="991"/>
      <c r="E166" s="991"/>
      <c r="F166" s="991"/>
      <c r="G166" s="992"/>
      <c r="H166" s="192">
        <f>SUMIF(G15:G156,"SB(VR)",H15:H156)</f>
        <v>1084598</v>
      </c>
      <c r="I166" s="192">
        <f>SUMIF(G15:G156,"SB(VR)",I15:I156)</f>
        <v>1084598</v>
      </c>
      <c r="J166" s="192">
        <f>SUMIF(G15:G156,"SB(VR)",J15:J156)</f>
        <v>1041505</v>
      </c>
      <c r="K166" s="37"/>
    </row>
    <row r="167" spans="1:15" x14ac:dyDescent="0.2">
      <c r="A167" s="990" t="s">
        <v>173</v>
      </c>
      <c r="B167" s="991"/>
      <c r="C167" s="991"/>
      <c r="D167" s="991"/>
      <c r="E167" s="991"/>
      <c r="F167" s="991"/>
      <c r="G167" s="992"/>
      <c r="H167" s="192">
        <f>SUMIF(G16:G156,"SB(L)",H16:H156)</f>
        <v>8974</v>
      </c>
      <c r="I167" s="192">
        <f>SUMIF(G16:G156,"SB(L)",I16:I156)</f>
        <v>8974</v>
      </c>
      <c r="J167" s="192">
        <f>SUMIF(G14:G154,"SB(L)",J14:J154)</f>
        <v>8974</v>
      </c>
    </row>
    <row r="168" spans="1:15" x14ac:dyDescent="0.2">
      <c r="A168" s="978" t="s">
        <v>182</v>
      </c>
      <c r="B168" s="979"/>
      <c r="C168" s="979"/>
      <c r="D168" s="979"/>
      <c r="E168" s="979"/>
      <c r="F168" s="979"/>
      <c r="G168" s="980"/>
      <c r="H168" s="193">
        <f>SUMIF(G16:G156,"SB(KPP)",H16:H156)</f>
        <v>2765436</v>
      </c>
      <c r="I168" s="193">
        <f>SUMIF(G16:G156,"SB(KPP)",I16:I156)</f>
        <v>3686545</v>
      </c>
      <c r="J168" s="193">
        <f>SUMIF(G16:G156,"SB(KPP)",J16:J156)</f>
        <v>3624653</v>
      </c>
      <c r="K168" s="37"/>
    </row>
    <row r="169" spans="1:15" x14ac:dyDescent="0.2">
      <c r="A169" s="987" t="s">
        <v>90</v>
      </c>
      <c r="B169" s="988"/>
      <c r="C169" s="988"/>
      <c r="D169" s="988"/>
      <c r="E169" s="988"/>
      <c r="F169" s="988"/>
      <c r="G169" s="989"/>
      <c r="H169" s="181">
        <f>SUMIF(G15:G156,"SB(VRL)",H15:H156)</f>
        <v>72307</v>
      </c>
      <c r="I169" s="181">
        <f>SUMIF(G15:G156,"SB(VRL)",I15:I156)</f>
        <v>72307</v>
      </c>
      <c r="J169" s="181">
        <f>SUMIF(G15:G157,"SB(VRL)",J15:J157)</f>
        <v>10474</v>
      </c>
      <c r="K169" s="37"/>
    </row>
    <row r="170" spans="1:15" x14ac:dyDescent="0.2">
      <c r="A170" s="987" t="s">
        <v>172</v>
      </c>
      <c r="B170" s="988"/>
      <c r="C170" s="988"/>
      <c r="D170" s="988"/>
      <c r="E170" s="988"/>
      <c r="F170" s="988"/>
      <c r="G170" s="989"/>
      <c r="H170" s="181">
        <f>SUMIF(G15:G157,"SB(ŽPL)",H15:H157)</f>
        <v>252375</v>
      </c>
      <c r="I170" s="181">
        <f>SUMIF(G15:G157,"SB(ŽPL)",I15:I157)</f>
        <v>309775</v>
      </c>
      <c r="J170" s="181">
        <f>SUMIF(G16:G160,"SB(ŽPL)",J16:J160)</f>
        <v>93551</v>
      </c>
      <c r="K170" s="37"/>
    </row>
    <row r="171" spans="1:15" x14ac:dyDescent="0.2">
      <c r="A171" s="981" t="s">
        <v>14</v>
      </c>
      <c r="B171" s="982"/>
      <c r="C171" s="982"/>
      <c r="D171" s="982"/>
      <c r="E171" s="982"/>
      <c r="F171" s="982"/>
      <c r="G171" s="983"/>
      <c r="H171" s="194">
        <f>H172+H173+H174+H175</f>
        <v>2745598</v>
      </c>
      <c r="I171" s="194">
        <f>I172+I173+I174+I175</f>
        <v>2745598</v>
      </c>
      <c r="J171" s="194">
        <f t="shared" ref="J171" si="10">J172+J173+J174+J175</f>
        <v>3303147</v>
      </c>
    </row>
    <row r="172" spans="1:15" x14ac:dyDescent="0.2">
      <c r="A172" s="984" t="s">
        <v>27</v>
      </c>
      <c r="B172" s="985"/>
      <c r="C172" s="985"/>
      <c r="D172" s="985"/>
      <c r="E172" s="985"/>
      <c r="F172" s="985"/>
      <c r="G172" s="986"/>
      <c r="H172" s="193">
        <f>SUMIF(G15:G156,"ES",H15:H156)</f>
        <v>1981696</v>
      </c>
      <c r="I172" s="193">
        <f>SUMIF(G15:G156,"ES",I15:I156)</f>
        <v>1981696</v>
      </c>
      <c r="J172" s="193">
        <f>SUMIF(G15:G156,"ES",J15:J156)</f>
        <v>2198188</v>
      </c>
      <c r="K172" s="37"/>
    </row>
    <row r="173" spans="1:15" x14ac:dyDescent="0.2">
      <c r="A173" s="978" t="s">
        <v>28</v>
      </c>
      <c r="B173" s="979"/>
      <c r="C173" s="979"/>
      <c r="D173" s="979"/>
      <c r="E173" s="979"/>
      <c r="F173" s="979"/>
      <c r="G173" s="980"/>
      <c r="H173" s="193">
        <f>SUMIF(G15:G156,"KVJUD",H15:H156)</f>
        <v>516074</v>
      </c>
      <c r="I173" s="193">
        <f>SUMIF(G15:G156,"KVJUD",I15:I156)</f>
        <v>516074</v>
      </c>
      <c r="J173" s="193">
        <f>SUMIF(G15:G156,"KVJUD",J15:J156)</f>
        <v>1023228</v>
      </c>
      <c r="K173" s="41"/>
      <c r="L173" s="5"/>
      <c r="M173" s="5"/>
      <c r="N173" s="5"/>
      <c r="O173" s="5"/>
    </row>
    <row r="174" spans="1:15" x14ac:dyDescent="0.2">
      <c r="A174" s="975" t="s">
        <v>29</v>
      </c>
      <c r="B174" s="976"/>
      <c r="C174" s="976"/>
      <c r="D174" s="976"/>
      <c r="E174" s="976"/>
      <c r="F174" s="976"/>
      <c r="G174" s="977"/>
      <c r="H174" s="193">
        <f>SUMIF(G15:G156,"LRVB",H15:H156)</f>
        <v>0</v>
      </c>
      <c r="I174" s="193">
        <f>SUMIF(H15:H156,"LRVB",I15:I156)</f>
        <v>0</v>
      </c>
      <c r="J174" s="193">
        <f>SUMIF(G15:G156,"LRVB",J15:J156)</f>
        <v>0</v>
      </c>
      <c r="K174" s="41"/>
      <c r="L174" s="5"/>
      <c r="M174" s="5"/>
      <c r="N174" s="5"/>
      <c r="O174" s="5"/>
    </row>
    <row r="175" spans="1:15" x14ac:dyDescent="0.2">
      <c r="A175" s="975" t="s">
        <v>30</v>
      </c>
      <c r="B175" s="976"/>
      <c r="C175" s="976"/>
      <c r="D175" s="976"/>
      <c r="E175" s="976"/>
      <c r="F175" s="976"/>
      <c r="G175" s="977"/>
      <c r="H175" s="193">
        <f>SUMIF(G15:G156,"Kt",H15:H156)</f>
        <v>247828</v>
      </c>
      <c r="I175" s="193">
        <f>SUMIF(G15:G156,"Kt",I15:I156)</f>
        <v>247828</v>
      </c>
      <c r="J175" s="193">
        <f>SUMIF(G15:G156,"Kt",J15:J156)</f>
        <v>81731</v>
      </c>
      <c r="K175" s="41"/>
      <c r="L175" s="5"/>
      <c r="M175" s="5"/>
      <c r="N175" s="5"/>
      <c r="O175" s="5"/>
    </row>
    <row r="176" spans="1:15" ht="13.5" thickBot="1" x14ac:dyDescent="0.25">
      <c r="A176" s="972" t="s">
        <v>15</v>
      </c>
      <c r="B176" s="973"/>
      <c r="C176" s="973"/>
      <c r="D176" s="973"/>
      <c r="E176" s="973"/>
      <c r="F176" s="973"/>
      <c r="G176" s="974"/>
      <c r="H176" s="195">
        <f>H171+H162</f>
        <v>12375331</v>
      </c>
      <c r="I176" s="195">
        <f>I171+I162</f>
        <v>13382145</v>
      </c>
      <c r="J176" s="195">
        <f>J171+J162</f>
        <v>13492891</v>
      </c>
      <c r="K176" s="5"/>
      <c r="L176" s="5"/>
      <c r="M176" s="5"/>
      <c r="N176" s="5"/>
      <c r="O176" s="5"/>
    </row>
    <row r="178" spans="1:15" x14ac:dyDescent="0.2">
      <c r="G178" s="151"/>
      <c r="J178" s="37"/>
      <c r="K178" s="37"/>
    </row>
    <row r="179" spans="1:15" x14ac:dyDescent="0.2">
      <c r="K179" s="263"/>
    </row>
    <row r="180" spans="1:15" x14ac:dyDescent="0.2">
      <c r="H180" s="263"/>
      <c r="I180" s="263"/>
    </row>
    <row r="181" spans="1:15" x14ac:dyDescent="0.2">
      <c r="J181" s="37"/>
    </row>
    <row r="182" spans="1:15" x14ac:dyDescent="0.2">
      <c r="A182" s="5"/>
      <c r="B182" s="5"/>
      <c r="C182" s="5"/>
      <c r="D182" s="5"/>
      <c r="E182" s="5"/>
      <c r="F182" s="5"/>
      <c r="G182" s="5"/>
      <c r="H182" s="5"/>
      <c r="I182" s="5"/>
      <c r="J182" s="5"/>
      <c r="K182" s="5"/>
      <c r="L182" s="5"/>
      <c r="M182" s="5"/>
      <c r="N182" s="5"/>
      <c r="O182" s="5"/>
    </row>
    <row r="183" spans="1:15" x14ac:dyDescent="0.2">
      <c r="A183" s="5"/>
      <c r="B183" s="5"/>
      <c r="C183" s="5"/>
      <c r="D183" s="5"/>
      <c r="E183" s="5"/>
      <c r="F183" s="5"/>
      <c r="G183" s="5"/>
      <c r="H183" s="5"/>
      <c r="I183" s="5"/>
      <c r="J183" s="5"/>
      <c r="K183" s="5"/>
      <c r="L183" s="5"/>
      <c r="M183" s="5"/>
      <c r="N183" s="5"/>
      <c r="O183" s="5"/>
    </row>
  </sheetData>
  <mergeCells count="229">
    <mergeCell ref="A28:A30"/>
    <mergeCell ref="B28:B30"/>
    <mergeCell ref="N23:O23"/>
    <mergeCell ref="A1:O1"/>
    <mergeCell ref="A7:O7"/>
    <mergeCell ref="F4:F6"/>
    <mergeCell ref="G4:G6"/>
    <mergeCell ref="A8:O8"/>
    <mergeCell ref="B13:O13"/>
    <mergeCell ref="K24:K25"/>
    <mergeCell ref="D17:D18"/>
    <mergeCell ref="C14:O14"/>
    <mergeCell ref="A16:A18"/>
    <mergeCell ref="B16:B18"/>
    <mergeCell ref="C16:C18"/>
    <mergeCell ref="H9:J9"/>
    <mergeCell ref="B10:G10"/>
    <mergeCell ref="C28:C30"/>
    <mergeCell ref="D28:D30"/>
    <mergeCell ref="H10:J10"/>
    <mergeCell ref="H11:J11"/>
    <mergeCell ref="H12:J12"/>
    <mergeCell ref="N17:N18"/>
    <mergeCell ref="O17:O18"/>
    <mergeCell ref="A33:A34"/>
    <mergeCell ref="B33:B34"/>
    <mergeCell ref="C33:C34"/>
    <mergeCell ref="D33:D34"/>
    <mergeCell ref="A52:A54"/>
    <mergeCell ref="B52:B54"/>
    <mergeCell ref="A36:A37"/>
    <mergeCell ref="B36:B37"/>
    <mergeCell ref="C36:C37"/>
    <mergeCell ref="D36:D37"/>
    <mergeCell ref="A42:A44"/>
    <mergeCell ref="B42:B44"/>
    <mergeCell ref="C42:C44"/>
    <mergeCell ref="D42:D44"/>
    <mergeCell ref="B50:B51"/>
    <mergeCell ref="C50:C51"/>
    <mergeCell ref="D50:D51"/>
    <mergeCell ref="A50:A51"/>
    <mergeCell ref="A2:O2"/>
    <mergeCell ref="L3:O3"/>
    <mergeCell ref="A4:A6"/>
    <mergeCell ref="B4:B6"/>
    <mergeCell ref="C4:C6"/>
    <mergeCell ref="D4:D6"/>
    <mergeCell ref="E4:E6"/>
    <mergeCell ref="K5:K6"/>
    <mergeCell ref="H4:J4"/>
    <mergeCell ref="K4:M4"/>
    <mergeCell ref="N4:N6"/>
    <mergeCell ref="O4:O6"/>
    <mergeCell ref="H5:H6"/>
    <mergeCell ref="I5:I6"/>
    <mergeCell ref="J5:J6"/>
    <mergeCell ref="L5:L6"/>
    <mergeCell ref="M5:M6"/>
    <mergeCell ref="A117:A119"/>
    <mergeCell ref="A71:A73"/>
    <mergeCell ref="K71:K72"/>
    <mergeCell ref="A145:A147"/>
    <mergeCell ref="A104:A107"/>
    <mergeCell ref="B104:B107"/>
    <mergeCell ref="C65:C67"/>
    <mergeCell ref="D65:D67"/>
    <mergeCell ref="E68:E69"/>
    <mergeCell ref="D117:D119"/>
    <mergeCell ref="E91:E93"/>
    <mergeCell ref="D138:D139"/>
    <mergeCell ref="K146:K147"/>
    <mergeCell ref="D90:D91"/>
    <mergeCell ref="D121:D123"/>
    <mergeCell ref="A138:A144"/>
    <mergeCell ref="B138:B144"/>
    <mergeCell ref="C138:C144"/>
    <mergeCell ref="D140:D142"/>
    <mergeCell ref="A68:A69"/>
    <mergeCell ref="B68:B69"/>
    <mergeCell ref="E71:E73"/>
    <mergeCell ref="F71:F73"/>
    <mergeCell ref="D85:D86"/>
    <mergeCell ref="A114:A116"/>
    <mergeCell ref="B114:B116"/>
    <mergeCell ref="K154:O154"/>
    <mergeCell ref="C148:C151"/>
    <mergeCell ref="A152:A153"/>
    <mergeCell ref="O152:O153"/>
    <mergeCell ref="N133:N134"/>
    <mergeCell ref="B145:B147"/>
    <mergeCell ref="N143:N144"/>
    <mergeCell ref="C152:C153"/>
    <mergeCell ref="D152:D153"/>
    <mergeCell ref="E152:E153"/>
    <mergeCell ref="F152:F153"/>
    <mergeCell ref="B148:B151"/>
    <mergeCell ref="C145:C147"/>
    <mergeCell ref="N140:N141"/>
    <mergeCell ref="K133:K134"/>
    <mergeCell ref="A148:A151"/>
    <mergeCell ref="B152:B153"/>
    <mergeCell ref="C154:G154"/>
    <mergeCell ref="F145:F147"/>
    <mergeCell ref="D145:D147"/>
    <mergeCell ref="E145:E147"/>
    <mergeCell ref="K143:K144"/>
    <mergeCell ref="A164:G164"/>
    <mergeCell ref="A165:G165"/>
    <mergeCell ref="A162:G162"/>
    <mergeCell ref="A163:G163"/>
    <mergeCell ref="A157:O157"/>
    <mergeCell ref="A161:G161"/>
    <mergeCell ref="B155:G155"/>
    <mergeCell ref="K155:O155"/>
    <mergeCell ref="B156:G156"/>
    <mergeCell ref="K156:O156"/>
    <mergeCell ref="A160:J160"/>
    <mergeCell ref="A176:G176"/>
    <mergeCell ref="A174:G174"/>
    <mergeCell ref="A175:G175"/>
    <mergeCell ref="A173:G173"/>
    <mergeCell ref="A171:G171"/>
    <mergeCell ref="A172:G172"/>
    <mergeCell ref="A169:G169"/>
    <mergeCell ref="A166:G166"/>
    <mergeCell ref="A167:G167"/>
    <mergeCell ref="A170:G170"/>
    <mergeCell ref="A168:G168"/>
    <mergeCell ref="D143:D144"/>
    <mergeCell ref="B71:B73"/>
    <mergeCell ref="C74:G74"/>
    <mergeCell ref="B99:B103"/>
    <mergeCell ref="D114:D116"/>
    <mergeCell ref="F110:F112"/>
    <mergeCell ref="C104:C107"/>
    <mergeCell ref="C99:C103"/>
    <mergeCell ref="B117:B119"/>
    <mergeCell ref="C75:O75"/>
    <mergeCell ref="D76:D78"/>
    <mergeCell ref="K129:O129"/>
    <mergeCell ref="N121:N123"/>
    <mergeCell ref="O121:O123"/>
    <mergeCell ref="N127:N128"/>
    <mergeCell ref="E117:E119"/>
    <mergeCell ref="F117:F119"/>
    <mergeCell ref="F121:F123"/>
    <mergeCell ref="O115:O116"/>
    <mergeCell ref="E76:E78"/>
    <mergeCell ref="C130:O130"/>
    <mergeCell ref="A65:A67"/>
    <mergeCell ref="B65:B67"/>
    <mergeCell ref="K68:K69"/>
    <mergeCell ref="C68:C69"/>
    <mergeCell ref="C52:C54"/>
    <mergeCell ref="K58:K59"/>
    <mergeCell ref="F68:F69"/>
    <mergeCell ref="D68:D70"/>
    <mergeCell ref="E127:E128"/>
    <mergeCell ref="F127:F128"/>
    <mergeCell ref="D99:D100"/>
    <mergeCell ref="E114:E116"/>
    <mergeCell ref="F114:F116"/>
    <mergeCell ref="K115:K116"/>
    <mergeCell ref="D104:D105"/>
    <mergeCell ref="K87:O87"/>
    <mergeCell ref="C127:C128"/>
    <mergeCell ref="D127:D128"/>
    <mergeCell ref="K102:K103"/>
    <mergeCell ref="K106:K107"/>
    <mergeCell ref="A99:A103"/>
    <mergeCell ref="C71:C73"/>
    <mergeCell ref="D71:D73"/>
    <mergeCell ref="D97:D98"/>
    <mergeCell ref="O42:O44"/>
    <mergeCell ref="N47:N49"/>
    <mergeCell ref="O47:O49"/>
    <mergeCell ref="L65:L67"/>
    <mergeCell ref="C129:G129"/>
    <mergeCell ref="C87:G87"/>
    <mergeCell ref="C88:O88"/>
    <mergeCell ref="C114:C116"/>
    <mergeCell ref="C117:C119"/>
    <mergeCell ref="F50:F51"/>
    <mergeCell ref="K33:K34"/>
    <mergeCell ref="E28:E30"/>
    <mergeCell ref="D19:D20"/>
    <mergeCell ref="K65:K67"/>
    <mergeCell ref="D47:D49"/>
    <mergeCell ref="E50:E51"/>
    <mergeCell ref="F47:F49"/>
    <mergeCell ref="K47:K49"/>
    <mergeCell ref="D24:D25"/>
    <mergeCell ref="E24:E25"/>
    <mergeCell ref="D58:D59"/>
    <mergeCell ref="F65:F67"/>
    <mergeCell ref="K43:K45"/>
    <mergeCell ref="F36:F37"/>
    <mergeCell ref="E42:E44"/>
    <mergeCell ref="F42:F44"/>
    <mergeCell ref="E47:E49"/>
    <mergeCell ref="F28:F30"/>
    <mergeCell ref="K56:K57"/>
    <mergeCell ref="D56:D57"/>
    <mergeCell ref="F33:F34"/>
    <mergeCell ref="O19:O20"/>
    <mergeCell ref="N50:N51"/>
    <mergeCell ref="N52:N53"/>
    <mergeCell ref="O52:O53"/>
    <mergeCell ref="N36:N38"/>
    <mergeCell ref="O110:O112"/>
    <mergeCell ref="E110:E111"/>
    <mergeCell ref="N149:O149"/>
    <mergeCell ref="N148:O148"/>
    <mergeCell ref="O65:O67"/>
    <mergeCell ref="O50:O51"/>
    <mergeCell ref="O56:O57"/>
    <mergeCell ref="N102:N103"/>
    <mergeCell ref="N117:N119"/>
    <mergeCell ref="O117:O119"/>
    <mergeCell ref="N94:N95"/>
    <mergeCell ref="N110:N112"/>
    <mergeCell ref="O68:O70"/>
    <mergeCell ref="N24:N26"/>
    <mergeCell ref="O24:O26"/>
    <mergeCell ref="N33:N34"/>
    <mergeCell ref="O33:O34"/>
    <mergeCell ref="O36:O37"/>
    <mergeCell ref="N42:N45"/>
  </mergeCells>
  <pageMargins left="0" right="0" top="0.59055118110236227" bottom="0" header="0" footer="0"/>
  <pageSetup paperSize="9" scale="80" orientation="landscape" r:id="rId1"/>
  <headerFooter differentOddEven="1"/>
  <rowBreaks count="3" manualBreakCount="3">
    <brk id="116" max="14" man="1"/>
    <brk id="137" max="14" man="1"/>
    <brk id="159"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32" sqref="A32"/>
    </sheetView>
  </sheetViews>
  <sheetFormatPr defaultRowHeight="15.75" x14ac:dyDescent="0.25"/>
  <cols>
    <col min="1" max="1" width="22.7109375" style="3" customWidth="1"/>
    <col min="2" max="2" width="60.7109375" style="3" customWidth="1"/>
    <col min="3" max="16384" width="9.140625" style="3"/>
  </cols>
  <sheetData>
    <row r="1" spans="1:2" ht="27" customHeight="1" x14ac:dyDescent="0.25">
      <c r="A1" s="1115" t="s">
        <v>17</v>
      </c>
      <c r="B1" s="1115"/>
    </row>
    <row r="2" spans="1:2" ht="31.5" x14ac:dyDescent="0.25">
      <c r="A2" s="2" t="s">
        <v>3</v>
      </c>
      <c r="B2" s="1" t="s">
        <v>16</v>
      </c>
    </row>
    <row r="3" spans="1:2" ht="15.75" customHeight="1" x14ac:dyDescent="0.25">
      <c r="A3" s="40">
        <v>1</v>
      </c>
      <c r="B3" s="1" t="s">
        <v>18</v>
      </c>
    </row>
    <row r="4" spans="1:2" ht="15.75" customHeight="1" x14ac:dyDescent="0.25">
      <c r="A4" s="40">
        <v>2</v>
      </c>
      <c r="B4" s="1" t="s">
        <v>19</v>
      </c>
    </row>
    <row r="5" spans="1:2" ht="15.75" customHeight="1" x14ac:dyDescent="0.25">
      <c r="A5" s="40">
        <v>3</v>
      </c>
      <c r="B5" s="1" t="s">
        <v>20</v>
      </c>
    </row>
    <row r="6" spans="1:2" ht="15.75" customHeight="1" x14ac:dyDescent="0.25">
      <c r="A6" s="40">
        <v>4</v>
      </c>
      <c r="B6" s="1" t="s">
        <v>21</v>
      </c>
    </row>
    <row r="7" spans="1:2" ht="15.75" customHeight="1" x14ac:dyDescent="0.25">
      <c r="A7" s="40">
        <v>5</v>
      </c>
      <c r="B7" s="1" t="s">
        <v>22</v>
      </c>
    </row>
    <row r="8" spans="1:2" ht="15.75" customHeight="1" x14ac:dyDescent="0.25">
      <c r="A8" s="40">
        <v>6</v>
      </c>
      <c r="B8" s="1" t="s">
        <v>23</v>
      </c>
    </row>
    <row r="9" spans="1:2" ht="15.75" customHeight="1" x14ac:dyDescent="0.25"/>
    <row r="10" spans="1:2" ht="15.75" customHeight="1" x14ac:dyDescent="0.25">
      <c r="A10" s="1116" t="s">
        <v>24</v>
      </c>
      <c r="B10" s="1116"/>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3</vt:i4>
      </vt:variant>
    </vt:vector>
  </HeadingPairs>
  <TitlesOfParts>
    <vt:vector size="6" baseType="lpstr">
      <vt:lpstr>Ataskaita</vt:lpstr>
      <vt:lpstr>Priemonių suvestinė</vt:lpstr>
      <vt:lpstr>Asignavimų valdytojų kodai</vt:lpstr>
      <vt:lpstr>Ataskaita!Print_Area</vt:lpstr>
      <vt:lpstr>'Priemonių suvestinė'!Print_Area</vt:lpstr>
      <vt:lpstr>'Priemonių suvestinė'!Print_Titles</vt:lpstr>
    </vt:vector>
  </TitlesOfParts>
  <Company>valdyba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2016-03-04T08:26:48Z</cp:lastPrinted>
  <dcterms:created xsi:type="dcterms:W3CDTF">2007-07-27T10:32:34Z</dcterms:created>
  <dcterms:modified xsi:type="dcterms:W3CDTF">2016-03-14T07:29:06Z</dcterms:modified>
</cp:coreProperties>
</file>