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V.Palaimiene\Desktop\T1-81\"/>
    </mc:Choice>
  </mc:AlternateContent>
  <bookViews>
    <workbookView xWindow="30" yWindow="3825" windowWidth="15480" windowHeight="7560"/>
  </bookViews>
  <sheets>
    <sheet name="Ataskaita" sheetId="15" r:id="rId1"/>
    <sheet name="Priemonių suvestinė" sheetId="11" r:id="rId2"/>
    <sheet name="2015 MVP" sheetId="14" state="hidden" r:id="rId3"/>
    <sheet name="Aiškinamoji lentelė" sheetId="13" state="hidden" r:id="rId4"/>
  </sheets>
  <definedNames>
    <definedName name="_xlnm.Print_Area" localSheetId="2">'2015 MVP'!$A$1:$M$157</definedName>
    <definedName name="_xlnm.Print_Area" localSheetId="1">'Priemonių suvestinė'!$A$1:$O$166</definedName>
    <definedName name="_xlnm.Print_Titles" localSheetId="2">'2015 MVP'!$8:$10</definedName>
    <definedName name="_xlnm.Print_Titles" localSheetId="1">'Priemonių suvestinė'!$4:$6</definedName>
  </definedNames>
  <calcPr calcId="152511" fullPrecision="0"/>
</workbook>
</file>

<file path=xl/calcChain.xml><?xml version="1.0" encoding="utf-8"?>
<calcChain xmlns="http://schemas.openxmlformats.org/spreadsheetml/2006/main">
  <c r="J139" i="11" l="1"/>
  <c r="J161" i="11" l="1"/>
  <c r="J160" i="11"/>
  <c r="J159" i="11"/>
  <c r="J156" i="11"/>
  <c r="J130" i="11"/>
  <c r="J127" i="11"/>
  <c r="J124" i="11"/>
  <c r="J120" i="11"/>
  <c r="J117" i="11"/>
  <c r="J121" i="11" l="1"/>
  <c r="J100" i="11"/>
  <c r="J112" i="11" s="1"/>
  <c r="I68" i="11" l="1"/>
  <c r="H68" i="11"/>
  <c r="J66" i="11" l="1"/>
  <c r="H65" i="11" l="1"/>
  <c r="J49" i="11"/>
  <c r="J65" i="11" s="1"/>
  <c r="J36" i="11"/>
  <c r="J48" i="11" s="1"/>
  <c r="H133" i="11" l="1"/>
  <c r="H123" i="11"/>
  <c r="H100" i="11"/>
  <c r="H112" i="11" s="1"/>
  <c r="H85" i="11"/>
  <c r="H66" i="11"/>
  <c r="H80" i="11" s="1"/>
  <c r="H38" i="11"/>
  <c r="H36" i="11"/>
  <c r="H48" i="11" s="1"/>
  <c r="H33" i="11"/>
  <c r="I164" i="11" l="1"/>
  <c r="I161" i="11"/>
  <c r="I160" i="11"/>
  <c r="I159" i="11"/>
  <c r="I158" i="11"/>
  <c r="I156" i="11"/>
  <c r="I142" i="11" l="1"/>
  <c r="I133" i="11"/>
  <c r="I139" i="11" s="1"/>
  <c r="I128" i="11"/>
  <c r="I130" i="11" s="1"/>
  <c r="I127" i="11"/>
  <c r="I123" i="11"/>
  <c r="I124" i="11" s="1"/>
  <c r="I120" i="11"/>
  <c r="I115" i="11"/>
  <c r="I117" i="11" s="1"/>
  <c r="I100" i="11"/>
  <c r="I96" i="11"/>
  <c r="I97" i="11" s="1"/>
  <c r="I94" i="11"/>
  <c r="I95" i="11" s="1"/>
  <c r="I89" i="11"/>
  <c r="I88" i="11"/>
  <c r="I85" i="11"/>
  <c r="I87" i="11" s="1"/>
  <c r="I81" i="11"/>
  <c r="I83" i="11" s="1"/>
  <c r="I66" i="11"/>
  <c r="I51" i="11"/>
  <c r="I154" i="11" s="1"/>
  <c r="I49" i="11"/>
  <c r="I38" i="11"/>
  <c r="I36" i="11"/>
  <c r="I34" i="11"/>
  <c r="I32" i="11"/>
  <c r="I155" i="11" s="1"/>
  <c r="I29" i="11"/>
  <c r="I16" i="11"/>
  <c r="I48" i="11" l="1"/>
  <c r="I121" i="11"/>
  <c r="I112" i="11"/>
  <c r="I113" i="11" s="1"/>
  <c r="I65" i="11"/>
  <c r="I131" i="11"/>
  <c r="I143" i="11"/>
  <c r="I153" i="11"/>
  <c r="J16" i="11"/>
  <c r="J153" i="11" s="1"/>
  <c r="I80" i="11"/>
  <c r="I165" i="11"/>
  <c r="I93" i="11"/>
  <c r="I163" i="11"/>
  <c r="I35" i="11"/>
  <c r="I98" i="11" l="1"/>
  <c r="I144" i="11" s="1"/>
  <c r="I145" i="11" s="1"/>
  <c r="H127" i="11" l="1"/>
  <c r="H160" i="11" l="1"/>
  <c r="J142" i="11" l="1"/>
  <c r="H142" i="11"/>
  <c r="H156" i="11"/>
  <c r="J95" i="11" l="1"/>
  <c r="K156" i="14" l="1"/>
  <c r="K155" i="14"/>
  <c r="K152" i="14"/>
  <c r="K151" i="14"/>
  <c r="K150" i="14"/>
  <c r="K149" i="14"/>
  <c r="K135" i="14"/>
  <c r="K134" i="14"/>
  <c r="K133" i="14"/>
  <c r="K132" i="14"/>
  <c r="K131" i="14"/>
  <c r="K125" i="14"/>
  <c r="K127" i="14" s="1"/>
  <c r="K124" i="14"/>
  <c r="K123" i="14"/>
  <c r="K120" i="14"/>
  <c r="K116" i="14"/>
  <c r="K118" i="14" s="1"/>
  <c r="K112" i="14"/>
  <c r="K111" i="14"/>
  <c r="K110" i="14"/>
  <c r="K109" i="14"/>
  <c r="K108" i="14"/>
  <c r="K107" i="14"/>
  <c r="K105" i="14"/>
  <c r="K103" i="14"/>
  <c r="K95" i="14"/>
  <c r="K96" i="14" s="1"/>
  <c r="K93" i="14"/>
  <c r="K94" i="14" s="1"/>
  <c r="K89" i="14"/>
  <c r="K154" i="14" s="1"/>
  <c r="K88" i="14"/>
  <c r="M87" i="14"/>
  <c r="K84" i="14"/>
  <c r="K86" i="14" s="1"/>
  <c r="K79" i="14"/>
  <c r="K82" i="14" s="1"/>
  <c r="K77" i="14"/>
  <c r="K157" i="14" s="1"/>
  <c r="K76" i="14"/>
  <c r="K73" i="14"/>
  <c r="K71" i="14"/>
  <c r="K68" i="14"/>
  <c r="K67" i="14"/>
  <c r="K64" i="14"/>
  <c r="K63" i="14"/>
  <c r="K62" i="14"/>
  <c r="K61" i="14"/>
  <c r="K58" i="14"/>
  <c r="K55" i="14"/>
  <c r="K147" i="14" s="1"/>
  <c r="K52" i="14"/>
  <c r="K49" i="14"/>
  <c r="K46" i="14"/>
  <c r="K44" i="14"/>
  <c r="K41" i="14"/>
  <c r="K38" i="14"/>
  <c r="K37" i="14"/>
  <c r="K35" i="14"/>
  <c r="K148" i="14" s="1"/>
  <c r="K30" i="14"/>
  <c r="K22" i="14"/>
  <c r="K19" i="14"/>
  <c r="K18" i="14"/>
  <c r="K50" i="14" l="1"/>
  <c r="K69" i="14"/>
  <c r="K128" i="14"/>
  <c r="K136" i="14"/>
  <c r="K137" i="14" s="1"/>
  <c r="K78" i="14"/>
  <c r="K92" i="14"/>
  <c r="K113" i="14"/>
  <c r="K114" i="14" s="1"/>
  <c r="K146" i="14"/>
  <c r="K145" i="14" s="1"/>
  <c r="K144" i="14" s="1"/>
  <c r="K121" i="14"/>
  <c r="K153" i="14"/>
  <c r="K39" i="14"/>
  <c r="K97" i="14" l="1"/>
  <c r="K138" i="14" s="1"/>
  <c r="K139" i="14" s="1"/>
  <c r="K158" i="14"/>
  <c r="H159" i="11"/>
  <c r="H161" i="11" l="1"/>
  <c r="H158" i="11" l="1"/>
  <c r="H29" i="11"/>
  <c r="H157" i="11"/>
  <c r="J155" i="11" l="1"/>
  <c r="P145" i="13" l="1"/>
  <c r="O145" i="13" s="1"/>
  <c r="K145" i="13"/>
  <c r="K147" i="13" s="1"/>
  <c r="X147" i="13"/>
  <c r="W147" i="13"/>
  <c r="V147" i="13"/>
  <c r="U147" i="13"/>
  <c r="T147" i="13"/>
  <c r="R147" i="13"/>
  <c r="Q147" i="13"/>
  <c r="N147" i="13"/>
  <c r="M147" i="13"/>
  <c r="L147" i="13"/>
  <c r="S146" i="13"/>
  <c r="S145" i="13"/>
  <c r="H120" i="11"/>
  <c r="P147" i="13" l="1"/>
  <c r="S147" i="13"/>
  <c r="O147" i="13"/>
  <c r="P62" i="13" l="1"/>
  <c r="O62" i="13" s="1"/>
  <c r="Q62" i="13"/>
  <c r="Q68" i="13" l="1"/>
  <c r="P68" i="13"/>
  <c r="O68" i="13" s="1"/>
  <c r="P59" i="13"/>
  <c r="X189" i="13"/>
  <c r="W189" i="13"/>
  <c r="S189" i="13"/>
  <c r="X188" i="13"/>
  <c r="W188" i="13"/>
  <c r="X187" i="13"/>
  <c r="W187" i="13"/>
  <c r="S187" i="13"/>
  <c r="O187" i="13"/>
  <c r="K187" i="13"/>
  <c r="X186" i="13"/>
  <c r="W186" i="13"/>
  <c r="X184" i="13"/>
  <c r="W184" i="13"/>
  <c r="S184" i="13"/>
  <c r="O184" i="13"/>
  <c r="X183" i="13"/>
  <c r="W183" i="13"/>
  <c r="S183" i="13"/>
  <c r="K183" i="13"/>
  <c r="W182" i="13"/>
  <c r="X181" i="13"/>
  <c r="W181" i="13"/>
  <c r="S181" i="13"/>
  <c r="O181" i="13"/>
  <c r="K181" i="13"/>
  <c r="X180" i="13"/>
  <c r="W180" i="13"/>
  <c r="X170" i="13"/>
  <c r="W170" i="13"/>
  <c r="V170" i="13"/>
  <c r="T170" i="13"/>
  <c r="R170" i="13"/>
  <c r="P170" i="13"/>
  <c r="L170" i="13"/>
  <c r="S168" i="13"/>
  <c r="S170" i="13" s="1"/>
  <c r="O168" i="13"/>
  <c r="K168" i="13"/>
  <c r="K170" i="13" s="1"/>
  <c r="X167" i="13"/>
  <c r="W167" i="13"/>
  <c r="V167" i="13"/>
  <c r="U167" i="13"/>
  <c r="T167" i="13"/>
  <c r="R167" i="13"/>
  <c r="Q167" i="13"/>
  <c r="P167" i="13"/>
  <c r="O167" i="13"/>
  <c r="N167" i="13"/>
  <c r="M167" i="13"/>
  <c r="L167" i="13"/>
  <c r="K166" i="13"/>
  <c r="K167" i="13" s="1"/>
  <c r="S165" i="13"/>
  <c r="S167" i="13" s="1"/>
  <c r="X164" i="13"/>
  <c r="W164" i="13"/>
  <c r="U164" i="13"/>
  <c r="U171" i="13" s="1"/>
  <c r="R164" i="13"/>
  <c r="Q164" i="13"/>
  <c r="Q171" i="13" s="1"/>
  <c r="N164" i="13"/>
  <c r="N171" i="13" s="1"/>
  <c r="M164" i="13"/>
  <c r="M171" i="13" s="1"/>
  <c r="V163" i="13"/>
  <c r="V164" i="13" s="1"/>
  <c r="V171" i="13" s="1"/>
  <c r="T163" i="13"/>
  <c r="T164" i="13" s="1"/>
  <c r="O163" i="13"/>
  <c r="K163" i="13"/>
  <c r="S162" i="13"/>
  <c r="O162" i="13"/>
  <c r="L162" i="13"/>
  <c r="K162" i="13" s="1"/>
  <c r="S161" i="13"/>
  <c r="P161" i="13"/>
  <c r="O161" i="13" s="1"/>
  <c r="K161" i="13"/>
  <c r="S160" i="13"/>
  <c r="P160" i="13"/>
  <c r="O160" i="13" s="1"/>
  <c r="K160" i="13"/>
  <c r="S159" i="13"/>
  <c r="P159" i="13"/>
  <c r="K159" i="13"/>
  <c r="S158" i="13"/>
  <c r="O158" i="13"/>
  <c r="K158" i="13"/>
  <c r="X155" i="13"/>
  <c r="W155" i="13"/>
  <c r="V155" i="13"/>
  <c r="U155" i="13"/>
  <c r="T155" i="13"/>
  <c r="R155" i="13"/>
  <c r="Q155" i="13"/>
  <c r="P155" i="13"/>
  <c r="N155" i="13"/>
  <c r="M155" i="13"/>
  <c r="L155" i="13"/>
  <c r="S153" i="13"/>
  <c r="S155" i="13" s="1"/>
  <c r="O153" i="13"/>
  <c r="O155" i="13" s="1"/>
  <c r="K153" i="13"/>
  <c r="K155" i="13" s="1"/>
  <c r="X152" i="13"/>
  <c r="W152" i="13"/>
  <c r="V152" i="13"/>
  <c r="U152" i="13"/>
  <c r="T152" i="13"/>
  <c r="R152" i="13"/>
  <c r="Q152" i="13"/>
  <c r="P152" i="13"/>
  <c r="N152" i="13"/>
  <c r="K151" i="13" s="1"/>
  <c r="M152" i="13"/>
  <c r="L152" i="13"/>
  <c r="S150" i="13"/>
  <c r="S152" i="13" s="1"/>
  <c r="O150" i="13"/>
  <c r="O152" i="13" s="1"/>
  <c r="K150" i="13"/>
  <c r="X144" i="13"/>
  <c r="X148" i="13" s="1"/>
  <c r="W144" i="13"/>
  <c r="W148" i="13" s="1"/>
  <c r="V144" i="13"/>
  <c r="V148" i="13" s="1"/>
  <c r="U144" i="13"/>
  <c r="U148" i="13" s="1"/>
  <c r="T144" i="13"/>
  <c r="T148" i="13" s="1"/>
  <c r="R144" i="13"/>
  <c r="R148" i="13" s="1"/>
  <c r="Q144" i="13"/>
  <c r="Q148" i="13" s="1"/>
  <c r="N144" i="13"/>
  <c r="N148" i="13" s="1"/>
  <c r="M144" i="13"/>
  <c r="M148" i="13" s="1"/>
  <c r="L144" i="13"/>
  <c r="L148" i="13" s="1"/>
  <c r="S143" i="13"/>
  <c r="K143" i="13"/>
  <c r="S142" i="13"/>
  <c r="O142" i="13"/>
  <c r="K142" i="13"/>
  <c r="S141" i="13"/>
  <c r="P141" i="13"/>
  <c r="P144" i="13" s="1"/>
  <c r="P148" i="13" s="1"/>
  <c r="K141" i="13"/>
  <c r="N138" i="13"/>
  <c r="M138" i="13"/>
  <c r="L138" i="13"/>
  <c r="K137" i="13"/>
  <c r="K136" i="13"/>
  <c r="X135" i="13"/>
  <c r="X139" i="13" s="1"/>
  <c r="W135" i="13"/>
  <c r="W139" i="13" s="1"/>
  <c r="V135" i="13"/>
  <c r="V139" i="13" s="1"/>
  <c r="U135" i="13"/>
  <c r="U139" i="13" s="1"/>
  <c r="T135" i="13"/>
  <c r="T139" i="13" s="1"/>
  <c r="R135" i="13"/>
  <c r="R139" i="13" s="1"/>
  <c r="Q135" i="13"/>
  <c r="Q139" i="13" s="1"/>
  <c r="P135" i="13"/>
  <c r="P139" i="13" s="1"/>
  <c r="N135" i="13"/>
  <c r="M135" i="13"/>
  <c r="L135" i="13"/>
  <c r="L139" i="13" s="1"/>
  <c r="K134" i="13"/>
  <c r="O133" i="13"/>
  <c r="S132" i="13"/>
  <c r="O132" i="13"/>
  <c r="S131" i="13"/>
  <c r="O131" i="13"/>
  <c r="S130" i="13"/>
  <c r="O130" i="13"/>
  <c r="S129" i="13"/>
  <c r="O129" i="13"/>
  <c r="K129" i="13"/>
  <c r="S128" i="13"/>
  <c r="O128" i="13"/>
  <c r="K128" i="13"/>
  <c r="K127" i="13"/>
  <c r="S126" i="13"/>
  <c r="O126" i="13"/>
  <c r="K126" i="13"/>
  <c r="S125" i="13"/>
  <c r="O125" i="13"/>
  <c r="K125" i="13"/>
  <c r="O124" i="13"/>
  <c r="K124" i="13"/>
  <c r="S123" i="13"/>
  <c r="O123" i="13"/>
  <c r="K123" i="13"/>
  <c r="S122" i="13"/>
  <c r="O122" i="13"/>
  <c r="K122" i="13"/>
  <c r="S121" i="13"/>
  <c r="O121" i="13"/>
  <c r="K121" i="13"/>
  <c r="S119" i="13"/>
  <c r="O119" i="13"/>
  <c r="K119" i="13"/>
  <c r="X116" i="13"/>
  <c r="W116" i="13"/>
  <c r="N116" i="13"/>
  <c r="M116" i="13"/>
  <c r="K115" i="13"/>
  <c r="K114" i="13"/>
  <c r="K113" i="13"/>
  <c r="K112" i="13"/>
  <c r="K184" i="13" s="1"/>
  <c r="L111" i="13"/>
  <c r="K111" i="13" s="1"/>
  <c r="X110" i="13"/>
  <c r="W110" i="13"/>
  <c r="V110" i="13"/>
  <c r="U110" i="13"/>
  <c r="T110" i="13"/>
  <c r="R110" i="13"/>
  <c r="Q110" i="13"/>
  <c r="P110" i="13"/>
  <c r="N110" i="13"/>
  <c r="M110" i="13"/>
  <c r="L110" i="13"/>
  <c r="S109" i="13"/>
  <c r="S110" i="13" s="1"/>
  <c r="O109" i="13"/>
  <c r="O110" i="13" s="1"/>
  <c r="K109" i="13"/>
  <c r="K110" i="13" s="1"/>
  <c r="X108" i="13"/>
  <c r="W108" i="13"/>
  <c r="V108" i="13"/>
  <c r="U108" i="13"/>
  <c r="T108" i="13"/>
  <c r="R108" i="13"/>
  <c r="Q108" i="13"/>
  <c r="P108" i="13"/>
  <c r="N108" i="13"/>
  <c r="M108" i="13"/>
  <c r="L108" i="13"/>
  <c r="S107" i="13"/>
  <c r="S108" i="13" s="1"/>
  <c r="O107" i="13"/>
  <c r="O108" i="13" s="1"/>
  <c r="K107" i="13"/>
  <c r="K108" i="13" s="1"/>
  <c r="X106" i="13"/>
  <c r="W106" i="13"/>
  <c r="V106" i="13"/>
  <c r="U106" i="13"/>
  <c r="T106" i="13"/>
  <c r="S106" i="13"/>
  <c r="R106" i="13"/>
  <c r="Q106" i="13"/>
  <c r="P106" i="13"/>
  <c r="N106" i="13"/>
  <c r="M106" i="13"/>
  <c r="L106" i="13"/>
  <c r="K104" i="13"/>
  <c r="K103" i="13"/>
  <c r="K101" i="13"/>
  <c r="O99" i="13"/>
  <c r="K99" i="13"/>
  <c r="O98" i="13"/>
  <c r="K98" i="13"/>
  <c r="AB96" i="13"/>
  <c r="AA96" i="13"/>
  <c r="Z96" i="13"/>
  <c r="X95" i="13"/>
  <c r="W95" i="13"/>
  <c r="V95" i="13"/>
  <c r="U95" i="13"/>
  <c r="T95" i="13"/>
  <c r="R95" i="13"/>
  <c r="Q95" i="13"/>
  <c r="P95" i="13"/>
  <c r="N95" i="13"/>
  <c r="M95" i="13"/>
  <c r="L95" i="13"/>
  <c r="S94" i="13"/>
  <c r="S188" i="13" s="1"/>
  <c r="O94" i="13"/>
  <c r="O188" i="13" s="1"/>
  <c r="K94" i="13"/>
  <c r="K188" i="13" s="1"/>
  <c r="S93" i="13"/>
  <c r="O93" i="13"/>
  <c r="K93" i="13"/>
  <c r="S92" i="13"/>
  <c r="O92" i="13"/>
  <c r="K92" i="13"/>
  <c r="V91" i="13"/>
  <c r="U91" i="13"/>
  <c r="T91" i="13"/>
  <c r="R91" i="13"/>
  <c r="Q91" i="13"/>
  <c r="N91" i="13"/>
  <c r="M91" i="13"/>
  <c r="L91" i="13"/>
  <c r="S90" i="13"/>
  <c r="O90" i="13"/>
  <c r="K90" i="13"/>
  <c r="O89" i="13"/>
  <c r="X88" i="13"/>
  <c r="X91" i="13" s="1"/>
  <c r="W88" i="13"/>
  <c r="W179" i="13" s="1"/>
  <c r="S88" i="13"/>
  <c r="P88" i="13"/>
  <c r="O88" i="13" s="1"/>
  <c r="K88" i="13"/>
  <c r="X87" i="13"/>
  <c r="W87" i="13"/>
  <c r="V87" i="13"/>
  <c r="U87" i="13"/>
  <c r="T87" i="13"/>
  <c r="R87" i="13"/>
  <c r="Q87" i="13"/>
  <c r="N87" i="13"/>
  <c r="M87" i="13"/>
  <c r="L87" i="13"/>
  <c r="S86" i="13"/>
  <c r="K85" i="13"/>
  <c r="O84" i="13"/>
  <c r="O189" i="13" s="1"/>
  <c r="K84" i="13"/>
  <c r="S83" i="13"/>
  <c r="O83" i="13"/>
  <c r="K83" i="13"/>
  <c r="S82" i="13"/>
  <c r="O82" i="13"/>
  <c r="K82" i="13"/>
  <c r="S81" i="13"/>
  <c r="P81" i="13"/>
  <c r="O81" i="13" s="1"/>
  <c r="K81" i="13"/>
  <c r="S80" i="13"/>
  <c r="O80" i="13"/>
  <c r="K80" i="13"/>
  <c r="S79" i="13"/>
  <c r="O79" i="13"/>
  <c r="K79" i="13"/>
  <c r="X76" i="13"/>
  <c r="W76" i="13"/>
  <c r="V76" i="13"/>
  <c r="U76" i="13"/>
  <c r="T76" i="13"/>
  <c r="R76" i="13"/>
  <c r="Q76" i="13"/>
  <c r="P76" i="13"/>
  <c r="N76" i="13"/>
  <c r="M76" i="13"/>
  <c r="L75" i="13"/>
  <c r="K75" i="13" s="1"/>
  <c r="O74" i="13"/>
  <c r="O73" i="13"/>
  <c r="O72" i="13"/>
  <c r="O67" i="13"/>
  <c r="K67" i="13"/>
  <c r="S66" i="13"/>
  <c r="O66" i="13"/>
  <c r="K66" i="13"/>
  <c r="S65" i="13"/>
  <c r="O65" i="13"/>
  <c r="K65" i="13"/>
  <c r="S63" i="13"/>
  <c r="O63" i="13"/>
  <c r="K63" i="13"/>
  <c r="S62" i="13"/>
  <c r="L62" i="13"/>
  <c r="L76" i="13" s="1"/>
  <c r="K62" i="13"/>
  <c r="S61" i="13"/>
  <c r="O61" i="13"/>
  <c r="K61" i="13"/>
  <c r="S60" i="13"/>
  <c r="O60" i="13"/>
  <c r="K60" i="13"/>
  <c r="S59" i="13"/>
  <c r="O59" i="13"/>
  <c r="K59" i="13"/>
  <c r="O58" i="13"/>
  <c r="S57" i="13"/>
  <c r="O57" i="13"/>
  <c r="K57" i="13"/>
  <c r="X53" i="13"/>
  <c r="W53" i="13"/>
  <c r="V53" i="13"/>
  <c r="U53" i="13"/>
  <c r="T53" i="13"/>
  <c r="R53" i="13"/>
  <c r="Q53" i="13"/>
  <c r="N53" i="13"/>
  <c r="M53" i="13"/>
  <c r="L53" i="13"/>
  <c r="S52" i="13"/>
  <c r="O52" i="13"/>
  <c r="K52" i="13"/>
  <c r="S49" i="13"/>
  <c r="P49" i="13"/>
  <c r="O49" i="13" s="1"/>
  <c r="K49" i="13"/>
  <c r="S48" i="13"/>
  <c r="O48" i="13"/>
  <c r="K48" i="13"/>
  <c r="S47" i="13"/>
  <c r="O47" i="13"/>
  <c r="K47" i="13"/>
  <c r="S45" i="13"/>
  <c r="O45" i="13"/>
  <c r="K45" i="13"/>
  <c r="S44" i="13"/>
  <c r="P44" i="13"/>
  <c r="P53" i="13" s="1"/>
  <c r="K44" i="13"/>
  <c r="X42" i="13"/>
  <c r="W42" i="13"/>
  <c r="V42" i="13"/>
  <c r="U42" i="13"/>
  <c r="T42" i="13"/>
  <c r="R42" i="13"/>
  <c r="Q42" i="13"/>
  <c r="X41" i="13"/>
  <c r="W41" i="13"/>
  <c r="V41" i="13"/>
  <c r="U41" i="13"/>
  <c r="T41" i="13"/>
  <c r="Q41" i="13"/>
  <c r="N41" i="13"/>
  <c r="M41" i="13"/>
  <c r="L41" i="13"/>
  <c r="K39" i="13"/>
  <c r="K35" i="13"/>
  <c r="O34" i="13"/>
  <c r="R33" i="13"/>
  <c r="R41" i="13" s="1"/>
  <c r="K32" i="13"/>
  <c r="O31" i="13"/>
  <c r="O183" i="13" s="1"/>
  <c r="S26" i="13"/>
  <c r="O26" i="13"/>
  <c r="K26" i="13"/>
  <c r="O19" i="13"/>
  <c r="K19" i="13"/>
  <c r="S18" i="13"/>
  <c r="P18" i="13"/>
  <c r="P41" i="13" s="1"/>
  <c r="O18" i="13"/>
  <c r="K18" i="13"/>
  <c r="S16" i="13"/>
  <c r="S15" i="13"/>
  <c r="O15" i="13"/>
  <c r="K15" i="13"/>
  <c r="S14" i="13"/>
  <c r="O14" i="13"/>
  <c r="K14" i="13"/>
  <c r="S182" i="13" l="1"/>
  <c r="K87" i="13"/>
  <c r="O87" i="13"/>
  <c r="P156" i="13"/>
  <c r="K189" i="13"/>
  <c r="R171" i="13"/>
  <c r="W185" i="13"/>
  <c r="S186" i="13"/>
  <c r="S185" i="13" s="1"/>
  <c r="O91" i="13"/>
  <c r="S135" i="13"/>
  <c r="S139" i="13" s="1"/>
  <c r="N139" i="13"/>
  <c r="W156" i="13"/>
  <c r="S156" i="13"/>
  <c r="O76" i="13"/>
  <c r="L156" i="13"/>
  <c r="O156" i="13"/>
  <c r="X171" i="13"/>
  <c r="K182" i="13"/>
  <c r="O44" i="13"/>
  <c r="S91" i="13"/>
  <c r="O95" i="13"/>
  <c r="T156" i="13"/>
  <c r="X156" i="13"/>
  <c r="P164" i="13"/>
  <c r="P171" i="13" s="1"/>
  <c r="X185" i="13"/>
  <c r="K76" i="13"/>
  <c r="K179" i="13"/>
  <c r="O182" i="13"/>
  <c r="K106" i="13"/>
  <c r="R117" i="13"/>
  <c r="V117" i="13"/>
  <c r="T117" i="13"/>
  <c r="X179" i="13"/>
  <c r="S42" i="13"/>
  <c r="O180" i="13"/>
  <c r="S87" i="13"/>
  <c r="O33" i="13"/>
  <c r="O41" i="13" s="1"/>
  <c r="P42" i="13"/>
  <c r="K53" i="13"/>
  <c r="S180" i="13"/>
  <c r="S76" i="13"/>
  <c r="K95" i="13"/>
  <c r="U117" i="13"/>
  <c r="K116" i="13"/>
  <c r="K138" i="13"/>
  <c r="Q156" i="13"/>
  <c r="U156" i="13"/>
  <c r="L116" i="13"/>
  <c r="K144" i="13"/>
  <c r="K148" i="13" s="1"/>
  <c r="M156" i="13"/>
  <c r="R156" i="13"/>
  <c r="V156" i="13"/>
  <c r="W171" i="13"/>
  <c r="K91" i="13"/>
  <c r="S95" i="13"/>
  <c r="O106" i="13"/>
  <c r="M139" i="13"/>
  <c r="S144" i="13"/>
  <c r="S148" i="13" s="1"/>
  <c r="K152" i="13"/>
  <c r="K156" i="13" s="1"/>
  <c r="N156" i="13"/>
  <c r="O159" i="13"/>
  <c r="O164" i="13" s="1"/>
  <c r="T171" i="13"/>
  <c r="O170" i="13"/>
  <c r="L117" i="13"/>
  <c r="K135" i="13"/>
  <c r="K139" i="13" s="1"/>
  <c r="O135" i="13"/>
  <c r="O139" i="13" s="1"/>
  <c r="K180" i="13"/>
  <c r="K178" i="13" s="1"/>
  <c r="M117" i="13"/>
  <c r="N117" i="13"/>
  <c r="Q117" i="13"/>
  <c r="Q172" i="13" s="1"/>
  <c r="Q173" i="13" s="1"/>
  <c r="W178" i="13"/>
  <c r="W190" i="13" s="1"/>
  <c r="W191" i="13" s="1"/>
  <c r="O42" i="13"/>
  <c r="K164" i="13"/>
  <c r="K171" i="13" s="1"/>
  <c r="X117" i="13"/>
  <c r="X172" i="13" s="1"/>
  <c r="X173" i="13" s="1"/>
  <c r="W91" i="13"/>
  <c r="W117" i="13" s="1"/>
  <c r="K41" i="13"/>
  <c r="S41" i="13"/>
  <c r="O53" i="13"/>
  <c r="S53" i="13"/>
  <c r="P87" i="13"/>
  <c r="P91" i="13"/>
  <c r="S163" i="13"/>
  <c r="S164" i="13" s="1"/>
  <c r="S171" i="13" s="1"/>
  <c r="L164" i="13"/>
  <c r="L171" i="13" s="1"/>
  <c r="K186" i="13"/>
  <c r="K185" i="13" s="1"/>
  <c r="O186" i="13"/>
  <c r="O185" i="13" s="1"/>
  <c r="O141" i="13"/>
  <c r="O144" i="13" s="1"/>
  <c r="O148" i="13" s="1"/>
  <c r="M172" i="13" l="1"/>
  <c r="M173" i="13" s="1"/>
  <c r="W172" i="13"/>
  <c r="W173" i="13" s="1"/>
  <c r="P117" i="13"/>
  <c r="P172" i="13" s="1"/>
  <c r="P173" i="13" s="1"/>
  <c r="O117" i="13"/>
  <c r="S179" i="13"/>
  <c r="S178" i="13" s="1"/>
  <c r="S190" i="13" s="1"/>
  <c r="T172" i="13"/>
  <c r="T173" i="13" s="1"/>
  <c r="V172" i="13"/>
  <c r="V173" i="13" s="1"/>
  <c r="L172" i="13"/>
  <c r="L173" i="13" s="1"/>
  <c r="S117" i="13"/>
  <c r="S172" i="13" s="1"/>
  <c r="S173" i="13" s="1"/>
  <c r="N172" i="13"/>
  <c r="N173" i="13" s="1"/>
  <c r="O171" i="13"/>
  <c r="U172" i="13"/>
  <c r="U173" i="13" s="1"/>
  <c r="R172" i="13"/>
  <c r="R173" i="13" s="1"/>
  <c r="K190" i="13"/>
  <c r="K117" i="13"/>
  <c r="K172" i="13" s="1"/>
  <c r="K173" i="13" s="1"/>
  <c r="O179" i="13"/>
  <c r="O178" i="13" s="1"/>
  <c r="O190" i="13" s="1"/>
  <c r="P191" i="13" s="1"/>
  <c r="O172" i="13"/>
  <c r="O173" i="13" s="1"/>
  <c r="X182" i="13" l="1"/>
  <c r="X178" i="13" s="1"/>
  <c r="X190" i="13" s="1"/>
  <c r="X191" i="13" s="1"/>
  <c r="H87" i="11" l="1"/>
  <c r="H96" i="11" l="1"/>
  <c r="H97" i="11" s="1"/>
  <c r="H128" i="11" l="1"/>
  <c r="H130" i="11" s="1"/>
  <c r="H115" i="11"/>
  <c r="H117" i="11" s="1"/>
  <c r="H121" i="11" s="1"/>
  <c r="H94" i="11"/>
  <c r="H95" i="11" s="1"/>
  <c r="H89" i="11"/>
  <c r="H88" i="11"/>
  <c r="H81" i="11"/>
  <c r="H83" i="11" s="1"/>
  <c r="J157" i="11"/>
  <c r="H34" i="11"/>
  <c r="H32" i="11"/>
  <c r="H153" i="11" l="1"/>
  <c r="H35" i="11"/>
  <c r="H124" i="11"/>
  <c r="H131" i="11" s="1"/>
  <c r="H155" i="11"/>
  <c r="J35" i="11"/>
  <c r="H93" i="11"/>
  <c r="H98" i="11" s="1"/>
  <c r="J80" i="11"/>
  <c r="J93" i="11" l="1"/>
  <c r="J164" i="11" l="1"/>
  <c r="J154" i="11"/>
  <c r="J158" i="11"/>
  <c r="H163" i="11"/>
  <c r="H164" i="11"/>
  <c r="H165" i="11"/>
  <c r="H113" i="11"/>
  <c r="J113" i="11"/>
  <c r="H154" i="11"/>
  <c r="H139" i="11"/>
  <c r="J152" i="11" l="1"/>
  <c r="J151" i="11" s="1"/>
  <c r="H143" i="11"/>
  <c r="H152" i="11"/>
  <c r="H151" i="11" s="1"/>
  <c r="H162" i="11"/>
  <c r="J165" i="11"/>
  <c r="J163" i="11"/>
  <c r="J143" i="11"/>
  <c r="J131" i="11"/>
  <c r="J97" i="11"/>
  <c r="J87" i="11"/>
  <c r="H166" i="11" l="1"/>
  <c r="J162" i="11"/>
  <c r="J166" i="11" s="1"/>
  <c r="J83" i="11"/>
  <c r="J98" i="11" s="1"/>
  <c r="I157" i="11" l="1"/>
  <c r="H144" i="11"/>
  <c r="H145" i="11" s="1"/>
  <c r="J144" i="11"/>
  <c r="J145" i="11" s="1"/>
  <c r="I152" i="11" l="1"/>
  <c r="I151" i="11" s="1"/>
  <c r="I162" i="11"/>
  <c r="I166" i="11" l="1"/>
</calcChain>
</file>

<file path=xl/comments1.xml><?xml version="1.0" encoding="utf-8"?>
<comments xmlns="http://schemas.openxmlformats.org/spreadsheetml/2006/main">
  <authors>
    <author>Audra Cepiene</author>
    <author>Saulina Paulauskiene</author>
  </authors>
  <commentList>
    <comment ref="E17" authorId="0" shapeId="0">
      <text>
        <r>
          <rPr>
            <b/>
            <sz val="9"/>
            <color indexed="81"/>
            <rFont val="Tahoma"/>
            <family val="2"/>
            <charset val="186"/>
          </rPr>
          <t>KSP 2.4.2.3.</t>
        </r>
        <r>
          <rPr>
            <sz val="9"/>
            <color indexed="81"/>
            <rFont val="Tahoma"/>
            <family val="2"/>
            <charset val="186"/>
          </rPr>
          <t xml:space="preserve">
Atnaujinti miesto centre esančius fontanus įrengiant šviesos instaliacijas ar kt. efektus </t>
        </r>
      </text>
    </comment>
    <comment ref="K17" authorId="0" shapeId="0">
      <text>
        <r>
          <rPr>
            <sz val="9"/>
            <color indexed="81"/>
            <rFont val="Tahoma"/>
            <family val="2"/>
            <charset val="186"/>
          </rPr>
          <t xml:space="preserve">Eksplotuojami  fontanai: "Taravos Anikė" ir "Laivelis" Meridiano skvere. Nuo 2016 m. - Debreceno aikštės fontanas.
</t>
        </r>
      </text>
    </comment>
    <comment ref="E34" authorId="0" shapeId="0">
      <text>
        <r>
          <rPr>
            <b/>
            <sz val="9"/>
            <color indexed="81"/>
            <rFont val="Tahoma"/>
            <family val="2"/>
            <charset val="186"/>
          </rPr>
          <t xml:space="preserve">2.4.2.5. KSP priemonė: </t>
        </r>
        <r>
          <rPr>
            <sz val="9"/>
            <color indexed="81"/>
            <rFont val="Tahoma"/>
            <family val="2"/>
            <charset val="186"/>
          </rPr>
          <t xml:space="preserve">Atnaujinti gyvenamųjų kvartalų centrines aikštes ir kitas viešąsias erdves
</t>
        </r>
      </text>
    </comment>
    <comment ref="G38" authorId="0" shapeId="0">
      <text>
        <r>
          <rPr>
            <sz val="9"/>
            <color indexed="81"/>
            <rFont val="Tahoma"/>
            <family val="2"/>
            <charset val="186"/>
          </rPr>
          <t xml:space="preserve">Rinkliavos lėšos už šunų ir kačių laikymą
</t>
        </r>
      </text>
    </comment>
    <comment ref="K44" authorId="0" shapeId="0">
      <text>
        <r>
          <rPr>
            <sz val="9"/>
            <color indexed="81"/>
            <rFont val="Tahoma"/>
            <family val="2"/>
            <charset val="186"/>
          </rPr>
          <t xml:space="preserve">Šunys, katės ir kt. gyvūnai (šeškai, paukščiai, laukiniai gyvūnai (ruoniai, šernai ir kt.)
</t>
        </r>
      </text>
    </comment>
    <comment ref="K45" authorId="0" shapeId="0">
      <text>
        <r>
          <rPr>
            <sz val="9"/>
            <color indexed="81"/>
            <rFont val="Tahoma"/>
            <family val="2"/>
            <charset val="186"/>
          </rPr>
          <t xml:space="preserve">Pagal teisės aktus sugautus ar priimtus iš gyventojų sveikus gyvūnus (šunis ir kates) laiko </t>
        </r>
        <r>
          <rPr>
            <b/>
            <sz val="9"/>
            <color indexed="81"/>
            <rFont val="Tahoma"/>
            <family val="2"/>
            <charset val="186"/>
          </rPr>
          <t>3 paras</t>
        </r>
        <r>
          <rPr>
            <sz val="9"/>
            <color indexed="81"/>
            <rFont val="Tahoma"/>
            <family val="2"/>
            <charset val="186"/>
          </rPr>
          <t xml:space="preserve">;
užtikrina gyvūnų gaudymo, surinkimo ir karantinavimo tarnyboje laikomų gyvūnų </t>
        </r>
        <r>
          <rPr>
            <b/>
            <sz val="9"/>
            <color indexed="81"/>
            <rFont val="Tahoma"/>
            <family val="2"/>
            <charset val="186"/>
          </rPr>
          <t>šėrimą,</t>
        </r>
        <r>
          <rPr>
            <sz val="9"/>
            <color indexed="81"/>
            <rFont val="Tahoma"/>
            <family val="2"/>
            <charset val="186"/>
          </rPr>
          <t xml:space="preserve"> laikymo ar karantinavimo laikotarpiu,</t>
        </r>
        <r>
          <rPr>
            <b/>
            <sz val="9"/>
            <color indexed="81"/>
            <rFont val="Tahoma"/>
            <family val="2"/>
            <charset val="186"/>
          </rPr>
          <t xml:space="preserve"> jiems pritaikytu ėdalu</t>
        </r>
      </text>
    </comment>
    <comment ref="E49" authorId="0" shapeId="0">
      <text>
        <r>
          <rPr>
            <sz val="9"/>
            <color indexed="81"/>
            <rFont val="Tahoma"/>
            <family val="2"/>
            <charset val="186"/>
          </rPr>
          <t>2.4.2.8
Diegti aukšto lygio paslaugų ir infrastruktūros parametrus miesto paplūdimiuose ir kitose poilsio zonose</t>
        </r>
      </text>
    </comment>
    <comment ref="K54" authorId="0" shapeId="0">
      <text>
        <r>
          <rPr>
            <sz val="9"/>
            <color indexed="81"/>
            <rFont val="Tahoma"/>
            <family val="2"/>
            <charset val="186"/>
          </rPr>
          <t>Viešieji tualetai Stovyklų g. 4 –21,79 m2
Viešieji tualetai I Melnragė Kopų g. 1A – 87,25 m2</t>
        </r>
      </text>
    </comment>
    <comment ref="E66" authorId="0" shapeId="0">
      <text>
        <r>
          <rPr>
            <b/>
            <sz val="9"/>
            <color indexed="81"/>
            <rFont val="Tahoma"/>
            <family val="2"/>
            <charset val="186"/>
          </rPr>
          <t>KSP 2.3.2.5</t>
        </r>
        <r>
          <rPr>
            <sz val="9"/>
            <color indexed="81"/>
            <rFont val="Tahoma"/>
            <family val="2"/>
            <charset val="186"/>
          </rPr>
          <t xml:space="preserve">
Gerinti Klaipėdos miesto viešųjų erdvių apšvietimo efektyvumą ir kokybę</t>
        </r>
      </text>
    </comment>
    <comment ref="K82" authorId="0" shapeId="0">
      <text>
        <r>
          <rPr>
            <sz val="9"/>
            <color indexed="81"/>
            <rFont val="Tahoma"/>
            <family val="2"/>
            <charset val="186"/>
          </rPr>
          <t xml:space="preserve">Iš 65 kamerų, 5 neefektyviai veikiančias kameras planuojama perkelti į kitas vietas. Lėšos skiriamos už perkėlimą
</t>
        </r>
      </text>
    </comment>
    <comment ref="E84" authorId="0" shapeId="0">
      <text>
        <r>
          <rPr>
            <b/>
            <sz val="9"/>
            <color indexed="81"/>
            <rFont val="Tahoma"/>
            <family val="2"/>
            <charset val="186"/>
          </rPr>
          <t xml:space="preserve">2.4.1.2. KSP </t>
        </r>
        <r>
          <rPr>
            <sz val="9"/>
            <color indexed="81"/>
            <rFont val="Tahoma"/>
            <family val="2"/>
            <charset val="186"/>
          </rPr>
          <t>Sutvarkyti ir pritaikyti visuomenės arba rekreaciniams poreikiams Danės upės slėnio ir žiočių teritorijas; Danės upę pritaikyti laivybai, rekonstruoti Danės upės krantines nuo Biržos tilto iki Mokyklos gatvės tilto:</t>
        </r>
        <r>
          <rPr>
            <sz val="9"/>
            <color indexed="81"/>
            <rFont val="Tahoma"/>
            <family val="2"/>
            <charset val="186"/>
          </rPr>
          <t xml:space="preserve">
</t>
        </r>
      </text>
    </comment>
    <comment ref="E90" authorId="0" shapeId="0">
      <text>
        <r>
          <rPr>
            <sz val="9"/>
            <color indexed="81"/>
            <rFont val="Tahoma"/>
            <family val="2"/>
            <charset val="186"/>
          </rPr>
          <t xml:space="preserve">1.6.3.3 . Pertvarkyti futbolo mokyklos ir baseino pastatus (taikant modernias technologijas ir atsinaujinančius energijos šaltinius), įkuriant sporto paslaugų kompleksą, skirtą įvairioms amžiaus grupėms
 </t>
        </r>
      </text>
    </comment>
    <comment ref="E91" authorId="0" shapeId="0">
      <text>
        <r>
          <rPr>
            <sz val="9"/>
            <color indexed="81"/>
            <rFont val="Tahoma"/>
            <family val="2"/>
            <charset val="186"/>
          </rPr>
          <t xml:space="preserve">Pertvarkyti II vandenvietę, pritaikant buvusią infrastruktūrą švietimo, sporto, saviraiškos reikmėms (naudojant pažangias technologijas ir atsinaujinančius energijos šaltinius)
</t>
        </r>
      </text>
    </comment>
    <comment ref="O118" authorId="1" shapeId="0">
      <text>
        <r>
          <rPr>
            <b/>
            <sz val="9"/>
            <color indexed="81"/>
            <rFont val="Tahoma"/>
            <family val="2"/>
            <charset val="186"/>
          </rPr>
          <t>Saulina Paulauskiene:</t>
        </r>
        <r>
          <rPr>
            <sz val="9"/>
            <color indexed="81"/>
            <rFont val="Tahoma"/>
            <family val="2"/>
            <charset val="186"/>
          </rPr>
          <t xml:space="preserve">
Įgyvendinant Klaipėdos miesto energinio efektyvumo didinimo daugiabučiuose namuose programą, pagal 2013 m. birželio 20 d. pasirašytą sutartį su UAB „AF-Consult“ Nr. J9-738/739 buvo parengti 24 energinio naudingumo sertifikatai bei investicijų planai. Pagal parengtus investicijų planus statybos darbų nupirkti nepavyko 19-kai daugiabučių namų (dėl ženkliai padidėjusių statybos darbų kainų), todėl investicijų planus reikėjo koreguoti visiems 19-kai namų. Už suteiktas paslaugas, jeigu jos perkamos iš to paties tiekėjo su kuriuo sudaryta pradinė pirkimo sutartis ir papildomai sudarytų sutarčių kaina neviršija 50 procentų pagrindinės pirkimo sutarties vertės, apmoka Būsto energijos taupymo agentūra, pervedant lėšas į Savivaldybės sąskaitą, kad Savivaldybė, kaip projekto partneris, atsiskaitytų su UAB „AF-Consult“. Tačiau „AF-Consult“ už atliktus darbus išrašė sąskaitas taip (Užsakovas-Savivaldybė; Mokėtojas-Būsto energijos taupymo agentūra), todėl piniginės lėšos už atliktus darbus buvo apmokamos Būsto energijos taupymo agentūros tiesiogiai vykdytojui tai yra „AF-Consult“.</t>
        </r>
      </text>
    </comment>
  </commentList>
</comments>
</file>

<file path=xl/comments2.xml><?xml version="1.0" encoding="utf-8"?>
<comments xmlns="http://schemas.openxmlformats.org/spreadsheetml/2006/main">
  <authors>
    <author>Audra Cepiene</author>
  </authors>
  <commentList>
    <comment ref="F17" authorId="0" shapeId="0">
      <text>
        <r>
          <rPr>
            <b/>
            <sz val="9"/>
            <color indexed="81"/>
            <rFont val="Tahoma"/>
            <family val="2"/>
            <charset val="186"/>
          </rPr>
          <t xml:space="preserve">2.4.2.5. KSP priemonė: </t>
        </r>
        <r>
          <rPr>
            <sz val="9"/>
            <color indexed="81"/>
            <rFont val="Tahoma"/>
            <family val="2"/>
            <charset val="186"/>
          </rPr>
          <t xml:space="preserve">Atnaujinti gyvenamųjų kvartalų centrines aikštes ir kitas viešąsias erdves
</t>
        </r>
        <r>
          <rPr>
            <b/>
            <sz val="9"/>
            <color indexed="81"/>
            <rFont val="Tahoma"/>
            <family val="2"/>
            <charset val="186"/>
          </rPr>
          <t>3.2.1.7 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L19" authorId="0" shapeId="0">
      <text>
        <r>
          <rPr>
            <sz val="9"/>
            <color indexed="81"/>
            <rFont val="Tahoma"/>
            <family val="2"/>
            <charset val="186"/>
          </rPr>
          <t xml:space="preserve">Eksplotuojami  fontanai: "Taravos Anikė" ir "Laivelis" Meridiano skvere. Nuo 2016 m. - Debreceno aikštės fontanas.
</t>
        </r>
      </text>
    </comment>
    <comment ref="L24" authorId="0" shapeId="0">
      <text>
        <r>
          <rPr>
            <sz val="9"/>
            <color indexed="81"/>
            <rFont val="Tahoma"/>
            <family val="2"/>
            <charset val="186"/>
          </rPr>
          <t>Informacinės kolonos prie Biržos tilto, Turizmo informacinių stendų remontas, Paplūdimių inform. sisitemos objektų remontas.</t>
        </r>
      </text>
    </comment>
    <comment ref="L26" authorId="0" shapeId="0">
      <text>
        <r>
          <rPr>
            <sz val="9"/>
            <color indexed="81"/>
            <rFont val="Tahoma"/>
            <family val="2"/>
            <charset val="186"/>
          </rPr>
          <t>Įsigyta suoliukų ir šiukšliadėžių autobusų stotelėse ir miesto parkuose</t>
        </r>
      </text>
    </comment>
    <comment ref="F36" authorId="0" shapeId="0">
      <text>
        <r>
          <rPr>
            <b/>
            <sz val="9"/>
            <color indexed="81"/>
            <rFont val="Tahoma"/>
            <family val="2"/>
            <charset val="186"/>
          </rPr>
          <t>KSP 3.2.1.7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F38" authorId="0" shapeId="0">
      <text>
        <r>
          <rPr>
            <b/>
            <sz val="9"/>
            <color indexed="81"/>
            <rFont val="Tahoma"/>
            <family val="2"/>
            <charset val="186"/>
          </rPr>
          <t xml:space="preserve">2.4.2.5. KSP priemonė: </t>
        </r>
        <r>
          <rPr>
            <sz val="9"/>
            <color indexed="81"/>
            <rFont val="Tahoma"/>
            <family val="2"/>
            <charset val="186"/>
          </rPr>
          <t xml:space="preserve">Atnaujinti gyvenamųjų kvartalų centrines aikštes ir kitas viešąsias erdves
</t>
        </r>
      </text>
    </comment>
    <comment ref="E46" authorId="0" shapeId="0">
      <text>
        <r>
          <rPr>
            <sz val="9"/>
            <color indexed="81"/>
            <rFont val="Tahoma"/>
            <family val="2"/>
            <charset val="186"/>
          </rPr>
          <t xml:space="preserve">Sutarties objektas – </t>
        </r>
        <r>
          <rPr>
            <b/>
            <sz val="9"/>
            <color indexed="81"/>
            <rFont val="Tahoma"/>
            <family val="2"/>
            <charset val="186"/>
          </rPr>
          <t>gyvūnų gaudymo, surinkimo, priežiūros, karantinavimo, eutanazijos ir utilizavimo paslauga</t>
        </r>
      </text>
    </comment>
    <comment ref="L46" authorId="0" shapeId="0">
      <text>
        <r>
          <rPr>
            <sz val="9"/>
            <color indexed="81"/>
            <rFont val="Tahoma"/>
            <family val="2"/>
            <charset val="186"/>
          </rPr>
          <t xml:space="preserve">Šunys, katės ir kt. gyvūnai (šeškai, paukščiai, laukiniai gyvūnai (ruoniai, šernai ir kt.)
</t>
        </r>
      </text>
    </comment>
    <comment ref="L47" authorId="0" shapeId="0">
      <text>
        <r>
          <rPr>
            <sz val="9"/>
            <color indexed="81"/>
            <rFont val="Tahoma"/>
            <family val="2"/>
            <charset val="186"/>
          </rPr>
          <t xml:space="preserve">Pagal teisės aktus sugautus ar priimtus iš gyventojų sveikus gyvūnus (šunis ir kates) laiko </t>
        </r>
        <r>
          <rPr>
            <b/>
            <sz val="9"/>
            <color indexed="81"/>
            <rFont val="Tahoma"/>
            <family val="2"/>
            <charset val="186"/>
          </rPr>
          <t>3 paras</t>
        </r>
        <r>
          <rPr>
            <sz val="9"/>
            <color indexed="81"/>
            <rFont val="Tahoma"/>
            <family val="2"/>
            <charset val="186"/>
          </rPr>
          <t xml:space="preserve">;
užtikrina gyvūnų gaudymo, surinkimo ir karantinavimo tarnyboje laikomų gyvūnų </t>
        </r>
        <r>
          <rPr>
            <b/>
            <sz val="9"/>
            <color indexed="81"/>
            <rFont val="Tahoma"/>
            <family val="2"/>
            <charset val="186"/>
          </rPr>
          <t>šėrimą,</t>
        </r>
        <r>
          <rPr>
            <sz val="9"/>
            <color indexed="81"/>
            <rFont val="Tahoma"/>
            <family val="2"/>
            <charset val="186"/>
          </rPr>
          <t xml:space="preserve"> laikymo ar karantinavimo laikotarpiu,</t>
        </r>
        <r>
          <rPr>
            <b/>
            <sz val="9"/>
            <color indexed="81"/>
            <rFont val="Tahoma"/>
            <family val="2"/>
            <charset val="186"/>
          </rPr>
          <t xml:space="preserve"> jiems pritaikytu ėdalu</t>
        </r>
      </text>
    </comment>
    <comment ref="J49" authorId="0" shapeId="0">
      <text>
        <r>
          <rPr>
            <sz val="9"/>
            <color indexed="81"/>
            <rFont val="Tahoma"/>
            <family val="2"/>
            <charset val="186"/>
          </rPr>
          <t xml:space="preserve">Rinkliavos lėšos už šunų ir kačių laikymą
</t>
        </r>
      </text>
    </comment>
    <comment ref="F51"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L53" authorId="0" shapeId="0">
      <text>
        <r>
          <rPr>
            <sz val="9"/>
            <color indexed="81"/>
            <rFont val="Tahoma"/>
            <family val="2"/>
            <charset val="186"/>
          </rPr>
          <t>Viešieji tualetai: Stovyklų g. 4 –21,79 m2; Kopų g. 1A (I Melnragė) – 87,25 m2;</t>
        </r>
      </text>
    </comment>
    <comment ref="F70" authorId="0" shapeId="0">
      <text>
        <r>
          <rPr>
            <b/>
            <sz val="9"/>
            <color indexed="81"/>
            <rFont val="Tahoma"/>
            <family val="2"/>
            <charset val="186"/>
          </rPr>
          <t>KSP 2.3.2.5</t>
        </r>
        <r>
          <rPr>
            <sz val="9"/>
            <color indexed="81"/>
            <rFont val="Tahoma"/>
            <family val="2"/>
            <charset val="186"/>
          </rPr>
          <t xml:space="preserve">
Gerinti Klaipėdos miesto viešųjų erdvių apšvietimo efektyvumą ir kokybę</t>
        </r>
      </text>
    </comment>
    <comment ref="E77" authorId="0" shapeId="0">
      <text>
        <r>
          <rPr>
            <sz val="9"/>
            <color indexed="81"/>
            <rFont val="Tahoma"/>
            <family val="2"/>
            <charset val="186"/>
          </rPr>
          <t xml:space="preserve">pagal 2013-10-22 SPG protokolą STR3-19
</t>
        </r>
      </text>
    </comment>
    <comment ref="L81" authorId="0" shapeId="0">
      <text>
        <r>
          <rPr>
            <sz val="9"/>
            <color indexed="81"/>
            <rFont val="Tahoma"/>
            <family val="2"/>
            <charset val="186"/>
          </rPr>
          <t xml:space="preserve">Iš 65 kamerų 5 neefektyviai veikiančias kameras planuojama perkelti į kitas vietas. Lėšos skiriamos už perkėlimą
</t>
        </r>
      </text>
    </comment>
    <comment ref="F83" authorId="0" shapeId="0">
      <text>
        <r>
          <rPr>
            <b/>
            <sz val="9"/>
            <color indexed="81"/>
            <rFont val="Tahoma"/>
            <family val="2"/>
            <charset val="186"/>
          </rPr>
          <t xml:space="preserve">2.4.1.2. KSP </t>
        </r>
        <r>
          <rPr>
            <sz val="9"/>
            <color indexed="81"/>
            <rFont val="Tahoma"/>
            <family val="2"/>
            <charset val="186"/>
          </rPr>
          <t>Sutvarkyti ir pritaikyti visuomenės arba rekreaciniams poreikiams Danės upės slėnio ir žiočių teritorijas; Danės upę pritaikyti laivybai, rekonstruoti Danės upės krantines nuo Biržos tilto iki Mokyklos gatvės tilto:</t>
        </r>
        <r>
          <rPr>
            <sz val="9"/>
            <color indexed="81"/>
            <rFont val="Tahoma"/>
            <family val="2"/>
            <charset val="186"/>
          </rPr>
          <t xml:space="preserve">
</t>
        </r>
      </text>
    </comment>
    <comment ref="F88" authorId="0" shapeId="0">
      <text>
        <r>
          <rPr>
            <sz val="9"/>
            <color indexed="81"/>
            <rFont val="Tahoma"/>
            <family val="2"/>
            <charset val="186"/>
          </rPr>
          <t>1.6.3.3 . Pertvarkyti futbolo mokyklos ir baseino pastatus (taikant modernias technologijas ir atsinaujinančius energijos šaltinius), įkuriant sporto paslaugų kompleksą, skirtą įvairioms amžiaus grupėms</t>
        </r>
        <r>
          <rPr>
            <b/>
            <sz val="9"/>
            <color indexed="81"/>
            <rFont val="Tahoma"/>
            <family val="2"/>
            <charset val="186"/>
          </rPr>
          <t xml:space="preserve">
 </t>
        </r>
      </text>
    </comment>
    <comment ref="F90" authorId="0" shapeId="0">
      <text>
        <r>
          <rPr>
            <sz val="9"/>
            <color indexed="81"/>
            <rFont val="Tahoma"/>
            <family val="2"/>
            <charset val="186"/>
          </rPr>
          <t xml:space="preserve">Pertvarkyti II vandenvietę, pritaikant buvusią infrastruktūrą švietimo, sporto, saviraiškos reikmėms (naudojant pažangias technologijas ir atsinaujinančius energijos šaltinius)
</t>
        </r>
      </text>
    </comment>
    <comment ref="E109" authorId="0" shapeId="0">
      <text>
        <r>
          <rPr>
            <b/>
            <sz val="9"/>
            <color indexed="81"/>
            <rFont val="Tahoma"/>
            <family val="2"/>
            <charset val="186"/>
          </rPr>
          <t>Audra Cepiene:</t>
        </r>
        <r>
          <rPr>
            <sz val="9"/>
            <color indexed="81"/>
            <rFont val="Tahoma"/>
            <family val="2"/>
            <charset val="186"/>
          </rPr>
          <t xml:space="preserve">
naujos</t>
        </r>
      </text>
    </comment>
  </commentList>
</comments>
</file>

<file path=xl/comments3.xml><?xml version="1.0" encoding="utf-8"?>
<comments xmlns="http://schemas.openxmlformats.org/spreadsheetml/2006/main">
  <authors>
    <author>Audra Cepiene</author>
    <author>Indre Buteniene</author>
  </authors>
  <commentList>
    <comment ref="Y15" authorId="0" shapeId="0">
      <text>
        <r>
          <rPr>
            <sz val="9"/>
            <color indexed="81"/>
            <rFont val="Tahoma"/>
            <family val="2"/>
            <charset val="186"/>
          </rPr>
          <t xml:space="preserve">Eksplotuojami  fontanai: "Taravos Anikė" ir "Laivelis" Meridiano skvere. Nuo 2016 m. - Debreceno aikštės fontanas.
</t>
        </r>
      </text>
    </comment>
    <comment ref="P18" authorId="0" shapeId="0">
      <text>
        <r>
          <rPr>
            <b/>
            <sz val="9"/>
            <color indexed="81"/>
            <rFont val="Tahoma"/>
            <family val="2"/>
            <charset val="186"/>
          </rPr>
          <t>Audra Cepiene:</t>
        </r>
        <r>
          <rPr>
            <sz val="9"/>
            <color indexed="81"/>
            <rFont val="Tahoma"/>
            <family val="2"/>
            <charset val="186"/>
          </rPr>
          <t xml:space="preserve">
perkeltos šiukšlinės į5 pr. 37,3 tūkst.Lt (50 vnt.)</t>
        </r>
      </text>
    </comment>
    <comment ref="Y20" authorId="0" shapeId="0">
      <text>
        <r>
          <rPr>
            <b/>
            <sz val="9"/>
            <color indexed="81"/>
            <rFont val="Tahoma"/>
            <family val="2"/>
            <charset val="186"/>
          </rPr>
          <t>Audra Cepiene:</t>
        </r>
        <r>
          <rPr>
            <sz val="9"/>
            <color indexed="81"/>
            <rFont val="Tahoma"/>
            <family val="2"/>
            <charset val="186"/>
          </rPr>
          <t xml:space="preserve">
Informacinės kolonos prie Biržos tilto, Turizmo informacinių stendų remontas, Paplūdimių inform. sisitemos objektų remontas.</t>
        </r>
      </text>
    </comment>
    <comment ref="Y22" authorId="0" shapeId="0">
      <text>
        <r>
          <rPr>
            <b/>
            <sz val="9"/>
            <color indexed="81"/>
            <rFont val="Tahoma"/>
            <family val="2"/>
            <charset val="186"/>
          </rPr>
          <t>Audra Cepiene:</t>
        </r>
        <r>
          <rPr>
            <sz val="9"/>
            <color indexed="81"/>
            <rFont val="Tahoma"/>
            <family val="2"/>
            <charset val="186"/>
          </rPr>
          <t xml:space="preserve">
Įsigyta suoliukų ir šiukšliadėžių autobusų stotelėse ir miesto parkuose</t>
        </r>
      </text>
    </comment>
    <comment ref="Y25" authorId="0" shapeId="0">
      <text>
        <r>
          <rPr>
            <b/>
            <sz val="9"/>
            <color indexed="81"/>
            <rFont val="Tahoma"/>
            <family val="2"/>
            <charset val="186"/>
          </rPr>
          <t>Audra Cepiene:</t>
        </r>
        <r>
          <rPr>
            <sz val="9"/>
            <color indexed="81"/>
            <rFont val="Tahoma"/>
            <family val="2"/>
            <charset val="186"/>
          </rPr>
          <t xml:space="preserve">
8 tūkst. Lt 2 vnt. ženklų</t>
        </r>
      </text>
    </comment>
    <comment ref="Y27" authorId="0" shapeId="0">
      <text>
        <r>
          <rPr>
            <b/>
            <sz val="9"/>
            <color indexed="81"/>
            <rFont val="Tahoma"/>
            <family val="2"/>
            <charset val="186"/>
          </rPr>
          <t>Audra Cepiene:</t>
        </r>
        <r>
          <rPr>
            <sz val="9"/>
            <color indexed="81"/>
            <rFont val="Tahoma"/>
            <family val="2"/>
            <charset val="186"/>
          </rPr>
          <t xml:space="preserve">
50 tūkst. lt</t>
        </r>
      </text>
    </comment>
    <comment ref="E32" authorId="0" shapeId="0">
      <text>
        <r>
          <rPr>
            <sz val="9"/>
            <color indexed="81"/>
            <rFont val="Tahoma"/>
            <family val="2"/>
            <charset val="186"/>
          </rPr>
          <t xml:space="preserve">2013-10-22 SPG protokolas STR3-19
</t>
        </r>
      </text>
    </comment>
    <comment ref="F32" authorId="0" shapeId="0">
      <text>
        <r>
          <rPr>
            <b/>
            <sz val="9"/>
            <color indexed="81"/>
            <rFont val="Tahoma"/>
            <family val="2"/>
            <charset val="186"/>
          </rPr>
          <t>KSP priemonė:</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R33" authorId="0" shapeId="0">
      <text>
        <r>
          <rPr>
            <b/>
            <sz val="9"/>
            <color indexed="81"/>
            <rFont val="Tahoma"/>
            <family val="2"/>
            <charset val="186"/>
          </rPr>
          <t>Audra Cepiene:</t>
        </r>
        <r>
          <rPr>
            <sz val="9"/>
            <color indexed="81"/>
            <rFont val="Tahoma"/>
            <family val="2"/>
            <charset val="186"/>
          </rPr>
          <t xml:space="preserve">
paskaičiuoto projekto vertė - 118,2 tūkst. Lt Lėšos formuotos/perkeltos iš 010301 priemonės "Daugiabučių kiemų". Pagal MŪD protokolą siūlo skirti 70 tūskt. Lt.</t>
        </r>
      </text>
    </comment>
    <comment ref="F34" authorId="0" shapeId="0">
      <text>
        <r>
          <rPr>
            <b/>
            <sz val="9"/>
            <color indexed="81"/>
            <rFont val="Tahoma"/>
            <family val="2"/>
            <charset val="186"/>
          </rPr>
          <t xml:space="preserve">2.4.2.5. KSP priemonė: </t>
        </r>
        <r>
          <rPr>
            <sz val="9"/>
            <color indexed="81"/>
            <rFont val="Tahoma"/>
            <family val="2"/>
            <charset val="186"/>
          </rPr>
          <t xml:space="preserve">Atnaujinti gyvenamųjų kvartalų centrines aikštes ir kitas viešąsias erdves
</t>
        </r>
      </text>
    </comment>
    <comment ref="R34" authorId="0" shapeId="0">
      <text>
        <r>
          <rPr>
            <b/>
            <sz val="9"/>
            <color indexed="81"/>
            <rFont val="Tahoma"/>
            <family val="2"/>
            <charset val="186"/>
          </rPr>
          <t>Audra Cepiene:</t>
        </r>
        <r>
          <rPr>
            <sz val="9"/>
            <color indexed="81"/>
            <rFont val="Tahoma"/>
            <family val="2"/>
            <charset val="186"/>
          </rPr>
          <t xml:space="preserve">
pagal MŪD protokolą</t>
        </r>
      </text>
    </comment>
    <comment ref="X35" authorId="1" shapeId="0">
      <text>
        <r>
          <rPr>
            <sz val="9"/>
            <color indexed="81"/>
            <rFont val="Tahoma"/>
            <family val="2"/>
            <charset val="186"/>
          </rPr>
          <t>Iš viso projekto vertė 500 tūkst. lt</t>
        </r>
      </text>
    </comment>
    <comment ref="F36" authorId="0" shapeId="0">
      <text>
        <r>
          <rPr>
            <b/>
            <sz val="9"/>
            <color indexed="81"/>
            <rFont val="Tahoma"/>
            <family val="2"/>
            <charset val="186"/>
          </rPr>
          <t>2.4.2.6 KSP priemonė:</t>
        </r>
        <r>
          <rPr>
            <sz val="9"/>
            <color indexed="81"/>
            <rFont val="Tahoma"/>
            <family val="2"/>
            <charset val="186"/>
          </rPr>
          <t xml:space="preserve">
Atnaujinti Atgimimo aikštės teritoriją</t>
        </r>
      </text>
    </comment>
    <comment ref="P44" authorId="0" shapeId="0">
      <text>
        <r>
          <rPr>
            <sz val="9"/>
            <color indexed="81"/>
            <rFont val="Tahoma"/>
            <family val="2"/>
            <charset val="186"/>
          </rPr>
          <t>Sumažinta 400 tūkst. Lt
2014 m. lygis 6753,0 tūkst. Lt</t>
        </r>
      </text>
    </comment>
    <comment ref="Y45" authorId="0" shapeId="0">
      <text>
        <r>
          <rPr>
            <b/>
            <sz val="9"/>
            <color indexed="81"/>
            <rFont val="Tahoma"/>
            <family val="2"/>
            <charset val="186"/>
          </rPr>
          <t>Priemonė. Želdynų ir želdinių apsaugos, tvarkymo ir kūrimo valdymas savivaldybėse</t>
        </r>
        <r>
          <rPr>
            <sz val="9"/>
            <color indexed="81"/>
            <rFont val="Tahoma"/>
            <family val="2"/>
            <charset val="186"/>
          </rPr>
          <t xml:space="preserve">
</t>
        </r>
      </text>
    </comment>
    <comment ref="E49" authorId="0" shapeId="0">
      <text>
        <r>
          <rPr>
            <sz val="9"/>
            <color indexed="81"/>
            <rFont val="Tahoma"/>
            <family val="2"/>
            <charset val="186"/>
          </rPr>
          <t xml:space="preserve">Sutarties objektas – </t>
        </r>
        <r>
          <rPr>
            <b/>
            <sz val="9"/>
            <color indexed="81"/>
            <rFont val="Tahoma"/>
            <family val="2"/>
            <charset val="186"/>
          </rPr>
          <t>gyvūnų gaudymo, surinkimo, priežiūros, karantinavimo, eutanazijos ir utilizavimo paslauga</t>
        </r>
      </text>
    </comment>
    <comment ref="Y49" authorId="0" shapeId="0">
      <text>
        <r>
          <rPr>
            <sz val="9"/>
            <color indexed="81"/>
            <rFont val="Tahoma"/>
            <family val="2"/>
            <charset val="186"/>
          </rPr>
          <t xml:space="preserve">Šunys, katės ir kt. gyvūnai (šeškai, paukščiai, laukiniai gyvūnai (ruoniai, šernai ir kt.)
</t>
        </r>
      </text>
    </comment>
    <comment ref="Y50" authorId="0" shapeId="0">
      <text>
        <r>
          <rPr>
            <sz val="9"/>
            <color indexed="81"/>
            <rFont val="Tahoma"/>
            <family val="2"/>
            <charset val="186"/>
          </rPr>
          <t xml:space="preserve">Pagal teisės aktus sugautus ar priimtus iš gyventojų sveikus gyvūnus (šunis ir kates) laiko </t>
        </r>
        <r>
          <rPr>
            <b/>
            <sz val="9"/>
            <color indexed="81"/>
            <rFont val="Tahoma"/>
            <family val="2"/>
            <charset val="186"/>
          </rPr>
          <t>3 paras</t>
        </r>
        <r>
          <rPr>
            <sz val="9"/>
            <color indexed="81"/>
            <rFont val="Tahoma"/>
            <family val="2"/>
            <charset val="186"/>
          </rPr>
          <t xml:space="preserve">;
užtikrina gyvūnų gaudymo, surinkimo ir karantinavimo tarnyboje laikomų gyvūnų </t>
        </r>
        <r>
          <rPr>
            <b/>
            <sz val="9"/>
            <color indexed="81"/>
            <rFont val="Tahoma"/>
            <family val="2"/>
            <charset val="186"/>
          </rPr>
          <t>šėrimą,</t>
        </r>
        <r>
          <rPr>
            <sz val="9"/>
            <color indexed="81"/>
            <rFont val="Tahoma"/>
            <family val="2"/>
            <charset val="186"/>
          </rPr>
          <t xml:space="preserve"> laikymo ar karantinavimo laikotarpiu,</t>
        </r>
        <r>
          <rPr>
            <b/>
            <sz val="9"/>
            <color indexed="81"/>
            <rFont val="Tahoma"/>
            <family val="2"/>
            <charset val="186"/>
          </rPr>
          <t xml:space="preserve"> jiems pritaikytu ėdalu</t>
        </r>
      </text>
    </comment>
    <comment ref="J52" authorId="0" shapeId="0">
      <text>
        <r>
          <rPr>
            <sz val="9"/>
            <color indexed="81"/>
            <rFont val="Tahoma"/>
            <family val="2"/>
            <charset val="186"/>
          </rPr>
          <t xml:space="preserve">Rinkliavos lėšos už šunų ir kačių laikymą
</t>
        </r>
      </text>
    </comment>
    <comment ref="F54" authorId="0" shapeId="0">
      <text>
        <r>
          <rPr>
            <sz val="9"/>
            <color indexed="81"/>
            <rFont val="Tahoma"/>
            <family val="2"/>
            <charset val="186"/>
          </rPr>
          <t>2.4.2.8
Diegti aukšto lygio paslaugų ir infrastruktūros parametrus miesto paplūdimiuose ir kitose poilsio zonose</t>
        </r>
      </text>
    </comment>
    <comment ref="Y59" authorId="0" shapeId="0">
      <text>
        <r>
          <rPr>
            <sz val="9"/>
            <color indexed="81"/>
            <rFont val="Tahoma"/>
            <family val="2"/>
            <charset val="186"/>
          </rPr>
          <t>Viešieji tualetai: Stovyklų g. 4 –21,79 m2; Kopų g. 1A (I Melnragė) – 87,25 m2;</t>
        </r>
      </text>
    </comment>
    <comment ref="Y64" authorId="0" shapeId="0">
      <text>
        <r>
          <rPr>
            <sz val="9"/>
            <color indexed="81"/>
            <rFont val="Tahoma"/>
            <family val="2"/>
            <charset val="186"/>
          </rPr>
          <t>Administraciniai ir gamybiniai pastatai Gluosnių g. 8 – 305,72 m2; Viešieji tualetai Stovyklų g. 4 –21,79 m2; Gelbėjimo stotis Smiltynės 15 c – 104,75 m2; Gelbėjimo stotis II Melnragė – 76,38 m2; Administracinės patalpos Garažų g. 6 – 299,99 m2; Viešieji tualetai I Melnragė Kopų g. 1A – 87,25 m2</t>
        </r>
      </text>
    </comment>
    <comment ref="O65" authorId="0" shapeId="0">
      <text>
        <r>
          <rPr>
            <b/>
            <sz val="9"/>
            <color indexed="81"/>
            <rFont val="Tahoma"/>
            <family val="2"/>
            <charset val="186"/>
          </rPr>
          <t>Audra Cepiene:</t>
        </r>
        <r>
          <rPr>
            <sz val="9"/>
            <color indexed="81"/>
            <rFont val="Tahoma"/>
            <family val="2"/>
            <charset val="186"/>
          </rPr>
          <t xml:space="preserve">
sumažinta 36,2 tūkst.Lt</t>
        </r>
      </text>
    </comment>
    <comment ref="O71" authorId="0" shapeId="0">
      <text>
        <r>
          <rPr>
            <b/>
            <sz val="9"/>
            <color indexed="81"/>
            <rFont val="Tahoma"/>
            <family val="2"/>
            <charset val="186"/>
          </rPr>
          <t>Audra Cepiene:</t>
        </r>
        <r>
          <rPr>
            <sz val="9"/>
            <color indexed="81"/>
            <rFont val="Tahoma"/>
            <family val="2"/>
            <charset val="186"/>
          </rPr>
          <t xml:space="preserve">
perkelta  2016 m.</t>
        </r>
      </text>
    </comment>
    <comment ref="F77" authorId="0" shapeId="0">
      <text>
        <r>
          <rPr>
            <b/>
            <sz val="9"/>
            <color indexed="81"/>
            <rFont val="Tahoma"/>
            <family val="2"/>
            <charset val="186"/>
          </rPr>
          <t>KSP 2.3.2.5</t>
        </r>
        <r>
          <rPr>
            <sz val="9"/>
            <color indexed="81"/>
            <rFont val="Tahoma"/>
            <family val="2"/>
            <charset val="186"/>
          </rPr>
          <t xml:space="preserve">
Gerinti Klaipėdos miesto viešųjų erdvių apšvietimo efektyvumą ir kokybę</t>
        </r>
      </text>
    </comment>
    <comment ref="P81" authorId="0" shapeId="0">
      <text>
        <r>
          <rPr>
            <b/>
            <sz val="9"/>
            <color indexed="81"/>
            <rFont val="Tahoma"/>
            <family val="2"/>
            <charset val="186"/>
          </rPr>
          <t>Audra Cepiene:</t>
        </r>
        <r>
          <rPr>
            <sz val="9"/>
            <color indexed="81"/>
            <rFont val="Tahoma"/>
            <family val="2"/>
            <charset val="186"/>
          </rPr>
          <t xml:space="preserve">
sumažinta 200 tūkst. lt.
2014 m. lygis - 2524,3 tūkst. Lt</t>
        </r>
      </text>
    </comment>
    <comment ref="E83" authorId="0" shapeId="0">
      <text>
        <r>
          <rPr>
            <b/>
            <sz val="9"/>
            <color indexed="81"/>
            <rFont val="Tahoma"/>
            <family val="2"/>
            <charset val="186"/>
          </rPr>
          <t>Audra Cepiene:</t>
        </r>
        <r>
          <rPr>
            <sz val="9"/>
            <color indexed="81"/>
            <rFont val="Tahoma"/>
            <family val="2"/>
            <charset val="186"/>
          </rPr>
          <t xml:space="preserve">
nauja</t>
        </r>
      </text>
    </comment>
    <comment ref="E84" authorId="0" shapeId="0">
      <text>
        <r>
          <rPr>
            <sz val="9"/>
            <color indexed="81"/>
            <rFont val="Tahoma"/>
            <family val="2"/>
            <charset val="186"/>
          </rPr>
          <t xml:space="preserve">pagal 2013-10-22 SPG protokolą STR3-19
</t>
        </r>
      </text>
    </comment>
    <comment ref="F86" authorId="0" shapeId="0">
      <text>
        <r>
          <rPr>
            <b/>
            <sz val="9"/>
            <color indexed="81"/>
            <rFont val="Tahoma"/>
            <family val="2"/>
            <charset val="186"/>
          </rPr>
          <t>KSP 2.3.2.1</t>
        </r>
        <r>
          <rPr>
            <sz val="9"/>
            <color indexed="81"/>
            <rFont val="Tahoma"/>
            <family val="2"/>
            <charset val="186"/>
          </rPr>
          <t xml:space="preserve">
Parengti ir įgyvendinti atsinaujinančių energijos šaltinių panaudojimo plėtros planą</t>
        </r>
      </text>
    </comment>
    <comment ref="Y89" authorId="0" shapeId="0">
      <text>
        <r>
          <rPr>
            <sz val="9"/>
            <color indexed="81"/>
            <rFont val="Tahoma"/>
            <family val="2"/>
            <charset val="186"/>
          </rPr>
          <t>duomenų apdorojimas ir dominančių įvykių paieška</t>
        </r>
      </text>
    </comment>
    <comment ref="F92" authorId="0" shapeId="0">
      <text>
        <r>
          <rPr>
            <b/>
            <sz val="9"/>
            <color indexed="81"/>
            <rFont val="Tahoma"/>
            <family val="2"/>
            <charset val="186"/>
          </rPr>
          <t xml:space="preserve">2.4.1.2. KSP </t>
        </r>
        <r>
          <rPr>
            <sz val="9"/>
            <color indexed="81"/>
            <rFont val="Tahoma"/>
            <family val="2"/>
            <charset val="186"/>
          </rPr>
          <t>Sutvarkyti ir pritaikyti visuomenės arba rekreaciniams poreikiams Danės upės slėnio ir žiočių teritorijas; Danės upę pritaikyti laivybai, rekonstruoti Danės upės krantines nuo Biržos tilto iki Mokyklos gatvės tilto:</t>
        </r>
        <r>
          <rPr>
            <sz val="9"/>
            <color indexed="81"/>
            <rFont val="Tahoma"/>
            <family val="2"/>
            <charset val="186"/>
          </rPr>
          <t xml:space="preserve">
</t>
        </r>
      </text>
    </comment>
    <comment ref="F98" authorId="0" shapeId="0">
      <text>
        <r>
          <rPr>
            <sz val="9"/>
            <color indexed="81"/>
            <rFont val="Tahoma"/>
            <family val="2"/>
            <charset val="186"/>
          </rPr>
          <t>1.6.3.3 . Pertvarkyti futbolo mokyklos ir baseino pastatus (taikant modernias technologijas ir atsinaujinančius energijos šaltinius), įkuriant sporto paslaugų kompleksą, skirtą įvairioms amžiaus grupėms</t>
        </r>
        <r>
          <rPr>
            <b/>
            <sz val="9"/>
            <color indexed="81"/>
            <rFont val="Tahoma"/>
            <family val="2"/>
            <charset val="186"/>
          </rPr>
          <t xml:space="preserve">
 </t>
        </r>
      </text>
    </comment>
    <comment ref="F100" authorId="0" shapeId="0">
      <text>
        <r>
          <rPr>
            <sz val="9"/>
            <color indexed="81"/>
            <rFont val="Tahoma"/>
            <family val="2"/>
            <charset val="186"/>
          </rPr>
          <t xml:space="preserve">Pertvarkyti II vandenvietę, pritaikant buvusią infrastruktūrą švietimo, sporto, saviraiškos reikmėms (naudojant pažangias technologijas ir atsinaujinančius energijos šaltinius)
</t>
        </r>
      </text>
    </comment>
    <comment ref="E130" authorId="0" shapeId="0">
      <text>
        <r>
          <rPr>
            <b/>
            <sz val="9"/>
            <color indexed="81"/>
            <rFont val="Tahoma"/>
            <family val="2"/>
            <charset val="186"/>
          </rPr>
          <t>Audra Cepiene:</t>
        </r>
        <r>
          <rPr>
            <sz val="9"/>
            <color indexed="81"/>
            <rFont val="Tahoma"/>
            <family val="2"/>
            <charset val="186"/>
          </rPr>
          <t xml:space="preserve">
naujos</t>
        </r>
      </text>
    </comment>
    <comment ref="P141" authorId="0" shapeId="0">
      <text>
        <r>
          <rPr>
            <sz val="9"/>
            <color indexed="81"/>
            <rFont val="Tahoma"/>
            <family val="2"/>
            <charset val="186"/>
          </rPr>
          <t xml:space="preserve">102,7 nulinis laidas, -48,2 trūkstama suma keliama į Karlskronos aikštę (118,2 tūkst.Lt)
</t>
        </r>
      </text>
    </comment>
    <comment ref="E165" authorId="0" shapeId="0">
      <text>
        <r>
          <rPr>
            <b/>
            <sz val="9"/>
            <color indexed="81"/>
            <rFont val="Tahoma"/>
            <family val="2"/>
            <charset val="186"/>
          </rPr>
          <t>Audra Cepiene:</t>
        </r>
        <r>
          <rPr>
            <sz val="9"/>
            <color indexed="81"/>
            <rFont val="Tahoma"/>
            <family val="2"/>
            <charset val="186"/>
          </rPr>
          <t xml:space="preserve">
nauja priemonė įtraukta 2014-11 sprendimu</t>
        </r>
      </text>
    </comment>
    <comment ref="K166" authorId="0" shapeId="0">
      <text>
        <r>
          <rPr>
            <b/>
            <sz val="9"/>
            <color indexed="81"/>
            <rFont val="Tahoma"/>
            <family val="2"/>
            <charset val="186"/>
          </rPr>
          <t>Audra Cepiene:</t>
        </r>
        <r>
          <rPr>
            <sz val="9"/>
            <color indexed="81"/>
            <rFont val="Tahoma"/>
            <family val="2"/>
            <charset val="186"/>
          </rPr>
          <t xml:space="preserve">
SB perskirstyti</t>
        </r>
      </text>
    </comment>
    <comment ref="K173" authorId="0" shapeId="0">
      <text>
        <r>
          <rPr>
            <b/>
            <sz val="9"/>
            <color indexed="81"/>
            <rFont val="Tahoma"/>
            <family val="2"/>
            <charset val="186"/>
          </rPr>
          <t>Audra Cepiene:</t>
        </r>
        <r>
          <rPr>
            <sz val="9"/>
            <color indexed="81"/>
            <rFont val="Tahoma"/>
            <family val="2"/>
            <charset val="186"/>
          </rPr>
          <t xml:space="preserve">
pirminis strateg. Įsakymas  37682,8 tūkst. lt, pirminis strateg. sprendimas 34965,8 tūkst. Lt (be SB(L)</t>
        </r>
      </text>
    </comment>
    <comment ref="K179" authorId="0" shapeId="0">
      <text>
        <r>
          <rPr>
            <b/>
            <sz val="9"/>
            <color indexed="81"/>
            <rFont val="Tahoma"/>
            <family val="2"/>
            <charset val="186"/>
          </rPr>
          <t>Audra Cepiene:</t>
        </r>
        <r>
          <rPr>
            <sz val="9"/>
            <color indexed="81"/>
            <rFont val="Tahoma"/>
            <family val="2"/>
            <charset val="186"/>
          </rPr>
          <t xml:space="preserve">
pirminis biudžetas 30997,5 tūkst. Lt</t>
        </r>
      </text>
    </comment>
    <comment ref="K182" authorId="0" shapeId="0">
      <text>
        <r>
          <rPr>
            <b/>
            <sz val="9"/>
            <color indexed="81"/>
            <rFont val="Tahoma"/>
            <family val="2"/>
            <charset val="186"/>
          </rPr>
          <t>Audra Cepiene:</t>
        </r>
        <r>
          <rPr>
            <sz val="9"/>
            <color indexed="81"/>
            <rFont val="Tahoma"/>
            <family val="2"/>
            <charset val="186"/>
          </rPr>
          <t xml:space="preserve">
pirminiame strateg. nėra</t>
        </r>
      </text>
    </comment>
  </commentList>
</comments>
</file>

<file path=xl/sharedStrings.xml><?xml version="1.0" encoding="utf-8"?>
<sst xmlns="http://schemas.openxmlformats.org/spreadsheetml/2006/main" count="1578" uniqueCount="482">
  <si>
    <t>tūkst. Lt</t>
  </si>
  <si>
    <t>Uždavinio kodas</t>
  </si>
  <si>
    <t>Priemonės kodas</t>
  </si>
  <si>
    <t>Priemonės požymis</t>
  </si>
  <si>
    <t>Asignavimų valdytojo kodas</t>
  </si>
  <si>
    <t>Finansavimo šaltinis</t>
  </si>
  <si>
    <t>Iš viso</t>
  </si>
  <si>
    <t>Išlaidoms</t>
  </si>
  <si>
    <t>01</t>
  </si>
  <si>
    <t>Iš viso:</t>
  </si>
  <si>
    <t>02</t>
  </si>
  <si>
    <t>Iš viso uždaviniui:</t>
  </si>
  <si>
    <t>Iš viso tikslui:</t>
  </si>
  <si>
    <t>Finansavimo šaltiniai</t>
  </si>
  <si>
    <t>Produkto kriterijaus</t>
  </si>
  <si>
    <t>Pavadinimas</t>
  </si>
  <si>
    <t>Iš jų darbo užmokesčiui</t>
  </si>
  <si>
    <t>Finansavimo šaltinių suvestinė</t>
  </si>
  <si>
    <t>SAVIVALDYBĖS  LĖŠOS, IŠ VISO:</t>
  </si>
  <si>
    <t>KITI ŠALTINIAI, IŠ VISO:</t>
  </si>
  <si>
    <t>IŠ VISO:</t>
  </si>
  <si>
    <t>Turtui įsigyti ir finansiniams įsipareigojimams vykdyti</t>
  </si>
  <si>
    <t xml:space="preserve"> TIKSLŲ, UŽDAVINIŲ, PRIEMONIŲ, PRIEMONIŲ IŠLAIDŲ IR PRODUKTO KRITERIJŲ SUVESTINĖ</t>
  </si>
  <si>
    <t>Veiklos plano tikslo kodas</t>
  </si>
  <si>
    <r>
      <t xml:space="preserve">Savivaldybės biudžeto lėšos </t>
    </r>
    <r>
      <rPr>
        <b/>
        <sz val="10"/>
        <rFont val="Times New Roman"/>
        <family val="1"/>
        <charset val="186"/>
      </rPr>
      <t>SB</t>
    </r>
  </si>
  <si>
    <r>
      <t xml:space="preserve">Specialiosios programos lėšos (pajamos už atsitiktines paslaugas) </t>
    </r>
    <r>
      <rPr>
        <b/>
        <sz val="10"/>
        <rFont val="Times New Roman"/>
        <family val="1"/>
        <charset val="186"/>
      </rPr>
      <t>SB(SP)</t>
    </r>
  </si>
  <si>
    <r>
      <t xml:space="preserve">Daugiabučių namų savininkų bendrijų fondo lėšos </t>
    </r>
    <r>
      <rPr>
        <b/>
        <sz val="10"/>
        <rFont val="Times New Roman"/>
        <family val="1"/>
        <charset val="186"/>
      </rPr>
      <t>SB(F)</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</si>
  <si>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</si>
  <si>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</si>
  <si>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Kelių priežiūros ir plėtros programos lėšos </t>
    </r>
    <r>
      <rPr>
        <b/>
        <sz val="10"/>
        <rFont val="Times New Roman"/>
        <family val="1"/>
        <charset val="186"/>
      </rPr>
      <t>KPP</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</si>
  <si>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</si>
  <si>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</si>
  <si>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2015-ieji metai</t>
  </si>
  <si>
    <t>SB</t>
  </si>
  <si>
    <t>MIESTO INFRASTRUKTŪROS OBJEKTŲ PRIEŽIŪROS IR MODERNIZAVIMO PROGRAMOS (NR. 07)</t>
  </si>
  <si>
    <t>03</t>
  </si>
  <si>
    <t>6</t>
  </si>
  <si>
    <t>06</t>
  </si>
  <si>
    <t>10</t>
  </si>
  <si>
    <t>08</t>
  </si>
  <si>
    <t>Gėlynų atnaujinimas ir įrengimas</t>
  </si>
  <si>
    <t>Fontanų priežiūra, remontas ir atnaujinimas</t>
  </si>
  <si>
    <t>Miesto viešų teritorijų inventoriaus priežiūra, įrengimas ir įsigijimas</t>
  </si>
  <si>
    <t>Prižiūrima fontanų, vnt.</t>
  </si>
  <si>
    <t>04</t>
  </si>
  <si>
    <t>05</t>
  </si>
  <si>
    <t>07</t>
  </si>
  <si>
    <t>Miesto viešųjų tualetų remontas, priežiūra ir nuoma</t>
  </si>
  <si>
    <t>Nugriauta statinių, vnt.</t>
  </si>
  <si>
    <t>Prižiūrima viešųjų tualetų, vnt.</t>
  </si>
  <si>
    <t>Viešojo tualeto paslaugų teikimas Melnragės paplūdimyje</t>
  </si>
  <si>
    <t>SB(SP)</t>
  </si>
  <si>
    <t>Sezoninių darbuotojų skaičius, vnt.</t>
  </si>
  <si>
    <t>Nuolatinių darbuotojų skaičius, vnt.</t>
  </si>
  <si>
    <t>Apšvietimo tinklų ir įrangos eksploatacija, avarinių gedimų likvidavimas ir radiofikacijos linijų remontas</t>
  </si>
  <si>
    <t>Elektros energijos įsigijimas miesto viešosioms erdvėms ir gatvėms apšviesti, šviesoforams</t>
  </si>
  <si>
    <t>Gatvių ir kiemų apšvietimo galios reguliatorių įdiegimas</t>
  </si>
  <si>
    <t>Įdiegta reguliatorių, vnt.</t>
  </si>
  <si>
    <t>Siekti, kad miesto viešosios erdvės būtų tvarkingos, jaukios ir saugios</t>
  </si>
  <si>
    <t>Užtikrinti laidojimo paslaugų teikimą, miesto kapinių priežiūrą ir poreikius atitinkantį laidojimo vietų skaičių</t>
  </si>
  <si>
    <t>Užtikrinti švarą ir tvarką daugiabučių gyvenamųjų namų kvartaluose, skatinti gyventojus renovuoti ir prižiūrėti savo turtą</t>
  </si>
  <si>
    <t>Eksploatuoti, remontuoti ir plėtoti inžinerinio aprūpinimo sistemas</t>
  </si>
  <si>
    <t>Senųjų kapinaičių sutvarkymas</t>
  </si>
  <si>
    <t>Išvežta mirusiųjų iš įvykio vietos, vnt.</t>
  </si>
  <si>
    <t>Mirusiųjų palaikų laikinas laikymas (saugojimas), vnt.</t>
  </si>
  <si>
    <t>Suremontuota takų, m</t>
  </si>
  <si>
    <t>Kapaviečių ženklų įsigijimas ir įrengimas</t>
  </si>
  <si>
    <t>Įrengta kapaviečių ženklų, vnt.</t>
  </si>
  <si>
    <t>Savivaldybei priskirtų daugiabučių namų kiemų teritorijų sanitarinis valymas (šaligatvių, asfaltuotų, žvyruotų dangų, žaliųjų plotų valymas ir šienavimas)</t>
  </si>
  <si>
    <t>Lietaus nuotekų tinklų eksploatacija ir einamasis remontas</t>
  </si>
  <si>
    <t>Eksploatuojama lietaus nuotekų tinklų, km</t>
  </si>
  <si>
    <t>07 Miesto infrastruktūros objektų priežiūros ir modernizavimo programa</t>
  </si>
  <si>
    <t>SB(P)</t>
  </si>
  <si>
    <t>Lėbartų kapinių V-B, VI, VIII-A, VII-B eilės ir kolumbariumo statybos techninio projekto parengimas ir įgyvendinimas</t>
  </si>
  <si>
    <t>5</t>
  </si>
  <si>
    <t>I</t>
  </si>
  <si>
    <t>ES</t>
  </si>
  <si>
    <t>LRVB</t>
  </si>
  <si>
    <t>Kt</t>
  </si>
  <si>
    <t>1</t>
  </si>
  <si>
    <t>Lėbartų kapinių vandentiekio sistemos remontas</t>
  </si>
  <si>
    <r>
      <t>Tvarkomų gėlynų plotas, tūkst. m</t>
    </r>
    <r>
      <rPr>
        <vertAlign val="superscript"/>
        <sz val="10"/>
        <rFont val="Times New Roman"/>
        <family val="1"/>
        <charset val="186"/>
      </rPr>
      <t>2</t>
    </r>
  </si>
  <si>
    <t>Prižūrima ekskrementų dėžių, vnt.</t>
  </si>
  <si>
    <t>Suvartota el. energijos, tūkst. MWh</t>
  </si>
  <si>
    <t>Aptarnaujama naminių gyvūnų ir jų savininkų duomenų bazė, vnt.</t>
  </si>
  <si>
    <t>Mirusių (žuvusių) žmonių palaikų pervežimas iš įvykio vietų, neatpažintų, vienišų ir mirusių, kuriuos artimieji atsisako laidoti, žmonių palaikų laikinas laikymas (saugojimas), palaidojimas savivaldybės lėšomis</t>
  </si>
  <si>
    <t>Įrengta informacinių stendų, vnt.</t>
  </si>
  <si>
    <t>Joniškės kapinių takų remontas</t>
  </si>
  <si>
    <t>Kapinių priežiūra (valymas, apsauga, administravimas, elektros energijos pirkimas, vandens įrenginių priežiūra, kvartalinių žymeklių įrengimas, kapinių inventorizavimas)</t>
  </si>
  <si>
    <t xml:space="preserve">05 </t>
  </si>
  <si>
    <t>Racionaliai ir taupiai naudoti energetinius išteklius savivaldybės biudžetinėse įstaigose</t>
  </si>
  <si>
    <t>Miesto aikščių, skverų ir kitų bendro naudojimo teritorijų priežiūra:</t>
  </si>
  <si>
    <t>Švaros ir tvarkos užtikrinimas bendro naudojimo teritorijose:</t>
  </si>
  <si>
    <t>Miesto paplūdimių priežiūros organizavimas:</t>
  </si>
  <si>
    <t>Miesto viešųjų erdvių ir gatvių apšvietimo užtikrinimas:</t>
  </si>
  <si>
    <t>Biudžetinių įstaigų patalpų šildymas:</t>
  </si>
  <si>
    <t xml:space="preserve">Klaipėdos skęstančiųjų gelbėjimo tarnybos </t>
  </si>
  <si>
    <t xml:space="preserve">Kultūros įstaigų </t>
  </si>
  <si>
    <t xml:space="preserve">Sporto įstaigų </t>
  </si>
  <si>
    <t xml:space="preserve">Socialinių įstaigų </t>
  </si>
  <si>
    <t xml:space="preserve">Švietimo įstaigų </t>
  </si>
  <si>
    <t>Paplūdimių elektrifikacijos ir radiofikacijos linijų eksploatacija ir remontas</t>
  </si>
  <si>
    <t>Pastatyta atramų, vnt.</t>
  </si>
  <si>
    <t>Sumontuota garsiakalbių, vnt.</t>
  </si>
  <si>
    <t xml:space="preserve">Iš viso  programai: </t>
  </si>
  <si>
    <t xml:space="preserve">Statinių, keliančių pavojų gyvybei ir sveikatai, griovimas </t>
  </si>
  <si>
    <t>SB(L)</t>
  </si>
  <si>
    <r>
      <t xml:space="preserve">Programų lėšų likučių laikinai laisvos lėšos </t>
    </r>
    <r>
      <rPr>
        <b/>
        <sz val="10"/>
        <rFont val="Times New Roman"/>
        <family val="1"/>
        <charset val="186"/>
      </rPr>
      <t>SB(L)</t>
    </r>
  </si>
  <si>
    <t>Švietimo įstaigų kiemų apšvietimo tinklų išplėtimas ar įrengimas</t>
  </si>
  <si>
    <t>Strateginis tikslas 02. Kurti mieste patrauklią, švarią ir saugią gyvenamąją aplinką</t>
  </si>
  <si>
    <t>Teikti miesto gyventojams kokybiškas komunalines ir viešųjų erdvių priežiūros paslaugas</t>
  </si>
  <si>
    <t>2016-ųjų metų lėšų projektas</t>
  </si>
  <si>
    <t>2016-ieji metai</t>
  </si>
  <si>
    <t>Pirties paslaugų teikimas Smiltynės paplūdimyje</t>
  </si>
  <si>
    <t>Atsinaujinančių energijos šaltinių panaudojimo plėtros plano parengimas</t>
  </si>
  <si>
    <r>
      <t>Valoma teritorija, km</t>
    </r>
    <r>
      <rPr>
        <vertAlign val="superscript"/>
        <sz val="10"/>
        <rFont val="Times New Roman"/>
        <family val="1"/>
        <charset val="186"/>
      </rPr>
      <t>2</t>
    </r>
  </si>
  <si>
    <t>Traktoriaus įsigijimas</t>
  </si>
  <si>
    <r>
      <t xml:space="preserve">Viešųjų tualetų įrengimas ir atnaujinimas </t>
    </r>
    <r>
      <rPr>
        <sz val="10"/>
        <rFont val="Times New Roman"/>
        <family val="1"/>
        <charset val="186"/>
      </rPr>
      <t>(projektas „Mano socialinė atsakomybė (Žmonių su negalia socialinė integracija Latvijoje ir Lietuvoje, įgyvendinant universalaus planavimo (UP) principus ir kuriant naujas socialines paslaugas)“)</t>
    </r>
  </si>
  <si>
    <t>Pastato Garažų g. 6 remonto darbai</t>
  </si>
  <si>
    <t>Vaikų žaidimų aikštelių paplūdimiuose įrengimas</t>
  </si>
  <si>
    <t>09</t>
  </si>
  <si>
    <t>Vandens tiekimo ir nuotekų tinklų tvarkymas:</t>
  </si>
  <si>
    <t>Pastato Taikos pr. 76 šilumos trasų vamzdynų remontas</t>
  </si>
  <si>
    <t>P2.4.1.2</t>
  </si>
  <si>
    <t>P2.4.2.8</t>
  </si>
  <si>
    <t>P3.2.1.7</t>
  </si>
  <si>
    <t>Tikslinės teritorijos gyvenamųjų teritorijų ir gretimų visuomeninių erdvių tvarkymo galimybių studija</t>
  </si>
  <si>
    <t xml:space="preserve">Dokumentacijos parengimas tikslinės integruotos teritorijos projektams įgyvendinti: </t>
  </si>
  <si>
    <r>
      <t xml:space="preserve">Vietinių rinkliavų lėšos </t>
    </r>
    <r>
      <rPr>
        <b/>
        <sz val="10"/>
        <rFont val="Times New Roman"/>
        <family val="1"/>
        <charset val="186"/>
      </rPr>
      <t>SB(VR)</t>
    </r>
  </si>
  <si>
    <t>SB(VR)</t>
  </si>
  <si>
    <t>P1.4.3.8</t>
  </si>
  <si>
    <t>P2</t>
  </si>
  <si>
    <t>Suremontuota vamzdynų, proc.</t>
  </si>
  <si>
    <t>K. Donelaičio ir Kuršių aikščių sutvarkymas</t>
  </si>
  <si>
    <t>Savivaldybei priskirtų teritorijų sanitarinis valymas, parkų, skverų, žaliųjų plotų želdinimas ir aplinkotvarka</t>
  </si>
  <si>
    <t>Nuomojama kilnojamųjų tualetų švenčių metu, vnt.</t>
  </si>
  <si>
    <t>Etatų skaičius pirties priežiūrai, vnt.</t>
  </si>
  <si>
    <t>Eksploatuojama šviestuvų, tūkst. vnt.</t>
  </si>
  <si>
    <t>Suremontuota atramų, vnt.</t>
  </si>
  <si>
    <r>
      <t>Prižiūrimas daugiabučių kiemų plotas (3 rūšių sezoniniai darbai), km</t>
    </r>
    <r>
      <rPr>
        <vertAlign val="superscript"/>
        <sz val="10"/>
        <rFont val="Times New Roman"/>
        <family val="1"/>
        <charset val="186"/>
      </rPr>
      <t>2</t>
    </r>
  </si>
  <si>
    <t>3</t>
  </si>
  <si>
    <t xml:space="preserve">Pastato Bangų g. 5A sklypo ir teritorijos link Jono kalnelio aplinkos sutvarkymas </t>
  </si>
  <si>
    <t>Papriemonės kodas</t>
  </si>
  <si>
    <r>
      <t xml:space="preserve">Funkcinės klasifikacijos kodas </t>
    </r>
    <r>
      <rPr>
        <b/>
        <sz val="10"/>
        <rFont val="Times New Roman"/>
        <family val="1"/>
        <charset val="186"/>
      </rPr>
      <t xml:space="preserve"> *</t>
    </r>
  </si>
  <si>
    <t>Vykdytojas (skyrius / asmuo)</t>
  </si>
  <si>
    <t xml:space="preserve">MŪD Miesto tvarkymo skyrius </t>
  </si>
  <si>
    <t>Iš viso priemonei:</t>
  </si>
  <si>
    <t>MŪD Miesto tvarkymo skyrius</t>
  </si>
  <si>
    <r>
      <t>Prižiūrima želdynų,  km</t>
    </r>
    <r>
      <rPr>
        <vertAlign val="superscript"/>
        <sz val="10"/>
        <rFont val="Times New Roman"/>
        <family val="1"/>
        <charset val="186"/>
      </rPr>
      <t>2</t>
    </r>
  </si>
  <si>
    <t>Viešosios tvarkos skyrius</t>
  </si>
  <si>
    <t>IED Projektų skyrius</t>
  </si>
  <si>
    <t>SRD Socialinės paramos skyrius</t>
  </si>
  <si>
    <t xml:space="preserve">IED Projektų skyrius  </t>
  </si>
  <si>
    <t xml:space="preserve">IED Projektų skyrius </t>
  </si>
  <si>
    <t>MŪD Kapinių priežiūros sk.</t>
  </si>
  <si>
    <t>IED Statybos ir infrastruktūros plėtros sk.</t>
  </si>
  <si>
    <t>MŪD  Kapinių priežiūros sk.</t>
  </si>
  <si>
    <t>MŪD Miesto tvarkymo  sk.</t>
  </si>
  <si>
    <t>MŪD  Socialinės infrastruktūros skyrius</t>
  </si>
  <si>
    <t>Pakeista laidų ar kabelių, m</t>
  </si>
  <si>
    <t>Lėšų poreikis biudžetiniams 
2015-iesiems metams</t>
  </si>
  <si>
    <t>2015-ųjų metų asignavimų planas</t>
  </si>
  <si>
    <t>2017-ųjų metų lėšų projektas</t>
  </si>
  <si>
    <t>2017-ieji metai</t>
  </si>
  <si>
    <t xml:space="preserve"> 2014–2017 M. KLAIPĖDOS MIESTO SAVIVALDYBĖS</t>
  </si>
  <si>
    <t>2016-ųjų m. lėšų poreikis</t>
  </si>
  <si>
    <t>2017-ųjų m. lėšų poreikis</t>
  </si>
  <si>
    <t xml:space="preserve">Debreceno aikštės atnaujinimas </t>
  </si>
  <si>
    <t>Pempininkų aikštės atnaujinimas</t>
  </si>
  <si>
    <t>Atliktas fontano remontas, proc.</t>
  </si>
  <si>
    <t xml:space="preserve">MŪD Miesto tvarkymo sk. </t>
  </si>
  <si>
    <t xml:space="preserve">Suremontuota Danės upės krantinė nuo Biržos tilto iki įplaukos prie Jono kalnelio – 310 m, proc. 
</t>
  </si>
  <si>
    <t>MŪD Kapinių priežiūros skyrius</t>
  </si>
  <si>
    <t>MŪD  Socialinės infrastrukt.  sk.</t>
  </si>
  <si>
    <t>Dušų įrengimas paplūdimiuose</t>
  </si>
  <si>
    <t xml:space="preserve">MŪD BĮ "Klaipėdos paplūdimiai" </t>
  </si>
  <si>
    <t>MŪD BĮ "Klaipėdos paplūdimiai"</t>
  </si>
  <si>
    <t>Konteinerinių tualetų priežiūra ir eksploatacija</t>
  </si>
  <si>
    <t>Kompiuterių įsigijimas</t>
  </si>
  <si>
    <t xml:space="preserve">Smėlio valymo įrenginio įsigijimas </t>
  </si>
  <si>
    <t>Reklaminiai ir informaciniai stendai</t>
  </si>
  <si>
    <t>Atlikta Garažų g. 6 rekonstrukcijos darbų, proc.</t>
  </si>
  <si>
    <t xml:space="preserve">Paplūdimių sanitarinis ir mechanizuotas valymas, inventoriaus priežiūra ir sutvarkymas </t>
  </si>
  <si>
    <t>Atskiro nulinio laido įrengimas pagal LESTO reikalavimą gatvių apšvietimo tinklams</t>
  </si>
  <si>
    <t>Įrengtas atskiras nulinis laidas, vnt.</t>
  </si>
  <si>
    <t>Prižiūrima kapinių 2 vnt. ir senųjų kapinaičių 16 vnt.</t>
  </si>
  <si>
    <t>Nudažyta Kopgalio kapinių tvora, proc.</t>
  </si>
  <si>
    <t xml:space="preserve">Joniškės kapinių tvoros remontas </t>
  </si>
  <si>
    <t xml:space="preserve">Automobilių stovėjimo aikštelių (prie kapinių) horizontalus ženklinimas  </t>
  </si>
  <si>
    <t>Viešojo tualeto prie Lėbartų kapinių remontas</t>
  </si>
  <si>
    <t xml:space="preserve">Parengta galimybių studija, vnt. </t>
  </si>
  <si>
    <t>Laidojimo paslaugų teikimas ir kapinių priežiūros organizavimas:</t>
  </si>
  <si>
    <t>Atgimimo aikštės sutvarkymas, didinant patrauklumą investicijoms, skatinant lankytojų srautus</t>
  </si>
  <si>
    <t>P2.4.2.6</t>
  </si>
  <si>
    <t>P2.4.2.4</t>
  </si>
  <si>
    <t>P2.4.2.5</t>
  </si>
  <si>
    <t>Rekonstruotas paminklas, proc.</t>
  </si>
  <si>
    <t>Atnaujinta aikštė, proc.</t>
  </si>
  <si>
    <t>69/500</t>
  </si>
  <si>
    <t>70/500</t>
  </si>
  <si>
    <t>80</t>
  </si>
  <si>
    <t>Suremontuota šiukšliadėžių, vnt.</t>
  </si>
  <si>
    <t>Suremontuota suoliukų, vnt./m</t>
  </si>
  <si>
    <t>Projekto „Danės upės krantinės pritaikymas centrinėje Klaipėdos miesto dalyje“ įgyvendinimas</t>
  </si>
  <si>
    <t>Mėlynosios vėliavos programos koordinavimas ir įgyvendinimas</t>
  </si>
  <si>
    <t>Įgyvendinta programa, proc.</t>
  </si>
  <si>
    <t>P3.2.1.4</t>
  </si>
  <si>
    <t>Įsigyta suoliukų, vnt.</t>
  </si>
  <si>
    <t>55</t>
  </si>
  <si>
    <t>Keturračių įsigijimas</t>
  </si>
  <si>
    <t>Įrengta automobilių laikymo aikštelė. Užbaigtumas proc.</t>
  </si>
  <si>
    <t xml:space="preserve">Integruotos stebėjimo sistemos viešose vietose nuoma ir retransliuojamo vaizdo stebėjimo paslaugos pirkimas </t>
  </si>
  <si>
    <t>Neefektyvių vaizdo stebėjimo kamerų perkėlimas į naujas vietas</t>
  </si>
  <si>
    <t>Perkeltos vaizdo stebėjimo kameros, vnt.</t>
  </si>
  <si>
    <t>Žardininkų gyvenamojo kvartalo viešosios erdvės (aikštės) šalia Taikos pr. atnaujinimas</t>
  </si>
  <si>
    <t>Parengtas tvarkybos projektas, vnt.</t>
  </si>
  <si>
    <t>Viešųjų tualetų paslaugų teikimas</t>
  </si>
  <si>
    <t>Stendų įrengimas paplūdimiuose</t>
  </si>
  <si>
    <t>Prižiūrima gertuvių Poilsio parke, vnt.</t>
  </si>
  <si>
    <t>Prižiūrima informacinės sistemos objektų, vnt.</t>
  </si>
  <si>
    <t>Atlikti I etapo (stotelės ir fontanų skvero atnaujinimo)  darbai, proc.</t>
  </si>
  <si>
    <t xml:space="preserve">Atlikti II etapo (centrinio tako ir teritorijos link tako į Gedminų g. atnaujinimo) darbai, proc. </t>
  </si>
  <si>
    <r>
      <t>Valomos teritorijos plotas, km</t>
    </r>
    <r>
      <rPr>
        <vertAlign val="superscript"/>
        <sz val="10"/>
        <rFont val="Times New Roman"/>
        <family val="1"/>
        <charset val="186"/>
      </rPr>
      <t>2</t>
    </r>
  </si>
  <si>
    <t>Prižūrima gyvūnų ekskrementų dėžių, vnt.</t>
  </si>
  <si>
    <r>
      <t>Sutvarkytos prieigos – 500 m</t>
    </r>
    <r>
      <rPr>
        <vertAlign val="superscript"/>
        <sz val="10"/>
        <rFont val="Times New Roman"/>
        <family val="1"/>
        <charset val="186"/>
      </rPr>
      <t>2</t>
    </r>
    <r>
      <rPr>
        <sz val="10"/>
        <rFont val="Times New Roman"/>
        <family val="1"/>
        <charset val="186"/>
      </rPr>
      <t>,</t>
    </r>
    <r>
      <rPr>
        <vertAlign val="superscript"/>
        <sz val="10"/>
        <rFont val="Times New Roman"/>
        <family val="1"/>
        <charset val="186"/>
      </rPr>
      <t xml:space="preserve">  </t>
    </r>
    <r>
      <rPr>
        <sz val="10"/>
        <rFont val="Times New Roman"/>
        <family val="1"/>
        <charset val="186"/>
      </rPr>
      <t>proc.</t>
    </r>
  </si>
  <si>
    <t>Tikslinės teritorijos gyvenamųjų teritorijų ir gretimų visuomeninių erdvių tvarkymo galimybių studijos parengimas</t>
  </si>
  <si>
    <t xml:space="preserve">Gyvenamųjų namų kiemų kompleksinio tvarkymo tikslinėje teritorijoje  techninio projekto parengimas </t>
  </si>
  <si>
    <t xml:space="preserve">Viešosios erdvės prie buvusio „Vaidilos“ kino teatro konversijjos techninio projekto parengimas </t>
  </si>
  <si>
    <r>
      <t>Atnaujinta sienos, m</t>
    </r>
    <r>
      <rPr>
        <vertAlign val="superscript"/>
        <sz val="10"/>
        <rFont val="Times New Roman"/>
        <family val="1"/>
        <charset val="186"/>
      </rPr>
      <t>2</t>
    </r>
  </si>
  <si>
    <r>
      <t>Prižiūrimas daugiabučių kiemų plotas (atliekami 3 rūšių sezoniniai darbai), km</t>
    </r>
    <r>
      <rPr>
        <vertAlign val="superscript"/>
        <sz val="10"/>
        <rFont val="Times New Roman"/>
        <family val="1"/>
        <charset val="186"/>
      </rPr>
      <t>2</t>
    </r>
  </si>
  <si>
    <t>Karlskronos aikštės atnaujinimas</t>
  </si>
  <si>
    <t xml:space="preserve">Paminklo 1923 m. sukilėliams senosiose miesto kapinėse (Skulptūrų parke) restauravimas </t>
  </si>
  <si>
    <t>2.4.2.5</t>
  </si>
  <si>
    <t xml:space="preserve">Paimtų ir sugautų gyvūnų, vnt. </t>
  </si>
  <si>
    <t>1015</t>
  </si>
  <si>
    <t>395/110</t>
  </si>
  <si>
    <t>1005</t>
  </si>
  <si>
    <t>1000</t>
  </si>
  <si>
    <t>1010</t>
  </si>
  <si>
    <t>Prižiūrėtų 3 paras sveikų gyvūnų, vnt.</t>
  </si>
  <si>
    <t>P1.6.3.3</t>
  </si>
  <si>
    <t>2.3.2.5</t>
  </si>
  <si>
    <t xml:space="preserve">2.3.2.1 </t>
  </si>
  <si>
    <t>Klaipėdos miesto integruotos tikslinės teritorijos vystymo programos bei joje esančių kultūros objektų rinkodaros planų parengimas</t>
  </si>
  <si>
    <t>Parengta programa, vnt.</t>
  </si>
  <si>
    <t>Parengta rinkodaros planų, vnt.</t>
  </si>
  <si>
    <t>Eur</t>
  </si>
  <si>
    <t>Planas</t>
  </si>
  <si>
    <t>BĮ „Klaipėdos paplūdimiai“ veiklos organizavimas:</t>
  </si>
  <si>
    <t>Pastato Garažų g. 6 remontas pritaikant BĮ „Klaipėdos paplūdimiai“ veiklai</t>
  </si>
  <si>
    <t xml:space="preserve"> Herkaus Manto gatvėje esančios mūrinės sienos remontas</t>
  </si>
  <si>
    <t>Joniškės kapinių takų ir tvoros remontas</t>
  </si>
  <si>
    <t xml:space="preserve">Šîldoma įstaigų, skaičius </t>
  </si>
  <si>
    <t xml:space="preserve">Šîldoma įstaigų, skaičius  </t>
  </si>
  <si>
    <t>Atlikti  fontano „Anikė“ hidroizoliacijos darbai, proc.</t>
  </si>
  <si>
    <t>Įrengta kalėdinė eglė ir miesto papuošimo elementai, vnt.</t>
  </si>
  <si>
    <t xml:space="preserve">Įrengta dušų (Smiltynės ir II Melnragės paplūdimiuose), skaičius </t>
  </si>
  <si>
    <t xml:space="preserve">Prižiūrima stacionarių tualetų, skaičius </t>
  </si>
  <si>
    <t xml:space="preserve">Prižiūrima konteinerinių tualetų, skaičius </t>
  </si>
  <si>
    <t xml:space="preserve">Įrengta vaikų žaidimų ir sveikatingumo aikštelių, skaičius </t>
  </si>
  <si>
    <t xml:space="preserve">Įsigytas traktorius (a. g. 114), skaičius </t>
  </si>
  <si>
    <t xml:space="preserve">Įsigyta keturračių, skaičius </t>
  </si>
  <si>
    <t xml:space="preserve">Įsigyta stendų, skaičius </t>
  </si>
  <si>
    <t xml:space="preserve">Eksploatuojama kamerų, skaičius </t>
  </si>
  <si>
    <t>Parengtų galimybių studijų, vnt.</t>
  </si>
  <si>
    <t xml:space="preserve">Parengta techninių projektų, skaičius </t>
  </si>
  <si>
    <t xml:space="preserve">Palaidota mirusiųjų, skaičius </t>
  </si>
  <si>
    <t>BĮ „Klaipėdos paplūdimiai“ veiklos organizavimas</t>
  </si>
  <si>
    <t>BĮ „Klaipėdos paplūdimiai“ patalpų būklės gerinimas atliekant smulkų einamąjį remontą</t>
  </si>
  <si>
    <t>Galimybių studijos, pritaikant II vandenvietę švietimo, sporto, saviraiškos reikmėms, parengimas</t>
  </si>
  <si>
    <t>* Funkcinės klasifikacijos kodas įrašomas vadovaujantis  Lietuvos Respublikos finansų ministro 2003 m. liepos 3 d. įsakymu Nr. 1K-184 „Dėl Lietuvos Respublikos valstybės ir savivaldybių biudžetų pajamų ir išlaidų klasifikacijos patvirtinimo“ (aktuali redakcija 2010 m. kovo 26 d. įsakymas Nr. 1K-085)</t>
  </si>
  <si>
    <t>Pakeista aikštės dangos, m²</t>
  </si>
  <si>
    <t>Parengtos dokumentacijos skaičius</t>
  </si>
  <si>
    <t>Gyvūnų (šunų, kačių) indentifikavimas, beglobių  gyvūnų gaudymas, surinkimas, karantinavimas, eutanazija ir utilizavimas</t>
  </si>
  <si>
    <t>Gyvūnų (šunų, kačių) inden-tifikavimas, beglobių  gyvūnų gaudymas, surinkimas, karantinavimas, eutanazija ir utilizavimas</t>
  </si>
  <si>
    <t xml:space="preserve">Atliktų gyvūnų eutanazijų / gaišenų surinkimo skaičius, vnt. </t>
  </si>
  <si>
    <t>Asignavimai 2014-iesiems metams**</t>
  </si>
  <si>
    <t>Prižiūrimos gertuvės Poilsio parke, vnt.</t>
  </si>
  <si>
    <t>Atlikta fontano „Anikė“ hidroizoliacija, vnt.</t>
  </si>
  <si>
    <t>Prižiūrėta ir remontuota autobusų stotelių paviljonų, vnt.</t>
  </si>
  <si>
    <t>Prižiūrėta ir remontuota informacinės sistemos objektų, vnt.</t>
  </si>
  <si>
    <t>Įrengta kalėdinė eglė ir papuošomo elementai, vnt.</t>
  </si>
  <si>
    <t>Atnaujintas Debreceno aikštės ženklas, proc.</t>
  </si>
  <si>
    <t>Atlikti I etapo (stotelės ir fontanų skvero) atnaujinimo darbai, proc.</t>
  </si>
  <si>
    <t xml:space="preserve">Atlikti II etapo (centrinio tako ir teritorijos link tako į Gedminų g.) atnaujinimo darbai, proc. </t>
  </si>
  <si>
    <t xml:space="preserve">Atlikti III etapo (teritorijos šalia automobilių stovėjimo aikštelės iki Naujakiemio g.) atnaujinimo darbai, proc. </t>
  </si>
  <si>
    <t>Įrengta automobilių laikymo aikštelės šalia Debreceno aikštės.Užbaigtumas proc.</t>
  </si>
  <si>
    <t xml:space="preserve">Parengta projektų, skaičius </t>
  </si>
  <si>
    <r>
      <t>Pakeista aikštės dangos, m</t>
    </r>
    <r>
      <rPr>
        <sz val="10"/>
        <rFont val="Calibri"/>
        <family val="2"/>
        <charset val="186"/>
      </rPr>
      <t>²</t>
    </r>
  </si>
  <si>
    <t xml:space="preserve">Parengta techn. projektų, skaičius </t>
  </si>
  <si>
    <r>
      <t>Atliktas smulkus patalpų ir viešųjų tualetų remontas, m</t>
    </r>
    <r>
      <rPr>
        <sz val="10"/>
        <color theme="1"/>
        <rFont val="Calibri"/>
        <family val="2"/>
        <charset val="186"/>
      </rPr>
      <t>²</t>
    </r>
  </si>
  <si>
    <t xml:space="preserve">Įrengta vaikų žaidimo ir sveikatingumo aikštelė, skaičius </t>
  </si>
  <si>
    <t xml:space="preserve">Nuolatiniai darbuotojai, etatų skaičius </t>
  </si>
  <si>
    <t xml:space="preserve">Sezoniniai darbuotojai, etatų skaičius </t>
  </si>
  <si>
    <t xml:space="preserve">Įsigyta kompiuterių, skaičius </t>
  </si>
  <si>
    <t xml:space="preserve">Įsigytas smėlio valymo įrenginys, skaičius </t>
  </si>
  <si>
    <t xml:space="preserve">Apšviesta kiemų, skaičius </t>
  </si>
  <si>
    <r>
      <t>Sutvarkytos prieigos – 500 m</t>
    </r>
    <r>
      <rPr>
        <sz val="10"/>
        <rFont val="Calibri"/>
        <family val="2"/>
        <charset val="186"/>
      </rPr>
      <t>²</t>
    </r>
    <r>
      <rPr>
        <sz val="10"/>
        <rFont val="Times New Roman"/>
        <family val="1"/>
        <charset val="186"/>
      </rPr>
      <t>,</t>
    </r>
    <r>
      <rPr>
        <vertAlign val="superscript"/>
        <sz val="10"/>
        <rFont val="Times New Roman"/>
        <family val="1"/>
        <charset val="186"/>
      </rPr>
      <t xml:space="preserve"> </t>
    </r>
    <r>
      <rPr>
        <sz val="10"/>
        <rFont val="Times New Roman"/>
        <family val="1"/>
        <charset val="186"/>
      </rPr>
      <t>proc.</t>
    </r>
  </si>
  <si>
    <t xml:space="preserve">Parengtos dokumentacijos skaičius </t>
  </si>
  <si>
    <t>Parengta programa / rinkodaros planų, vnt.</t>
  </si>
  <si>
    <t>1/2</t>
  </si>
  <si>
    <r>
      <t>Atnaujinta sienos, m</t>
    </r>
    <r>
      <rPr>
        <sz val="10"/>
        <rFont val="Calibri"/>
        <family val="2"/>
        <charset val="186"/>
      </rPr>
      <t>²</t>
    </r>
  </si>
  <si>
    <t>Pastatyta tvora, km</t>
  </si>
  <si>
    <t>Suženklinta aikštelių, vnt.</t>
  </si>
  <si>
    <t xml:space="preserve"> Nudažytos vidaus patalpos ir prijungta elektra, proc.</t>
  </si>
  <si>
    <t>Restauruotas paminklas, proc.</t>
  </si>
  <si>
    <t>„Santarvės“ pagrindinės mokyklos ir „Versmės“ progimnazijos automatizuotos šilumos punkto kontrolės ir valdymo sistemų  įdiegimas</t>
  </si>
  <si>
    <t>MŪD Socialinės infrastruktūros skyrius</t>
  </si>
  <si>
    <t xml:space="preserve">Parengtas energ. auditas, skaičius </t>
  </si>
  <si>
    <t>MŪD Socialinės infrastr. sk.</t>
  </si>
  <si>
    <t>Apskaitos kodas</t>
  </si>
  <si>
    <t xml:space="preserve"> 2015 M. KLAIPĖDOS MIESTO SAVIVALDYBĖS</t>
  </si>
  <si>
    <t>2.4.2.8</t>
  </si>
  <si>
    <t>3.2.1.4</t>
  </si>
  <si>
    <t>2015-ųjų metų asignavimų planas*</t>
  </si>
  <si>
    <t>Indėlio kriterijaus</t>
  </si>
  <si>
    <t xml:space="preserve">Paimta ir sugauta gyvūnų, vnt. </t>
  </si>
  <si>
    <t>Prižiūrėta 3 paras sveikų gyvūnų, vnt.</t>
  </si>
  <si>
    <t xml:space="preserve">Atlikta gyvūnų eutanazijų / gaišenų surinkimo skaičius, vnt. </t>
  </si>
  <si>
    <t>Parengta galimybių studija, vnt.</t>
  </si>
  <si>
    <t>Prižiūrimos 2 kapinės ir 16 senųjų kapinaičių,  vnt.</t>
  </si>
  <si>
    <t>Daugiabučių namų atnaujinimo (modernizavimo) energinio naudingumo sertifikatų bei investicijų planų parengimo paslauga</t>
  </si>
  <si>
    <t>Parengta (koreguota) investicijų planų, vnt.</t>
  </si>
  <si>
    <t>Viešųjų erdvių, gatvių ir kiemų apšvietimo tinklų išplėtimas ar įrengimas</t>
  </si>
  <si>
    <t>SB(VRL)</t>
  </si>
  <si>
    <r>
      <t xml:space="preserve">Vietinių rinkliavų lėšų likutis </t>
    </r>
    <r>
      <rPr>
        <b/>
        <sz val="10"/>
        <rFont val="Times New Roman"/>
        <family val="1"/>
        <charset val="186"/>
      </rPr>
      <t>SB(VRL)</t>
    </r>
  </si>
  <si>
    <t>07.010119</t>
  </si>
  <si>
    <t>07.010104</t>
  </si>
  <si>
    <t>07.010102</t>
  </si>
  <si>
    <t>07.010101</t>
  </si>
  <si>
    <t>07.010110</t>
  </si>
  <si>
    <t>07.010116</t>
  </si>
  <si>
    <t>07.010117</t>
  </si>
  <si>
    <t>07.413</t>
  </si>
  <si>
    <t>07.010203</t>
  </si>
  <si>
    <t>07.010204</t>
  </si>
  <si>
    <t>07.010303</t>
  </si>
  <si>
    <t>07.01030200</t>
  </si>
  <si>
    <t>07.01030202</t>
  </si>
  <si>
    <t>07.010306</t>
  </si>
  <si>
    <t xml:space="preserve">07.02020100 </t>
  </si>
  <si>
    <t>07.020202</t>
  </si>
  <si>
    <t>07.020209</t>
  </si>
  <si>
    <t>07.020211</t>
  </si>
  <si>
    <t>07.020208</t>
  </si>
  <si>
    <t xml:space="preserve">07.010401 </t>
  </si>
  <si>
    <t>07.010111</t>
  </si>
  <si>
    <t>07.010118</t>
  </si>
  <si>
    <t xml:space="preserve">07.010114 </t>
  </si>
  <si>
    <t xml:space="preserve"> 07.010115</t>
  </si>
  <si>
    <t>07.010205010</t>
  </si>
  <si>
    <t>07.01050201</t>
  </si>
  <si>
    <t>07.010501</t>
  </si>
  <si>
    <t>07.010503</t>
  </si>
  <si>
    <t xml:space="preserve"> 07.010507</t>
  </si>
  <si>
    <t>07.010508</t>
  </si>
  <si>
    <t xml:space="preserve">07.010510 </t>
  </si>
  <si>
    <t>07.010511</t>
  </si>
  <si>
    <t>07.010202</t>
  </si>
  <si>
    <t xml:space="preserve"> 07.030203</t>
  </si>
  <si>
    <t>07.020101</t>
  </si>
  <si>
    <t>07.020206</t>
  </si>
  <si>
    <t>0403</t>
  </si>
  <si>
    <t>0402</t>
  </si>
  <si>
    <t>0401</t>
  </si>
  <si>
    <t>0404</t>
  </si>
  <si>
    <t>0405</t>
  </si>
  <si>
    <t>07:</t>
  </si>
  <si>
    <t xml:space="preserve">Iš viso mieste eksploatuojama kamerų, skaičius </t>
  </si>
  <si>
    <t>Įrengta apšvietimo tinklų, (proc.): Stovyklos g. Giruliuose; aikštelės (prie įvažiavimo į Klaipėdą iš šiaurinės pusės) žemėlapio apšvietimas; I. Kanto g. 9-17 teritorijoje; praėjimo ties Liepojos g. 56. teritorijoje; gatvių atkarpose - M. Mažvydo al. 9, 9A, 11, Šaulių g. 14, 16, 20, 22, S. Daukanto g. 20, J. Karoso g. 21; Donelaičio g. ir aikštės metalinių gatvių apšvietimo atramų keitimas į dekoratyvines atramas su šviestuvais</t>
  </si>
  <si>
    <t xml:space="preserve">Savivaldybės biudžetas, iš jo: </t>
  </si>
  <si>
    <r>
      <t xml:space="preserve">Programų lėšų likučių laikinai laisvos ir apyvartinės lėšos </t>
    </r>
    <r>
      <rPr>
        <b/>
        <sz val="10"/>
        <rFont val="Times New Roman"/>
        <family val="1"/>
        <charset val="186"/>
      </rPr>
      <t>SB(L)</t>
    </r>
  </si>
  <si>
    <t>Nudažytos vidaus patalpos ir prijungta elektra, proc.</t>
  </si>
  <si>
    <t>SB(SPL)</t>
  </si>
  <si>
    <r>
      <t xml:space="preserve">Pajamų įmokų už patalpų nuomą likutis </t>
    </r>
    <r>
      <rPr>
        <b/>
        <sz val="10"/>
        <rFont val="Times New Roman"/>
        <family val="1"/>
        <charset val="186"/>
      </rPr>
      <t>SB(SPL)</t>
    </r>
  </si>
  <si>
    <r>
      <t>Pajamų įmokų už patalpų nuomą likutis</t>
    </r>
    <r>
      <rPr>
        <b/>
        <sz val="10"/>
        <rFont val="Times New Roman"/>
        <family val="1"/>
        <charset val="186"/>
      </rPr>
      <t xml:space="preserve"> SB(SPL)</t>
    </r>
  </si>
  <si>
    <t>PATVIRTINTA
Klaipėdos miesto savivaldybės administracijos direktoriaus 2015 m.                                              įsakymu Nr. AD1-</t>
  </si>
  <si>
    <t>Įrengta kalėdinė eglė ir papuošimo elementai, vnt.</t>
  </si>
  <si>
    <t>Įrengta automobilių laikymo aikštelės šalia Debreceno aikštės. Užbaigtumas proc.</t>
  </si>
  <si>
    <t>MŪD BĮ „Klaipėdos paplūdimiai“</t>
  </si>
  <si>
    <t>Herkaus Manto gatvėje esančios mūrinės sienos remontas</t>
  </si>
  <si>
    <t>* pagal Klaipėdos miesto savivaldybės tarybos sprendimus: 2014-12-18 Nr. T2-336; 2015-02-09 Nr. T2-12</t>
  </si>
  <si>
    <r>
      <t xml:space="preserve">Specialiosios programos lėšos (pajamos už atsitiktines paslaugas, patalpų nuomą) </t>
    </r>
    <r>
      <rPr>
        <b/>
        <sz val="10"/>
        <rFont val="Times New Roman"/>
        <family val="1"/>
        <charset val="186"/>
      </rPr>
      <t>SB(SP)</t>
    </r>
  </si>
  <si>
    <t>Atlikta apšvietimo įrengimo Stovyklos g. Giruliuose darbų, proc.</t>
  </si>
  <si>
    <t>Atlikta žemėlapio, esančio aikštelėje prie įvažiavimo į Klaipėdą iš šiaurinės pusės, apšvietimo įrengimo darbų, proc.</t>
  </si>
  <si>
    <t>Atlikta apšvietimo įrengimo gatvių ruožuose – M. Mažvydo al. 9, 9A, 11, Šaulių g. 14, 16, 20, 22, S. Daukanto g. 20, J. Karoso g. 21 darbų, proc.</t>
  </si>
  <si>
    <t>Atlikta K. Donelaičio g. ir  K. Donelaičio aikštės metalinių gatvių apšvietimo atramų keitimo į dekoratyvines  atramas su šviestuvais darbų, proc.</t>
  </si>
  <si>
    <t>Įsigyta tūrinių gėlinių, vnt.</t>
  </si>
  <si>
    <t>Atnaujinta pavėsinė Melnragėje, vnt.</t>
  </si>
  <si>
    <t>Suremontuota apšvietimo atramų, vnt.</t>
  </si>
  <si>
    <t>Įsigyta ir įrengta vandens kolonėlių paplūdimiuose, vnt.</t>
  </si>
  <si>
    <t xml:space="preserve">Atnaujintas ženklas „Klaipėda“ ties centriniu įvažiavimu į miestą, vnt. </t>
  </si>
  <si>
    <t>Įdiegta ir konfigūruota objektinių modulių mikrovaldiklių plokščių, vnt.</t>
  </si>
  <si>
    <t>SB(VB)</t>
  </si>
  <si>
    <r>
      <t xml:space="preserve">Valstybės biudžeto specialiosios tikslinės dotacijos lėšos </t>
    </r>
    <r>
      <rPr>
        <b/>
        <sz val="10"/>
        <rFont val="Times New Roman"/>
        <family val="1"/>
        <charset val="186"/>
      </rPr>
      <t>SB(VB)</t>
    </r>
  </si>
  <si>
    <t>SB(ŽPL)</t>
  </si>
  <si>
    <t>Žemės pardavimų likučio lėšos SB(ŽPL)</t>
  </si>
  <si>
    <t>Automatizuotos šilumos punkto kontrolės ir valdymo sistemų įdiegimas savivaldybės biudžetinių įstaigų pastatuose</t>
  </si>
  <si>
    <t>Įdiegta kontrolės ir valdymo sistemų, vnt.</t>
  </si>
  <si>
    <t>Lietaus nuotekų tinklų eksploatacija ir  remontas</t>
  </si>
  <si>
    <t>Renovuota lietaus nuotekų tinklų, m</t>
  </si>
  <si>
    <t>Parengtas techninis projektas, vnt.</t>
  </si>
  <si>
    <r>
      <t>Sutvarkyta  Garažų g. 6 pastato  aplinka, m</t>
    </r>
    <r>
      <rPr>
        <vertAlign val="superscript"/>
        <sz val="10"/>
        <rFont val="Times New Roman"/>
        <family val="1"/>
        <charset val="186"/>
      </rPr>
      <t>2</t>
    </r>
  </si>
  <si>
    <t>P2.4.2.3</t>
  </si>
  <si>
    <t>Gatvių ir viešųjų erdvių apšvietimo organizavimo funkijos įgyvendinimas</t>
  </si>
  <si>
    <t>14,5</t>
  </si>
  <si>
    <t>Programos tikslo kodas</t>
  </si>
  <si>
    <t>Asignavimai (Eur)</t>
  </si>
  <si>
    <t>Vertinimo kriterijaus</t>
  </si>
  <si>
    <t>Informacija apie pasiektus rezultatus, duomenys apie programai skirtų asignavimų panaudojimo tikslingumą</t>
  </si>
  <si>
    <t>Priežastys, dėl kurių planuotos rodiklių reikšmės nepasiektos</t>
  </si>
  <si>
    <t>2015 m. asignavimų patvirtintas planas*</t>
  </si>
  <si>
    <t>2015 m. asignavimų patikslintas planas**</t>
  </si>
  <si>
    <t>2015 m. panaudotos lėšos (kasinės išlaidos)</t>
  </si>
  <si>
    <t>planuotos reikšmės</t>
  </si>
  <si>
    <t>faktinės reikšmės</t>
  </si>
  <si>
    <t xml:space="preserve">STRATEGINIO VEIKLOS PLANO VYKDYMO ATASKAITA </t>
  </si>
  <si>
    <t>Atnaujintas Debreceno gyvenamojo rajono ženklas, vnt.</t>
  </si>
  <si>
    <t>395/ 110</t>
  </si>
  <si>
    <t>724/ 342</t>
  </si>
  <si>
    <t>Gyvūnų sugauta, prižiūrėta pagal  poreikį</t>
  </si>
  <si>
    <t>Atlikta pagal poreikį</t>
  </si>
  <si>
    <t>Tualetai I Melnragėje ir Giruliuose</t>
  </si>
  <si>
    <t>Biotualetų buvo išsinuomota daugiau, nes įvyko daugiau švenčių</t>
  </si>
  <si>
    <t>Sutvarkyta aplinka ir rekonstruotos patalpos. 2016 m. bus atliktas šalia Garažų g. 6 esančio nenaudojamo pastato stogo, langų užsandarinimas</t>
  </si>
  <si>
    <t>14,9</t>
  </si>
  <si>
    <t>9,64</t>
  </si>
  <si>
    <t>140/1</t>
  </si>
  <si>
    <t>Suremontuota takų, m ir tvora, vnt.</t>
  </si>
  <si>
    <t>150/1</t>
  </si>
  <si>
    <t>Smiltynėje prie Gelbėjimo stoties buvo bandomi alternatyvūs saulės energija pakraunami garsiakalbiai, todėl nereikėjo statyti atramų</t>
  </si>
  <si>
    <t xml:space="preserve">INFRASTRUKTŪROS OBJEKTŲ PRIEŽIŪROS IR MODERNIZAVIMO </t>
  </si>
  <si>
    <t>PROGRAMOS (NR. 07) ĮVYKDYMO ATASKAITA</t>
  </si>
  <si>
    <r>
      <t xml:space="preserve">Asignavimų valdytojai: </t>
    </r>
    <r>
      <rPr>
        <sz val="12"/>
        <rFont val="Times New Roman"/>
        <family val="1"/>
        <charset val="186"/>
      </rPr>
      <t>Investicijų ir ekonomikos departamentas (5), Miesto ūkio departamentas (6), Savivaldybės administracija (1).</t>
    </r>
  </si>
  <si>
    <t>faktiškai įvykdyta</t>
  </si>
  <si>
    <t>–</t>
  </si>
  <si>
    <t>(pagal planą arba geriau);</t>
  </si>
  <si>
    <t>iš dalies įvykdyta</t>
  </si>
  <si>
    <t>(blogiau, nei planuota);</t>
  </si>
  <si>
    <r>
      <rPr>
        <b/>
        <sz val="11"/>
        <rFont val="Times New Roman"/>
        <family val="1"/>
        <charset val="186"/>
      </rPr>
      <t>Pastaba</t>
    </r>
    <r>
      <rPr>
        <sz val="11"/>
        <rFont val="Times New Roman"/>
        <family val="1"/>
        <charset val="186"/>
      </rPr>
      <t>. Strateginio planavimo skyrius, vertindamas programos įgyvendinimo lygį, atsižvelgia į programos priemonių įgyvendinimo lygį:</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</si>
  <si>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</si>
  <si>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</si>
  <si>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</si>
  <si>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 xml:space="preserve">2015 M. KLAIPĖDOS MIESTO SAVIVALDYBĖS </t>
  </si>
  <si>
    <t>2015 m. SVP programos Nr. 07 įvykdymas</t>
  </si>
  <si>
    <r>
      <rPr>
        <b/>
        <sz val="12"/>
        <rFont val="Times New Roman"/>
        <family val="1"/>
        <charset val="186"/>
      </rPr>
      <t xml:space="preserve">Programą vykdė: </t>
    </r>
    <r>
      <rPr>
        <sz val="12"/>
        <rFont val="Times New Roman"/>
        <family val="1"/>
        <charset val="186"/>
      </rPr>
      <t>Miesto ūkio departamentas (Miesto tvarkymo skyrius, BĮ „Klaipėdos paplūdimiai“, Transporto skyrius, Socialinės infrastruktūros priežiūros skyrius), Investicijų ir ekonomikos departamentas (Statybos ir infrastruktūros plėtros skyrius, Projektų skyrius), Viešosios tvarkos skyrius.</t>
    </r>
  </si>
  <si>
    <r>
      <rPr>
        <b/>
        <sz val="12"/>
        <rFont val="Times New Roman"/>
        <family val="1"/>
        <charset val="186"/>
      </rPr>
      <t xml:space="preserve">Iš 2015 m. </t>
    </r>
    <r>
      <rPr>
        <sz val="12"/>
        <rFont val="Times New Roman"/>
        <family val="1"/>
        <charset val="186"/>
      </rPr>
      <t xml:space="preserve">planuotų įvykdyti 17 priemonių (kurioms patvirtinti / skirti asignavimai): </t>
    </r>
  </si>
  <si>
    <t>Užtikrinti miesto viešų erdvių bei komunalinio ūkio tvarką, priežiūrą ir saugumą</t>
  </si>
  <si>
    <t>Miesto ūkio departamentas</t>
  </si>
  <si>
    <t>Namų ūkių, kurie naudojasi centralizuotomis vandentiekio tiekimo paslaugomis, dalis, proc.</t>
  </si>
  <si>
    <t>Namų ūkių, kurie naudojasi centralizuotomis nuotekų surinkimo bei tvarkymo paslaugomis, dalis, proc.</t>
  </si>
  <si>
    <t>Suvartota elektros energijos miesto gatvių apšvietimui vidutiniškai per metus, KWh vienam šviestuvui</t>
  </si>
  <si>
    <t>Statybų leidimų ir statinių priežiūros skyrius</t>
  </si>
  <si>
    <t>Apleistų pastatų skaičius mieste, vnt.</t>
  </si>
  <si>
    <t>Viešųjų pirkimų konkursas vykdytas, tačiau užsitęsė procedūros, nes  konkurso laimėtojas dėl neaiškių priežasčių nepasirašė sutarties</t>
  </si>
  <si>
    <t xml:space="preserve">Buvo padidintas BĮ „Klaipėdos paplūdimiai“ etatų skaičius dėl naujai perduotos funkcijos Danės-Akmenos upės administravimo </t>
  </si>
  <si>
    <r>
      <t>Suremontuotas Karlskronos fontanas ir atnaujinta aikštė</t>
    </r>
    <r>
      <rPr>
        <strike/>
        <sz val="10"/>
        <rFont val="Times New Roman"/>
        <family val="1"/>
        <charset val="186"/>
      </rPr>
      <t/>
    </r>
  </si>
  <si>
    <t>pavadinimas</t>
  </si>
  <si>
    <t>Įsigyta mažiau, nei planuota, šiukšliadėžių ir suoliukų, nes buvo mažesnis poreikis</t>
  </si>
  <si>
    <t>Pastatyta papildomų biotualetų – Poilsio parke, Kruizinių laivų terminale, Smiltynėje</t>
  </si>
  <si>
    <t>Gyvūnų registravimo bazės administravimas nutrauktas tarybos 2015-03-26 sprendimu Nr. T2-47</t>
  </si>
  <si>
    <t>Pasikeitė teisinis reglamentavimas. Panaikinta savivaldybėms pavesta funkcija – organizuoti kačių, šunų ir kt. augintinių registravimą ir ženklinimą,  nuo 2016-01-01 ši funkcija yra priskiriama Valstybinei maisto ir veterinarijos tarnybai. Šiai tarnybai suteikiama ir vietinės rinkliavos rinkimo funkcija</t>
  </si>
  <si>
    <t>Buvo įsigyti brangesni du nauji interaktyvūs stendai, vietoje planuotų medinių</t>
  </si>
  <si>
    <t>Tualetai: 2 vnt. Smiltynėje ir 3 vnt. Melnragėje bei Neįgaliųjų paplūdimyje</t>
  </si>
  <si>
    <t>Prieš perduodant apšvietimo atramas eksploatuoti UAB „Gatvių apšvietimas“,  buvo suremontuota 180 vnt. sugadintų apšvietimo atramų</t>
  </si>
  <si>
    <t xml:space="preserve">Darbai pradėti, tačiau projektuojant iškilo problemos derinant elektros pasijungimą (pagal AB „LESTO“ išduotas prisijungimo sąlygas) su Klaipėdos rajono savivaldybe, projektas turėjo būti koreguotas pagal naujai išduotas prisijungimo sąlygas </t>
  </si>
  <si>
    <t>Atlikta apšvietimo įrengimo gatvių ruožuose – J. Janonio g., H. Manto g., S. Daukanto g., Naujoji Uosto g. kvartalo (I. Kanto g. 9-17 teritorija) darbų, proc.</t>
  </si>
  <si>
    <t>Dėl užsitęsusių viešųjų pirkimų procedūrų buvo  pasirašyta sutartis 2015 m. pabaigoje, šiuo metu vyksta projektavimo darbai</t>
  </si>
  <si>
    <t>Atlikta apšvietimo įrengimo gatvių ruožuose – Šiltnamių g., Senvagės g., Panevėžio g., Liepojos g. kvartalo (praėjimo vieta ties Liepojos g. 56) darbų, proc.</t>
  </si>
  <si>
    <t xml:space="preserve">Perkeltos 5 vaizdo stebėjimo kameros į aktualias vietas pagal viešosios tvarkos pažeidimų skaičių. Apmokėjimas už paslaugas yra suplanuotas 2016 m. </t>
  </si>
  <si>
    <t>Nugriauti statiniai: Baltijos pr. 31,  tvora Galinio Pylimo g. ir Senojo turgaus teritorijoje, lauko tualeto pastato konstrukcijos Molo g. 27, ūkinis pastatas Sukilėlių g. 20, stoginės tarp pastatų Taikos pr. 99 ir 101,105 ir 107, 107 ir 109, ūkinis pastatas Liepų g. 42, statiniai Arimų g. 14 teritorijoje, statiniai Uosto g. 22, Senoji Smiltelės g. 6A, sandėliai I. Kanto g. 44, Naujojo Uosto g. 20, Naujoji Uosto g. 5, Strėvos g. 5, garažas Tomo g. 26, pavėsinė Taikos pr. 42</t>
  </si>
  <si>
    <t>Dėl mažesnių paslaugų kainų atlikta darbų daugiau, nei planuota</t>
  </si>
  <si>
    <t>Paslauga vykdoma ir apmokama už faktiškai atliktus darbus</t>
  </si>
  <si>
    <t>Tarybos 2015-10-29 sprendimu Nr. T2-265 priemonės vykdymas perkeltas į 2016 m. Lėšos skirtos sutartiniams įsipareigojimams vykdyti už žmonių palaikų pervežimą, saugojimą ir laidojimą</t>
  </si>
  <si>
    <t>Įrengta mažiau ženklų, nei planuota. Viešųjų pirkimų konkurso metu už pasiūlytą kainą buvo galima įrengti 6 ženklus</t>
  </si>
  <si>
    <t>Paslaugų užsakovas buvo Klaipėdos m. savivaldybės administracija, už paslaugas apmokėjo VšĮ Būsto energijos taupymo agentūra</t>
  </si>
  <si>
    <t>Darbai nupirkti pigiau, nei planuota</t>
  </si>
  <si>
    <t>Lietaus nuotekų tinklų tiesimas J. Karoso g. 21 ir M. Mažvydo al. 11 namų kiemuose ir jų prieigose</t>
  </si>
  <si>
    <t>Pagal parengtą projektą remontuotas ilgesnis ruožas</t>
  </si>
  <si>
    <t xml:space="preserve">Aptarnauta kontrolės ir valdymo sistemų, vnt. </t>
  </si>
  <si>
    <t>* Pagal Klaipėdos miesto savivaldybės tarybos 2015 m. vasario 19 d. sprendimą Nr. T2-12</t>
  </si>
  <si>
    <t>** Pagal Klaipėdos miesto savivaldybės tarybos 2015 m. lapkričio 26 d. sprendimą Nr. T2-322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</si>
</sst>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0"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sz val="9"/>
      <name val="Times New Roman"/>
      <family val="1"/>
      <charset val="186"/>
    </font>
    <font>
      <sz val="9"/>
      <color indexed="81"/>
      <name val="Tahoma"/>
      <family val="2"/>
      <charset val="186"/>
    </font>
    <font>
      <sz val="10"/>
      <name val="Times New Roman"/>
      <family val="1"/>
    </font>
    <font>
      <vertAlign val="superscript"/>
      <sz val="10"/>
      <name val="Times New Roman"/>
      <family val="1"/>
      <charset val="186"/>
    </font>
    <font>
      <b/>
      <u/>
      <sz val="10"/>
      <name val="Times New Roman"/>
      <family val="1"/>
      <charset val="186"/>
    </font>
    <font>
      <b/>
      <sz val="10"/>
      <name val="Times New Roman"/>
      <family val="1"/>
      <charset val="204"/>
    </font>
    <font>
      <sz val="10"/>
      <name val="Times New Roman"/>
      <family val="1"/>
      <charset val="204"/>
    </font>
    <font>
      <b/>
      <sz val="10"/>
      <name val="Times New Roman"/>
      <family val="1"/>
    </font>
    <font>
      <sz val="9"/>
      <name val="Arial"/>
      <family val="2"/>
      <charset val="186"/>
    </font>
    <font>
      <sz val="10"/>
      <color theme="1"/>
      <name val="Times New Roman"/>
      <family val="1"/>
      <charset val="186"/>
    </font>
    <font>
      <sz val="9"/>
      <color theme="1"/>
      <name val="Times New Roman"/>
      <family val="1"/>
      <charset val="186"/>
    </font>
    <font>
      <sz val="9"/>
      <name val="Times New Roman"/>
      <family val="1"/>
    </font>
    <font>
      <sz val="10"/>
      <color rgb="FFFF0000"/>
      <name val="Times New Roman"/>
      <family val="1"/>
      <charset val="186"/>
    </font>
    <font>
      <sz val="7"/>
      <name val="Times New Roman"/>
      <family val="1"/>
      <charset val="186"/>
    </font>
    <font>
      <b/>
      <sz val="9"/>
      <color indexed="81"/>
      <name val="Tahoma"/>
      <family val="2"/>
      <charset val="186"/>
    </font>
    <font>
      <b/>
      <sz val="10"/>
      <name val="Arial"/>
      <family val="2"/>
      <charset val="186"/>
    </font>
    <font>
      <b/>
      <sz val="8"/>
      <name val="Arial"/>
      <family val="2"/>
      <charset val="186"/>
    </font>
    <font>
      <sz val="10"/>
      <color theme="0"/>
      <name val="Times New Roman"/>
      <family val="1"/>
      <charset val="186"/>
    </font>
    <font>
      <sz val="10"/>
      <color theme="6" tint="-0.249977111117893"/>
      <name val="Times New Roman"/>
      <family val="1"/>
      <charset val="186"/>
    </font>
    <font>
      <sz val="10"/>
      <name val="Calibri"/>
      <family val="2"/>
      <charset val="186"/>
    </font>
    <font>
      <sz val="10"/>
      <color theme="1"/>
      <name val="Calibri"/>
      <family val="2"/>
      <charset val="186"/>
    </font>
    <font>
      <sz val="8"/>
      <color rgb="FFFF0000"/>
      <name val="Times New Roman"/>
      <family val="1"/>
      <charset val="186"/>
    </font>
    <font>
      <b/>
      <sz val="7"/>
      <name val="Times New Roman"/>
      <family val="1"/>
      <charset val="186"/>
    </font>
    <font>
      <b/>
      <sz val="11"/>
      <color rgb="FF3F3F3F"/>
      <name val="Calibri"/>
      <family val="2"/>
      <charset val="186"/>
      <scheme val="minor"/>
    </font>
    <font>
      <sz val="8"/>
      <color rgb="FF3F3F3F"/>
      <name val="Times New Roman"/>
      <family val="1"/>
      <charset val="186"/>
    </font>
    <font>
      <sz val="12"/>
      <name val="Times New Roman"/>
      <family val="1"/>
    </font>
    <font>
      <b/>
      <sz val="12"/>
      <name val="Times New Roman"/>
      <family val="1"/>
    </font>
    <font>
      <sz val="11"/>
      <name val="Times New Roman"/>
      <family val="1"/>
      <charset val="186"/>
    </font>
    <font>
      <b/>
      <sz val="11"/>
      <name val="Times New Roman"/>
      <family val="1"/>
      <charset val="186"/>
    </font>
    <font>
      <b/>
      <sz val="10"/>
      <color theme="1"/>
      <name val="Times New Roman"/>
      <family val="1"/>
      <charset val="186"/>
    </font>
    <font>
      <strike/>
      <sz val="10"/>
      <name val="Times New Roman"/>
      <family val="1"/>
      <charset val="186"/>
    </font>
  </fonts>
  <fills count="14">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2F2F2"/>
      </patternFill>
    </fill>
    <fill>
      <patternFill patternType="solid">
        <fgColor rgb="FFCCECFF"/>
        <bgColor indexed="64"/>
      </patternFill>
    </fill>
  </fills>
  <borders count="131">
    <border>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diagonal/>
    </border>
    <border>
      <left/>
      <right/>
      <top style="thin">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right/>
      <top style="hair">
        <color indexed="64"/>
      </top>
      <bottom style="thin">
        <color indexed="64"/>
      </bottom>
      <diagonal/>
    </border>
    <border>
      <left/>
      <right style="medium">
        <color indexed="64"/>
      </right>
      <top style="medium">
        <color indexed="64"/>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s>
  <cellStyleXfs count="4">
    <xf numFmtId="0" fontId="0" fillId="0" borderId="0"/>
    <xf numFmtId="0" fontId="7" fillId="0" borderId="0"/>
    <xf numFmtId="0" fontId="3" fillId="2" borderId="1" applyBorder="0">
      <alignment horizontal="left" vertical="top" wrapText="1"/>
    </xf>
    <xf numFmtId="0" fontId="32" fillId="12" borderId="122" applyNumberFormat="0" applyAlignment="0" applyProtection="0"/>
  </cellStyleXfs>
  <cellXfs count="2716">
    <xf numFmtId="0" fontId="0" fillId="0" borderId="0" xfId="0"/>
    <xf numFmtId="0" fontId="3" fillId="0" borderId="0" xfId="0" applyFont="1" applyAlignment="1">
      <alignment horizontal="left" vertical="top"/>
    </xf>
    <xf numFmtId="164" fontId="5" fillId="0" borderId="0" xfId="0" applyNumberFormat="1" applyFont="1" applyFill="1" applyBorder="1" applyAlignment="1">
      <alignment horizontal="center" vertical="top"/>
    </xf>
    <xf numFmtId="164" fontId="5" fillId="0" borderId="0" xfId="0" applyNumberFormat="1" applyFont="1" applyFill="1" applyBorder="1" applyAlignment="1">
      <alignment vertical="top"/>
    </xf>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3" xfId="0" applyFont="1" applyFill="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0" xfId="0" applyFont="1" applyAlignment="1">
      <alignment vertical="top"/>
    </xf>
    <xf numFmtId="49" fontId="5" fillId="3" borderId="5" xfId="0" applyNumberFormat="1" applyFont="1" applyFill="1" applyBorder="1" applyAlignment="1">
      <alignment horizontal="center" vertical="top"/>
    </xf>
    <xf numFmtId="0" fontId="3" fillId="0" borderId="6" xfId="0" applyFont="1" applyFill="1" applyBorder="1" applyAlignment="1">
      <alignment horizontal="center" vertical="top" wrapText="1"/>
    </xf>
    <xf numFmtId="0" fontId="3" fillId="0" borderId="0" xfId="0" applyFont="1" applyBorder="1" applyAlignment="1">
      <alignment horizontal="left" vertical="top"/>
    </xf>
    <xf numFmtId="0" fontId="3" fillId="0" borderId="0" xfId="0" applyFont="1" applyFill="1" applyBorder="1" applyAlignment="1">
      <alignment vertical="top"/>
    </xf>
    <xf numFmtId="0" fontId="3" fillId="0" borderId="7"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10" xfId="0" applyFont="1" applyFill="1" applyBorder="1" applyAlignment="1">
      <alignment vertical="top" wrapText="1"/>
    </xf>
    <xf numFmtId="0" fontId="3" fillId="0" borderId="11" xfId="0" applyFont="1" applyFill="1" applyBorder="1" applyAlignment="1">
      <alignment vertical="top" wrapText="1"/>
    </xf>
    <xf numFmtId="0" fontId="3" fillId="0" borderId="7" xfId="0" applyFont="1" applyFill="1" applyBorder="1" applyAlignment="1">
      <alignment horizontal="center" vertical="top"/>
    </xf>
    <xf numFmtId="0" fontId="3" fillId="0" borderId="0" xfId="0" applyFont="1" applyFill="1" applyAlignment="1">
      <alignment vertical="top"/>
    </xf>
    <xf numFmtId="0" fontId="3" fillId="2" borderId="0" xfId="0" applyFont="1" applyFill="1" applyAlignment="1">
      <alignment vertical="top"/>
    </xf>
    <xf numFmtId="164" fontId="3" fillId="0" borderId="6" xfId="0" applyNumberFormat="1" applyFont="1" applyFill="1" applyBorder="1" applyAlignment="1">
      <alignment horizontal="right" vertical="top"/>
    </xf>
    <xf numFmtId="164" fontId="5" fillId="3" borderId="22" xfId="0" applyNumberFormat="1" applyFont="1" applyFill="1" applyBorder="1" applyAlignment="1">
      <alignment horizontal="right" vertical="top"/>
    </xf>
    <xf numFmtId="0" fontId="3" fillId="0" borderId="23" xfId="0" applyFont="1" applyFill="1" applyBorder="1" applyAlignment="1">
      <alignment horizontal="center" vertical="top" wrapText="1"/>
    </xf>
    <xf numFmtId="0" fontId="3" fillId="0" borderId="23" xfId="0" applyFont="1" applyFill="1" applyBorder="1" applyAlignment="1">
      <alignment horizontal="center" vertical="top"/>
    </xf>
    <xf numFmtId="0" fontId="3" fillId="0" borderId="10" xfId="0" applyFont="1" applyBorder="1" applyAlignment="1">
      <alignment vertical="top" wrapText="1"/>
    </xf>
    <xf numFmtId="0" fontId="3" fillId="0" borderId="11" xfId="0" applyFont="1" applyBorder="1" applyAlignment="1">
      <alignment vertical="top" wrapText="1"/>
    </xf>
    <xf numFmtId="0" fontId="8" fillId="0" borderId="25" xfId="0" applyFont="1" applyBorder="1" applyAlignment="1">
      <alignment horizontal="center" vertical="center" wrapText="1"/>
    </xf>
    <xf numFmtId="0" fontId="7" fillId="0" borderId="0" xfId="0" applyFont="1"/>
    <xf numFmtId="3" fontId="3" fillId="0" borderId="17"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3" fontId="3" fillId="0" borderId="30" xfId="0" applyNumberFormat="1" applyFont="1" applyFill="1" applyBorder="1" applyAlignment="1">
      <alignment horizontal="center" vertical="top"/>
    </xf>
    <xf numFmtId="164" fontId="3" fillId="0" borderId="9" xfId="0" applyNumberFormat="1" applyFont="1" applyFill="1" applyBorder="1" applyAlignment="1">
      <alignment horizontal="right" vertical="top"/>
    </xf>
    <xf numFmtId="164" fontId="3" fillId="0" borderId="24" xfId="0" applyNumberFormat="1" applyFont="1" applyFill="1" applyBorder="1" applyAlignment="1">
      <alignment horizontal="right" vertical="top"/>
    </xf>
    <xf numFmtId="165" fontId="3" fillId="0" borderId="29" xfId="0" applyNumberFormat="1" applyFont="1" applyFill="1" applyBorder="1" applyAlignment="1">
      <alignment horizontal="center" vertical="top" wrapText="1"/>
    </xf>
    <xf numFmtId="0" fontId="3" fillId="3" borderId="35" xfId="0" applyFont="1" applyFill="1" applyBorder="1" applyAlignment="1">
      <alignment horizontal="center" vertical="top" wrapText="1"/>
    </xf>
    <xf numFmtId="0" fontId="3" fillId="3" borderId="30" xfId="0" applyFont="1" applyFill="1" applyBorder="1" applyAlignment="1">
      <alignment horizontal="center" vertical="top" wrapText="1"/>
    </xf>
    <xf numFmtId="0" fontId="3" fillId="3" borderId="36" xfId="0" applyFont="1" applyFill="1" applyBorder="1" applyAlignment="1">
      <alignment horizontal="center" vertical="top" wrapText="1"/>
    </xf>
    <xf numFmtId="164" fontId="3" fillId="0" borderId="7" xfId="0" applyNumberFormat="1" applyFont="1" applyFill="1" applyBorder="1" applyAlignment="1">
      <alignment horizontal="right" vertical="top" wrapText="1"/>
    </xf>
    <xf numFmtId="165" fontId="3" fillId="0" borderId="17" xfId="0" applyNumberFormat="1" applyFont="1" applyFill="1" applyBorder="1" applyAlignment="1">
      <alignment vertical="top" textRotation="90"/>
    </xf>
    <xf numFmtId="165" fontId="3" fillId="0" borderId="28" xfId="0" applyNumberFormat="1" applyFont="1" applyFill="1" applyBorder="1" applyAlignment="1">
      <alignment vertical="top"/>
    </xf>
    <xf numFmtId="165" fontId="3" fillId="0" borderId="29" xfId="0" applyNumberFormat="1" applyFont="1" applyFill="1" applyBorder="1" applyAlignment="1">
      <alignment vertical="top"/>
    </xf>
    <xf numFmtId="164" fontId="3" fillId="0" borderId="9" xfId="0" applyNumberFormat="1" applyFont="1" applyFill="1" applyBorder="1" applyAlignment="1">
      <alignment horizontal="right" vertical="top" wrapText="1"/>
    </xf>
    <xf numFmtId="164" fontId="3" fillId="2" borderId="7" xfId="0" applyNumberFormat="1" applyFont="1" applyFill="1" applyBorder="1" applyAlignment="1">
      <alignment horizontal="right" vertical="top" wrapText="1"/>
    </xf>
    <xf numFmtId="0" fontId="3" fillId="0" borderId="0" xfId="0" applyFont="1" applyAlignment="1">
      <alignment vertical="center"/>
    </xf>
    <xf numFmtId="0" fontId="3" fillId="0" borderId="10" xfId="0" applyFont="1" applyFill="1" applyBorder="1" applyAlignment="1">
      <alignment vertical="center" textRotation="90" wrapText="1"/>
    </xf>
    <xf numFmtId="0" fontId="3" fillId="0" borderId="11" xfId="0" applyFont="1" applyFill="1" applyBorder="1" applyAlignment="1">
      <alignment vertical="center" textRotation="90" wrapText="1"/>
    </xf>
    <xf numFmtId="164" fontId="3" fillId="2" borderId="23" xfId="0" applyNumberFormat="1" applyFont="1" applyFill="1" applyBorder="1" applyAlignment="1">
      <alignment horizontal="right" vertical="top" wrapText="1"/>
    </xf>
    <xf numFmtId="0" fontId="11" fillId="0" borderId="0" xfId="0" applyFont="1" applyBorder="1" applyAlignment="1">
      <alignment vertical="top"/>
    </xf>
    <xf numFmtId="0" fontId="3" fillId="0" borderId="42"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164" fontId="3" fillId="2" borderId="44" xfId="0" applyNumberFormat="1" applyFont="1" applyFill="1" applyBorder="1" applyAlignment="1">
      <alignment horizontal="right" vertical="top" wrapText="1"/>
    </xf>
    <xf numFmtId="0" fontId="5" fillId="0" borderId="0" xfId="0" applyFont="1" applyAlignment="1">
      <alignment horizontal="left" vertical="top"/>
    </xf>
    <xf numFmtId="165" fontId="3" fillId="0" borderId="0" xfId="0" applyNumberFormat="1" applyFont="1" applyAlignment="1">
      <alignment horizontal="left" vertical="top"/>
    </xf>
    <xf numFmtId="3" fontId="3" fillId="0" borderId="34" xfId="0" applyNumberFormat="1" applyFont="1" applyFill="1" applyBorder="1" applyAlignment="1">
      <alignment horizontal="center" vertical="top"/>
    </xf>
    <xf numFmtId="0" fontId="3" fillId="0" borderId="45" xfId="0" applyFont="1" applyFill="1" applyBorder="1" applyAlignment="1">
      <alignment vertical="top" wrapText="1"/>
    </xf>
    <xf numFmtId="0" fontId="3" fillId="0" borderId="31" xfId="0" applyFont="1" applyFill="1" applyBorder="1" applyAlignment="1">
      <alignment vertical="top" wrapText="1"/>
    </xf>
    <xf numFmtId="0" fontId="3" fillId="0" borderId="0" xfId="0" applyNumberFormat="1" applyFont="1" applyFill="1" applyBorder="1" applyAlignment="1">
      <alignment vertical="top" wrapText="1"/>
    </xf>
    <xf numFmtId="1" fontId="2" fillId="0" borderId="17" xfId="0" applyNumberFormat="1" applyFont="1" applyFill="1" applyBorder="1" applyAlignment="1">
      <alignment horizontal="center" vertical="top"/>
    </xf>
    <xf numFmtId="0" fontId="5" fillId="0" borderId="0" xfId="0" applyNumberFormat="1" applyFont="1" applyAlignment="1">
      <alignment horizontal="center" vertical="top"/>
    </xf>
    <xf numFmtId="164" fontId="3" fillId="0" borderId="24" xfId="0" applyNumberFormat="1" applyFont="1" applyFill="1" applyBorder="1" applyAlignment="1">
      <alignment horizontal="right" vertical="top" wrapText="1"/>
    </xf>
    <xf numFmtId="0" fontId="3" fillId="0" borderId="16" xfId="0" applyFont="1" applyFill="1" applyBorder="1" applyAlignment="1">
      <alignment horizontal="left" vertical="top" wrapText="1"/>
    </xf>
    <xf numFmtId="3" fontId="3" fillId="0" borderId="2" xfId="0" applyNumberFormat="1" applyFont="1" applyFill="1" applyBorder="1" applyAlignment="1">
      <alignment horizontal="center" vertical="top" wrapText="1"/>
    </xf>
    <xf numFmtId="3" fontId="3" fillId="0" borderId="18" xfId="0" applyNumberFormat="1" applyFont="1" applyFill="1" applyBorder="1" applyAlignment="1">
      <alignment horizontal="center" vertical="top" wrapText="1"/>
    </xf>
    <xf numFmtId="164" fontId="3" fillId="2" borderId="9" xfId="0" applyNumberFormat="1" applyFont="1" applyFill="1" applyBorder="1" applyAlignment="1">
      <alignment horizontal="right" vertical="top" wrapText="1"/>
    </xf>
    <xf numFmtId="49" fontId="5" fillId="2" borderId="17" xfId="0" applyNumberFormat="1" applyFont="1" applyFill="1" applyBorder="1" applyAlignment="1">
      <alignment horizontal="center" vertical="top"/>
    </xf>
    <xf numFmtId="164" fontId="3" fillId="0" borderId="0" xfId="0" applyNumberFormat="1" applyFont="1" applyBorder="1" applyAlignment="1">
      <alignment horizontal="left" vertical="top"/>
    </xf>
    <xf numFmtId="0" fontId="9" fillId="0" borderId="28" xfId="0" applyFont="1" applyFill="1" applyBorder="1" applyAlignment="1">
      <alignment horizontal="center" vertical="top" wrapText="1"/>
    </xf>
    <xf numFmtId="3" fontId="3" fillId="2" borderId="34" xfId="0" applyNumberFormat="1" applyFont="1" applyFill="1" applyBorder="1" applyAlignment="1">
      <alignment horizontal="center" vertical="top"/>
    </xf>
    <xf numFmtId="164" fontId="3" fillId="2" borderId="46" xfId="0" applyNumberFormat="1" applyFont="1" applyFill="1" applyBorder="1" applyAlignment="1">
      <alignment horizontal="right" vertical="top" wrapText="1"/>
    </xf>
    <xf numFmtId="164" fontId="3" fillId="0" borderId="0" xfId="0" applyNumberFormat="1" applyFont="1" applyAlignment="1">
      <alignment vertical="top"/>
    </xf>
    <xf numFmtId="164" fontId="3" fillId="2" borderId="0" xfId="0" applyNumberFormat="1" applyFont="1" applyFill="1" applyBorder="1" applyAlignment="1">
      <alignment horizontal="right" vertical="top" wrapText="1"/>
    </xf>
    <xf numFmtId="164" fontId="3" fillId="0" borderId="42" xfId="0" applyNumberFormat="1" applyFont="1" applyFill="1" applyBorder="1" applyAlignment="1">
      <alignment horizontal="right" vertical="top"/>
    </xf>
    <xf numFmtId="164" fontId="3" fillId="2" borderId="6" xfId="0" applyNumberFormat="1" applyFont="1" applyFill="1" applyBorder="1" applyAlignment="1">
      <alignment horizontal="right" vertical="top"/>
    </xf>
    <xf numFmtId="49" fontId="5" fillId="0" borderId="53" xfId="0" applyNumberFormat="1" applyFont="1" applyBorder="1" applyAlignment="1">
      <alignment horizontal="center" vertical="top"/>
    </xf>
    <xf numFmtId="164" fontId="3" fillId="0" borderId="0" xfId="0" applyNumberFormat="1" applyFont="1" applyBorder="1" applyAlignment="1">
      <alignment vertical="top"/>
    </xf>
    <xf numFmtId="0" fontId="3" fillId="0" borderId="0" xfId="0" applyFont="1" applyAlignment="1">
      <alignment horizontal="center" vertical="top"/>
    </xf>
    <xf numFmtId="49" fontId="5" fillId="0" borderId="54" xfId="0" applyNumberFormat="1" applyFont="1" applyBorder="1" applyAlignment="1">
      <alignment horizontal="center" vertical="top"/>
    </xf>
    <xf numFmtId="49" fontId="5" fillId="0" borderId="36" xfId="0" applyNumberFormat="1" applyFont="1" applyBorder="1" applyAlignment="1">
      <alignment horizontal="center" vertical="top"/>
    </xf>
    <xf numFmtId="49" fontId="5" fillId="3" borderId="34" xfId="0" applyNumberFormat="1" applyFont="1" applyFill="1" applyBorder="1" applyAlignment="1">
      <alignment horizontal="center" vertical="top"/>
    </xf>
    <xf numFmtId="49" fontId="5" fillId="4" borderId="56" xfId="0" applyNumberFormat="1" applyFont="1" applyFill="1" applyBorder="1" applyAlignment="1">
      <alignment horizontal="center" vertical="top"/>
    </xf>
    <xf numFmtId="164" fontId="5" fillId="4" borderId="56" xfId="0" applyNumberFormat="1" applyFont="1" applyFill="1" applyBorder="1" applyAlignment="1">
      <alignment horizontal="right" vertical="top"/>
    </xf>
    <xf numFmtId="164" fontId="5" fillId="4" borderId="25" xfId="0" applyNumberFormat="1" applyFont="1" applyFill="1" applyBorder="1" applyAlignment="1">
      <alignment horizontal="right" vertical="top"/>
    </xf>
    <xf numFmtId="164" fontId="3" fillId="2" borderId="53" xfId="0" applyNumberFormat="1" applyFont="1" applyFill="1" applyBorder="1" applyAlignment="1">
      <alignment horizontal="right" vertical="top" wrapText="1"/>
    </xf>
    <xf numFmtId="164" fontId="3" fillId="0" borderId="52" xfId="0" applyNumberFormat="1" applyFont="1" applyFill="1" applyBorder="1" applyAlignment="1">
      <alignment horizontal="right" vertical="top"/>
    </xf>
    <xf numFmtId="164" fontId="3" fillId="0" borderId="55" xfId="0" applyNumberFormat="1" applyFont="1" applyFill="1" applyBorder="1" applyAlignment="1">
      <alignment horizontal="right" vertical="top" wrapText="1"/>
    </xf>
    <xf numFmtId="164" fontId="3" fillId="0" borderId="53" xfId="0" applyNumberFormat="1" applyFont="1" applyFill="1" applyBorder="1" applyAlignment="1">
      <alignment horizontal="right" vertical="top" wrapText="1"/>
    </xf>
    <xf numFmtId="164" fontId="3" fillId="2" borderId="65" xfId="0" applyNumberFormat="1" applyFont="1" applyFill="1" applyBorder="1" applyAlignment="1">
      <alignment horizontal="right" vertical="top" wrapText="1"/>
    </xf>
    <xf numFmtId="0" fontId="3" fillId="0" borderId="16" xfId="0" applyFont="1" applyFill="1" applyBorder="1" applyAlignment="1">
      <alignment vertical="top" wrapText="1"/>
    </xf>
    <xf numFmtId="165" fontId="3" fillId="0" borderId="2" xfId="0" applyNumberFormat="1" applyFont="1" applyFill="1" applyBorder="1" applyAlignment="1">
      <alignment horizontal="center" vertical="top" wrapText="1"/>
    </xf>
    <xf numFmtId="3" fontId="3" fillId="0" borderId="33" xfId="0" applyNumberFormat="1" applyFont="1" applyFill="1" applyBorder="1" applyAlignment="1">
      <alignment vertical="top" wrapText="1"/>
    </xf>
    <xf numFmtId="0" fontId="3" fillId="2" borderId="18" xfId="0" applyFont="1" applyFill="1" applyBorder="1" applyAlignment="1">
      <alignment horizontal="left" vertical="top" wrapText="1"/>
    </xf>
    <xf numFmtId="0" fontId="15" fillId="2" borderId="47" xfId="0" applyFont="1" applyFill="1" applyBorder="1" applyAlignment="1">
      <alignment horizontal="left" vertical="top" wrapText="1"/>
    </xf>
    <xf numFmtId="164" fontId="3" fillId="2" borderId="71" xfId="0" applyNumberFormat="1" applyFont="1" applyFill="1" applyBorder="1" applyAlignment="1">
      <alignment horizontal="right" vertical="top" wrapText="1"/>
    </xf>
    <xf numFmtId="164" fontId="3" fillId="2" borderId="43" xfId="0" applyNumberFormat="1" applyFont="1" applyFill="1" applyBorder="1" applyAlignment="1">
      <alignment horizontal="right" vertical="top" wrapText="1"/>
    </xf>
    <xf numFmtId="164" fontId="3" fillId="0" borderId="23" xfId="0" applyNumberFormat="1" applyFont="1" applyFill="1" applyBorder="1" applyAlignment="1">
      <alignment horizontal="right" vertical="top"/>
    </xf>
    <xf numFmtId="3" fontId="3" fillId="0" borderId="21" xfId="0" applyNumberFormat="1" applyFont="1" applyFill="1" applyBorder="1" applyAlignment="1">
      <alignment horizontal="center" vertical="top"/>
    </xf>
    <xf numFmtId="3" fontId="3" fillId="0" borderId="1" xfId="0" applyNumberFormat="1" applyFont="1" applyFill="1" applyBorder="1" applyAlignment="1">
      <alignment horizontal="center" vertical="top"/>
    </xf>
    <xf numFmtId="165" fontId="3" fillId="0" borderId="28" xfId="0" applyNumberFormat="1" applyFont="1" applyFill="1" applyBorder="1" applyAlignment="1">
      <alignment horizontal="center" vertical="top" wrapText="1"/>
    </xf>
    <xf numFmtId="3" fontId="3" fillId="0" borderId="33" xfId="0" applyNumberFormat="1" applyFont="1" applyFill="1" applyBorder="1" applyAlignment="1">
      <alignment horizontal="center" vertical="top"/>
    </xf>
    <xf numFmtId="3" fontId="3" fillId="0" borderId="19" xfId="0" applyNumberFormat="1" applyFont="1" applyFill="1" applyBorder="1" applyAlignment="1">
      <alignment horizontal="center" vertical="top"/>
    </xf>
    <xf numFmtId="0" fontId="3" fillId="0" borderId="24" xfId="0" applyFont="1" applyFill="1" applyBorder="1" applyAlignment="1">
      <alignment horizontal="center" vertical="top" wrapText="1"/>
    </xf>
    <xf numFmtId="3" fontId="3" fillId="2" borderId="28" xfId="0" applyNumberFormat="1" applyFont="1" applyFill="1" applyBorder="1" applyAlignment="1">
      <alignment horizontal="center" vertical="top"/>
    </xf>
    <xf numFmtId="3" fontId="3" fillId="2" borderId="29" xfId="0" applyNumberFormat="1" applyFont="1" applyFill="1" applyBorder="1" applyAlignment="1">
      <alignment horizontal="center" vertical="top"/>
    </xf>
    <xf numFmtId="3" fontId="3" fillId="2" borderId="33" xfId="0" applyNumberFormat="1" applyFont="1" applyFill="1" applyBorder="1" applyAlignment="1">
      <alignment horizontal="center" vertical="top"/>
    </xf>
    <xf numFmtId="49" fontId="16" fillId="3" borderId="17" xfId="0" applyNumberFormat="1" applyFont="1" applyFill="1" applyBorder="1" applyAlignment="1">
      <alignment vertical="top"/>
    </xf>
    <xf numFmtId="49" fontId="5" fillId="2" borderId="17" xfId="0" applyNumberFormat="1" applyFont="1" applyFill="1" applyBorder="1" applyAlignment="1">
      <alignment vertical="top"/>
    </xf>
    <xf numFmtId="0" fontId="11" fillId="2" borderId="44" xfId="0" applyFont="1" applyFill="1" applyBorder="1" applyAlignment="1">
      <alignment horizontal="center" vertical="top" wrapText="1"/>
    </xf>
    <xf numFmtId="164" fontId="11" fillId="2" borderId="23" xfId="0" applyNumberFormat="1" applyFont="1" applyFill="1" applyBorder="1" applyAlignment="1">
      <alignment horizontal="center" vertical="top" wrapText="1"/>
    </xf>
    <xf numFmtId="164" fontId="11" fillId="2" borderId="44" xfId="0" applyNumberFormat="1" applyFont="1" applyFill="1" applyBorder="1" applyAlignment="1">
      <alignment horizontal="center" vertical="top" wrapText="1"/>
    </xf>
    <xf numFmtId="0" fontId="20" fillId="2" borderId="21" xfId="0" applyNumberFormat="1" applyFont="1" applyFill="1" applyBorder="1" applyAlignment="1">
      <alignment horizontal="center" vertical="top" wrapText="1"/>
    </xf>
    <xf numFmtId="0" fontId="20" fillId="2" borderId="52" xfId="0" applyNumberFormat="1" applyFont="1" applyFill="1" applyBorder="1" applyAlignment="1">
      <alignment horizontal="center" vertical="top" wrapText="1"/>
    </xf>
    <xf numFmtId="0" fontId="5" fillId="0" borderId="10" xfId="0" applyFont="1" applyFill="1" applyBorder="1" applyAlignment="1">
      <alignment vertical="center" wrapText="1"/>
    </xf>
    <xf numFmtId="0" fontId="5" fillId="0" borderId="19" xfId="0" applyNumberFormat="1" applyFont="1" applyBorder="1" applyAlignment="1">
      <alignment vertical="center"/>
    </xf>
    <xf numFmtId="0" fontId="11" fillId="2" borderId="52" xfId="0" applyFont="1" applyFill="1" applyBorder="1" applyAlignment="1">
      <alignment horizontal="center" vertical="top" wrapText="1"/>
    </xf>
    <xf numFmtId="0" fontId="20" fillId="2" borderId="17" xfId="0" applyNumberFormat="1" applyFont="1" applyFill="1" applyBorder="1" applyAlignment="1">
      <alignment horizontal="center" vertical="top" wrapText="1"/>
    </xf>
    <xf numFmtId="0" fontId="20" fillId="2" borderId="53" xfId="0" applyNumberFormat="1" applyFont="1" applyFill="1" applyBorder="1" applyAlignment="1">
      <alignment horizontal="center" vertical="top" wrapText="1"/>
    </xf>
    <xf numFmtId="0" fontId="20" fillId="0" borderId="17" xfId="0" applyFont="1" applyBorder="1" applyAlignment="1">
      <alignment vertical="top"/>
    </xf>
    <xf numFmtId="0" fontId="20" fillId="0" borderId="53" xfId="0" applyFont="1" applyBorder="1" applyAlignment="1">
      <alignment vertical="top"/>
    </xf>
    <xf numFmtId="49" fontId="16" fillId="3" borderId="28" xfId="0" applyNumberFormat="1" applyFont="1" applyFill="1" applyBorder="1" applyAlignment="1">
      <alignment vertical="top"/>
    </xf>
    <xf numFmtId="49" fontId="5" fillId="2" borderId="28" xfId="0" applyNumberFormat="1" applyFont="1" applyFill="1" applyBorder="1" applyAlignment="1">
      <alignment vertical="top"/>
    </xf>
    <xf numFmtId="0" fontId="5" fillId="0" borderId="8" xfId="0" applyFont="1" applyFill="1" applyBorder="1" applyAlignment="1">
      <alignment horizontal="center" vertical="center" wrapText="1"/>
    </xf>
    <xf numFmtId="49" fontId="3" fillId="0" borderId="28" xfId="0" applyNumberFormat="1" applyFont="1" applyBorder="1" applyAlignment="1">
      <alignment horizontal="center" vertical="center" wrapText="1"/>
    </xf>
    <xf numFmtId="0" fontId="5" fillId="0" borderId="29" xfId="0" applyNumberFormat="1" applyFont="1" applyBorder="1" applyAlignment="1">
      <alignment horizontal="center" vertical="center"/>
    </xf>
    <xf numFmtId="49" fontId="16" fillId="3" borderId="26" xfId="0" applyNumberFormat="1" applyFont="1" applyFill="1" applyBorder="1" applyAlignment="1">
      <alignment vertical="top"/>
    </xf>
    <xf numFmtId="49" fontId="5" fillId="2" borderId="26" xfId="0" applyNumberFormat="1" applyFont="1" applyFill="1" applyBorder="1" applyAlignment="1">
      <alignment vertical="top"/>
    </xf>
    <xf numFmtId="0" fontId="5" fillId="0" borderId="11" xfId="0" applyFont="1" applyFill="1" applyBorder="1" applyAlignment="1">
      <alignment vertical="center" wrapText="1"/>
    </xf>
    <xf numFmtId="49" fontId="3" fillId="0" borderId="26" xfId="0" applyNumberFormat="1" applyFont="1" applyBorder="1" applyAlignment="1">
      <alignment horizontal="center" vertical="center" wrapText="1"/>
    </xf>
    <xf numFmtId="0" fontId="5" fillId="0" borderId="27" xfId="0" applyNumberFormat="1" applyFont="1" applyBorder="1" applyAlignment="1">
      <alignment vertical="center"/>
    </xf>
    <xf numFmtId="0" fontId="3" fillId="0" borderId="1" xfId="0" applyNumberFormat="1" applyFont="1" applyBorder="1" applyAlignment="1">
      <alignment horizontal="center" vertical="top"/>
    </xf>
    <xf numFmtId="164" fontId="5" fillId="3" borderId="56" xfId="0" applyNumberFormat="1" applyFont="1" applyFill="1" applyBorder="1" applyAlignment="1">
      <alignment horizontal="right" vertical="top"/>
    </xf>
    <xf numFmtId="164" fontId="5" fillId="3" borderId="69" xfId="0" applyNumberFormat="1" applyFont="1" applyFill="1" applyBorder="1" applyAlignment="1">
      <alignment horizontal="right" vertical="top"/>
    </xf>
    <xf numFmtId="0" fontId="3" fillId="0" borderId="40" xfId="0" applyFont="1" applyBorder="1" applyAlignment="1">
      <alignment vertical="top" wrapText="1"/>
    </xf>
    <xf numFmtId="3" fontId="5" fillId="0" borderId="34" xfId="0" applyNumberFormat="1" applyFont="1" applyFill="1" applyBorder="1" applyAlignment="1">
      <alignment horizontal="center" vertical="top" wrapText="1"/>
    </xf>
    <xf numFmtId="3" fontId="5" fillId="0" borderId="28"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xf>
    <xf numFmtId="49" fontId="5" fillId="0" borderId="29" xfId="0" applyNumberFormat="1" applyFont="1" applyFill="1" applyBorder="1" applyAlignment="1">
      <alignment horizontal="center" vertical="top"/>
    </xf>
    <xf numFmtId="0" fontId="0" fillId="0" borderId="19" xfId="0" applyBorder="1" applyAlignment="1">
      <alignment horizontal="center" vertical="top"/>
    </xf>
    <xf numFmtId="49" fontId="3" fillId="0" borderId="34" xfId="0" applyNumberFormat="1" applyFont="1" applyFill="1" applyBorder="1" applyAlignment="1">
      <alignment horizontal="center" vertical="top"/>
    </xf>
    <xf numFmtId="49" fontId="5" fillId="0" borderId="33" xfId="0" applyNumberFormat="1" applyFont="1" applyFill="1" applyBorder="1" applyAlignment="1">
      <alignment horizontal="center" vertical="top"/>
    </xf>
    <xf numFmtId="0" fontId="20" fillId="2" borderId="28" xfId="0" applyNumberFormat="1" applyFont="1" applyFill="1" applyBorder="1" applyAlignment="1">
      <alignment horizontal="center" vertical="top" wrapText="1"/>
    </xf>
    <xf numFmtId="0" fontId="20" fillId="0" borderId="26" xfId="0" applyFont="1" applyBorder="1" applyAlignment="1">
      <alignment vertical="top"/>
    </xf>
    <xf numFmtId="164" fontId="3" fillId="8" borderId="20" xfId="0" applyNumberFormat="1" applyFont="1" applyFill="1" applyBorder="1" applyAlignment="1">
      <alignment horizontal="right" vertical="top"/>
    </xf>
    <xf numFmtId="164" fontId="3" fillId="8" borderId="34" xfId="0" applyNumberFormat="1" applyFont="1" applyFill="1" applyBorder="1" applyAlignment="1">
      <alignment horizontal="right" vertical="top"/>
    </xf>
    <xf numFmtId="164" fontId="3" fillId="8" borderId="32" xfId="0" applyNumberFormat="1" applyFont="1" applyFill="1" applyBorder="1" applyAlignment="1">
      <alignment horizontal="right" vertical="top"/>
    </xf>
    <xf numFmtId="164" fontId="3" fillId="8" borderId="51" xfId="0" applyNumberFormat="1" applyFont="1" applyFill="1" applyBorder="1" applyAlignment="1">
      <alignment horizontal="right" vertical="top"/>
    </xf>
    <xf numFmtId="164" fontId="3" fillId="8" borderId="17" xfId="0" applyNumberFormat="1" applyFont="1" applyFill="1" applyBorder="1" applyAlignment="1">
      <alignment horizontal="right" vertical="top"/>
    </xf>
    <xf numFmtId="164" fontId="3" fillId="8" borderId="50" xfId="0" applyNumberFormat="1" applyFont="1" applyFill="1" applyBorder="1" applyAlignment="1">
      <alignment horizontal="right" vertical="top"/>
    </xf>
    <xf numFmtId="164" fontId="3" fillId="8" borderId="38" xfId="0" applyNumberFormat="1" applyFont="1" applyFill="1" applyBorder="1" applyAlignment="1">
      <alignment horizontal="right" vertical="top"/>
    </xf>
    <xf numFmtId="164" fontId="3" fillId="8" borderId="2" xfId="0" applyNumberFormat="1" applyFont="1" applyFill="1" applyBorder="1" applyAlignment="1">
      <alignment horizontal="right" vertical="top"/>
    </xf>
    <xf numFmtId="164" fontId="3" fillId="8" borderId="37" xfId="0" applyNumberFormat="1" applyFont="1" applyFill="1" applyBorder="1" applyAlignment="1">
      <alignment horizontal="right" vertical="top"/>
    </xf>
    <xf numFmtId="164" fontId="3" fillId="8" borderId="21" xfId="0" applyNumberFormat="1" applyFont="1" applyFill="1" applyBorder="1" applyAlignment="1">
      <alignment horizontal="right" vertical="top"/>
    </xf>
    <xf numFmtId="164" fontId="3" fillId="8" borderId="48" xfId="0" applyNumberFormat="1" applyFont="1" applyFill="1" applyBorder="1" applyAlignment="1">
      <alignment horizontal="right" vertical="top"/>
    </xf>
    <xf numFmtId="164" fontId="5" fillId="8" borderId="51" xfId="0" applyNumberFormat="1" applyFont="1" applyFill="1" applyBorder="1" applyAlignment="1">
      <alignment horizontal="right" vertical="top"/>
    </xf>
    <xf numFmtId="164" fontId="3" fillId="8" borderId="58" xfId="0" applyNumberFormat="1" applyFont="1" applyFill="1" applyBorder="1" applyAlignment="1">
      <alignment horizontal="right" vertical="top"/>
    </xf>
    <xf numFmtId="164" fontId="3" fillId="8" borderId="13" xfId="0" applyNumberFormat="1" applyFont="1" applyFill="1" applyBorder="1" applyAlignment="1">
      <alignment horizontal="right" vertical="top"/>
    </xf>
    <xf numFmtId="164" fontId="3" fillId="8" borderId="14" xfId="0" applyNumberFormat="1" applyFont="1" applyFill="1" applyBorder="1" applyAlignment="1">
      <alignment horizontal="right" vertical="top"/>
    </xf>
    <xf numFmtId="164" fontId="3" fillId="8" borderId="31" xfId="0" applyNumberFormat="1" applyFont="1" applyFill="1" applyBorder="1" applyAlignment="1">
      <alignment horizontal="right" vertical="top"/>
    </xf>
    <xf numFmtId="164" fontId="3" fillId="8" borderId="33" xfId="0" applyNumberFormat="1" applyFont="1" applyFill="1" applyBorder="1" applyAlignment="1">
      <alignment horizontal="right" vertical="top"/>
    </xf>
    <xf numFmtId="164" fontId="3" fillId="8" borderId="16" xfId="0" applyNumberFormat="1" applyFont="1" applyFill="1" applyBorder="1" applyAlignment="1">
      <alignment horizontal="right" vertical="top"/>
    </xf>
    <xf numFmtId="164" fontId="3" fillId="8" borderId="18" xfId="0" applyNumberFormat="1" applyFont="1" applyFill="1" applyBorder="1" applyAlignment="1">
      <alignment horizontal="right" vertical="top"/>
    </xf>
    <xf numFmtId="164" fontId="5" fillId="8" borderId="60" xfId="0" applyNumberFormat="1" applyFont="1" applyFill="1" applyBorder="1" applyAlignment="1">
      <alignment horizontal="right" vertical="top"/>
    </xf>
    <xf numFmtId="164" fontId="5" fillId="8" borderId="3" xfId="0" applyNumberFormat="1" applyFont="1" applyFill="1" applyBorder="1" applyAlignment="1">
      <alignment horizontal="right" vertical="top"/>
    </xf>
    <xf numFmtId="164" fontId="5" fillId="8" borderId="4" xfId="0" applyNumberFormat="1" applyFont="1" applyFill="1" applyBorder="1" applyAlignment="1">
      <alignment horizontal="right" vertical="top"/>
    </xf>
    <xf numFmtId="164" fontId="3" fillId="8" borderId="15" xfId="0" applyNumberFormat="1" applyFont="1" applyFill="1" applyBorder="1" applyAlignment="1">
      <alignment horizontal="right" vertical="top"/>
    </xf>
    <xf numFmtId="164" fontId="5" fillId="8" borderId="74" xfId="0" applyNumberFormat="1" applyFont="1" applyFill="1" applyBorder="1" applyAlignment="1">
      <alignment horizontal="right" vertical="top"/>
    </xf>
    <xf numFmtId="164" fontId="5" fillId="8" borderId="59" xfId="0" applyNumberFormat="1" applyFont="1" applyFill="1" applyBorder="1" applyAlignment="1">
      <alignment horizontal="right" vertical="top"/>
    </xf>
    <xf numFmtId="164" fontId="3" fillId="8" borderId="19" xfId="0" applyNumberFormat="1" applyFont="1" applyFill="1" applyBorder="1" applyAlignment="1">
      <alignment horizontal="right" vertical="top"/>
    </xf>
    <xf numFmtId="164" fontId="3" fillId="8" borderId="1" xfId="0" applyNumberFormat="1" applyFont="1" applyFill="1" applyBorder="1" applyAlignment="1">
      <alignment horizontal="right" vertical="top"/>
    </xf>
    <xf numFmtId="164" fontId="5" fillId="8" borderId="64" xfId="0" applyNumberFormat="1" applyFont="1" applyFill="1" applyBorder="1" applyAlignment="1">
      <alignment horizontal="right" vertical="top"/>
    </xf>
    <xf numFmtId="164" fontId="3" fillId="8" borderId="39" xfId="0" applyNumberFormat="1" applyFont="1" applyFill="1" applyBorder="1" applyAlignment="1">
      <alignment horizontal="right" vertical="top"/>
    </xf>
    <xf numFmtId="164" fontId="5" fillId="8" borderId="67" xfId="0" applyNumberFormat="1" applyFont="1" applyFill="1" applyBorder="1" applyAlignment="1">
      <alignment horizontal="right" vertical="top"/>
    </xf>
    <xf numFmtId="164" fontId="3" fillId="8" borderId="13" xfId="0" applyNumberFormat="1" applyFont="1" applyFill="1" applyBorder="1" applyAlignment="1">
      <alignment vertical="top"/>
    </xf>
    <xf numFmtId="164" fontId="3" fillId="8" borderId="15" xfId="0" applyNumberFormat="1" applyFont="1" applyFill="1" applyBorder="1" applyAlignment="1">
      <alignment vertical="top"/>
    </xf>
    <xf numFmtId="164" fontId="3" fillId="8" borderId="2" xfId="0" applyNumberFormat="1" applyFont="1" applyFill="1" applyBorder="1" applyAlignment="1">
      <alignment vertical="top"/>
    </xf>
    <xf numFmtId="164" fontId="3" fillId="8" borderId="18" xfId="0" applyNumberFormat="1" applyFont="1" applyFill="1" applyBorder="1" applyAlignment="1">
      <alignment vertical="top"/>
    </xf>
    <xf numFmtId="164" fontId="18" fillId="8" borderId="13" xfId="0" applyNumberFormat="1" applyFont="1" applyFill="1" applyBorder="1" applyAlignment="1">
      <alignment horizontal="right" vertical="top"/>
    </xf>
    <xf numFmtId="164" fontId="18" fillId="8" borderId="17" xfId="0" applyNumberFormat="1" applyFont="1" applyFill="1" applyBorder="1" applyAlignment="1">
      <alignment horizontal="right" vertical="top"/>
    </xf>
    <xf numFmtId="164" fontId="18" fillId="8" borderId="20" xfId="0" applyNumberFormat="1" applyFont="1" applyFill="1" applyBorder="1" applyAlignment="1">
      <alignment horizontal="right" vertical="top"/>
    </xf>
    <xf numFmtId="164" fontId="3" fillId="8" borderId="28" xfId="0" applyNumberFormat="1" applyFont="1" applyFill="1" applyBorder="1" applyAlignment="1">
      <alignment horizontal="right" vertical="top"/>
    </xf>
    <xf numFmtId="164" fontId="3" fillId="8" borderId="47" xfId="0" applyNumberFormat="1" applyFont="1" applyFill="1" applyBorder="1" applyAlignment="1">
      <alignment horizontal="right" vertical="top"/>
    </xf>
    <xf numFmtId="164" fontId="5" fillId="8" borderId="75" xfId="0" applyNumberFormat="1" applyFont="1" applyFill="1" applyBorder="1" applyAlignment="1">
      <alignment horizontal="right" vertical="top"/>
    </xf>
    <xf numFmtId="164" fontId="5" fillId="8" borderId="36" xfId="0" applyNumberFormat="1" applyFont="1" applyFill="1" applyBorder="1" applyAlignment="1">
      <alignment horizontal="right" vertical="top"/>
    </xf>
    <xf numFmtId="164" fontId="5" fillId="8" borderId="42" xfId="0" applyNumberFormat="1" applyFont="1" applyFill="1" applyBorder="1" applyAlignment="1">
      <alignment horizontal="right" vertical="top"/>
    </xf>
    <xf numFmtId="164" fontId="5" fillId="8" borderId="61" xfId="0" applyNumberFormat="1" applyFont="1" applyFill="1" applyBorder="1" applyAlignment="1">
      <alignment horizontal="right" vertical="top"/>
    </xf>
    <xf numFmtId="0" fontId="5" fillId="8" borderId="61" xfId="0" applyFont="1" applyFill="1" applyBorder="1" applyAlignment="1">
      <alignment horizontal="center" vertical="top"/>
    </xf>
    <xf numFmtId="0" fontId="3" fillId="6" borderId="7" xfId="0" applyFont="1" applyFill="1" applyBorder="1" applyAlignment="1">
      <alignment horizontal="center" vertical="top"/>
    </xf>
    <xf numFmtId="0" fontId="3" fillId="6" borderId="23" xfId="0" applyFont="1" applyFill="1" applyBorder="1" applyAlignment="1">
      <alignment horizontal="center" vertical="top"/>
    </xf>
    <xf numFmtId="0" fontId="5" fillId="8" borderId="66" xfId="0" applyFont="1" applyFill="1" applyBorder="1" applyAlignment="1">
      <alignment horizontal="center" vertical="top"/>
    </xf>
    <xf numFmtId="164" fontId="5" fillId="8" borderId="30" xfId="0" applyNumberFormat="1" applyFont="1" applyFill="1" applyBorder="1" applyAlignment="1">
      <alignment horizontal="right" vertical="top"/>
    </xf>
    <xf numFmtId="164" fontId="5" fillId="8" borderId="66" xfId="0" applyNumberFormat="1" applyFont="1" applyFill="1" applyBorder="1" applyAlignment="1">
      <alignment horizontal="right" vertical="top"/>
    </xf>
    <xf numFmtId="0" fontId="5" fillId="8" borderId="52" xfId="0" applyFont="1" applyFill="1" applyBorder="1" applyAlignment="1">
      <alignment horizontal="center" vertical="top" wrapText="1"/>
    </xf>
    <xf numFmtId="164" fontId="5" fillId="8" borderId="6" xfId="0" applyNumberFormat="1" applyFont="1" applyFill="1" applyBorder="1" applyAlignment="1">
      <alignment horizontal="center" vertical="top" wrapText="1"/>
    </xf>
    <xf numFmtId="164" fontId="5" fillId="8" borderId="52" xfId="0" applyNumberFormat="1" applyFont="1" applyFill="1" applyBorder="1" applyAlignment="1">
      <alignment horizontal="center" vertical="top" wrapText="1"/>
    </xf>
    <xf numFmtId="164" fontId="3" fillId="2" borderId="46" xfId="0" applyNumberFormat="1" applyFont="1" applyFill="1" applyBorder="1" applyAlignment="1">
      <alignment horizontal="right" vertical="top"/>
    </xf>
    <xf numFmtId="164" fontId="3" fillId="8" borderId="10" xfId="0" applyNumberFormat="1" applyFont="1" applyFill="1" applyBorder="1" applyAlignment="1">
      <alignment horizontal="right" vertical="top"/>
    </xf>
    <xf numFmtId="164" fontId="5" fillId="8" borderId="17" xfId="0" applyNumberFormat="1" applyFont="1" applyFill="1" applyBorder="1" applyAlignment="1">
      <alignment horizontal="right" vertical="top"/>
    </xf>
    <xf numFmtId="164" fontId="5" fillId="6" borderId="0" xfId="0" applyNumberFormat="1" applyFont="1" applyFill="1" applyBorder="1" applyAlignment="1">
      <alignment horizontal="right" vertical="top"/>
    </xf>
    <xf numFmtId="164" fontId="5" fillId="6" borderId="9" xfId="0" applyNumberFormat="1" applyFont="1" applyFill="1" applyBorder="1" applyAlignment="1">
      <alignment horizontal="right" vertical="top"/>
    </xf>
    <xf numFmtId="164" fontId="3" fillId="6" borderId="53" xfId="0" applyNumberFormat="1" applyFont="1" applyFill="1" applyBorder="1" applyAlignment="1">
      <alignment horizontal="right" vertical="top"/>
    </xf>
    <xf numFmtId="164" fontId="5" fillId="6" borderId="53" xfId="0" applyNumberFormat="1" applyFont="1" applyFill="1" applyBorder="1" applyAlignment="1">
      <alignment horizontal="right" vertical="top"/>
    </xf>
    <xf numFmtId="0" fontId="3" fillId="6" borderId="9" xfId="0" applyFont="1" applyFill="1" applyBorder="1" applyAlignment="1">
      <alignment horizontal="center" vertical="top" wrapText="1"/>
    </xf>
    <xf numFmtId="164" fontId="5" fillId="8" borderId="39" xfId="0" applyNumberFormat="1" applyFont="1" applyFill="1" applyBorder="1" applyAlignment="1">
      <alignment horizontal="right" vertical="top"/>
    </xf>
    <xf numFmtId="164" fontId="5" fillId="8" borderId="50" xfId="0" applyNumberFormat="1" applyFont="1" applyFill="1" applyBorder="1" applyAlignment="1">
      <alignment horizontal="right" vertical="top"/>
    </xf>
    <xf numFmtId="0" fontId="3" fillId="0" borderId="46" xfId="0" applyFont="1" applyFill="1" applyBorder="1" applyAlignment="1">
      <alignment horizontal="center" vertical="top" wrapText="1"/>
    </xf>
    <xf numFmtId="164" fontId="3" fillId="8" borderId="72" xfId="0" applyNumberFormat="1" applyFont="1" applyFill="1" applyBorder="1" applyAlignment="1">
      <alignment horizontal="right" vertical="top"/>
    </xf>
    <xf numFmtId="164" fontId="3" fillId="8" borderId="26" xfId="0" applyNumberFormat="1" applyFont="1" applyFill="1" applyBorder="1" applyAlignment="1">
      <alignment horizontal="right" vertical="top"/>
    </xf>
    <xf numFmtId="164" fontId="3" fillId="0" borderId="6" xfId="0" applyNumberFormat="1" applyFont="1" applyFill="1" applyBorder="1" applyAlignment="1">
      <alignment horizontal="right" vertical="top" wrapText="1"/>
    </xf>
    <xf numFmtId="164" fontId="3" fillId="0" borderId="52" xfId="0" applyNumberFormat="1" applyFont="1" applyFill="1" applyBorder="1" applyAlignment="1">
      <alignment horizontal="right" vertical="top" wrapText="1"/>
    </xf>
    <xf numFmtId="0" fontId="3" fillId="6" borderId="9" xfId="0" applyFont="1" applyFill="1" applyBorder="1" applyAlignment="1">
      <alignment horizontal="center" vertical="top"/>
    </xf>
    <xf numFmtId="164" fontId="3" fillId="2" borderId="9" xfId="0" applyNumberFormat="1" applyFont="1" applyFill="1" applyBorder="1" applyAlignment="1">
      <alignment horizontal="right" vertical="top"/>
    </xf>
    <xf numFmtId="164" fontId="3" fillId="2" borderId="54" xfId="0" applyNumberFormat="1" applyFont="1" applyFill="1" applyBorder="1" applyAlignment="1">
      <alignment horizontal="right" vertical="top" wrapText="1"/>
    </xf>
    <xf numFmtId="164" fontId="3" fillId="2" borderId="41" xfId="0" applyNumberFormat="1" applyFont="1" applyFill="1" applyBorder="1" applyAlignment="1">
      <alignment horizontal="right" vertical="top" wrapText="1"/>
    </xf>
    <xf numFmtId="164" fontId="3" fillId="2" borderId="24" xfId="0" applyNumberFormat="1" applyFont="1" applyFill="1" applyBorder="1" applyAlignment="1">
      <alignment horizontal="right" vertical="top"/>
    </xf>
    <xf numFmtId="164" fontId="3" fillId="0" borderId="55" xfId="0" applyNumberFormat="1" applyFont="1" applyFill="1" applyBorder="1" applyAlignment="1">
      <alignment horizontal="right" vertical="top"/>
    </xf>
    <xf numFmtId="164" fontId="5" fillId="8" borderId="34" xfId="0" applyNumberFormat="1" applyFont="1" applyFill="1" applyBorder="1" applyAlignment="1">
      <alignment horizontal="right" vertical="top"/>
    </xf>
    <xf numFmtId="164" fontId="5" fillId="6" borderId="49" xfId="0" applyNumberFormat="1" applyFont="1" applyFill="1" applyBorder="1" applyAlignment="1">
      <alignment horizontal="right" vertical="top"/>
    </xf>
    <xf numFmtId="164" fontId="5" fillId="8" borderId="20" xfId="0" applyNumberFormat="1" applyFont="1" applyFill="1" applyBorder="1" applyAlignment="1">
      <alignment horizontal="right" vertical="top"/>
    </xf>
    <xf numFmtId="164" fontId="5" fillId="3" borderId="25" xfId="0" applyNumberFormat="1" applyFont="1" applyFill="1" applyBorder="1" applyAlignment="1">
      <alignment horizontal="right" vertical="top"/>
    </xf>
    <xf numFmtId="164" fontId="5" fillId="8" borderId="26" xfId="0" applyNumberFormat="1" applyFont="1" applyFill="1" applyBorder="1" applyAlignment="1">
      <alignment horizontal="right" vertical="top"/>
    </xf>
    <xf numFmtId="164" fontId="5" fillId="8" borderId="27" xfId="0" applyNumberFormat="1" applyFont="1" applyFill="1" applyBorder="1" applyAlignment="1">
      <alignment horizontal="right" vertical="top"/>
    </xf>
    <xf numFmtId="164" fontId="3" fillId="0" borderId="31" xfId="0" applyNumberFormat="1" applyFont="1" applyBorder="1" applyAlignment="1">
      <alignment horizontal="right" vertical="top"/>
    </xf>
    <xf numFmtId="164" fontId="3" fillId="0" borderId="34" xfId="0" applyNumberFormat="1" applyFont="1" applyBorder="1" applyAlignment="1">
      <alignment horizontal="right" vertical="top"/>
    </xf>
    <xf numFmtId="164" fontId="3" fillId="0" borderId="33" xfId="0" applyNumberFormat="1" applyFont="1" applyBorder="1" applyAlignment="1">
      <alignment horizontal="right" vertical="top"/>
    </xf>
    <xf numFmtId="164" fontId="3" fillId="0" borderId="32" xfId="0" applyNumberFormat="1" applyFont="1" applyBorder="1" applyAlignment="1">
      <alignment horizontal="right" vertical="top"/>
    </xf>
    <xf numFmtId="164" fontId="3" fillId="0" borderId="45" xfId="0" applyNumberFormat="1" applyFont="1" applyBorder="1" applyAlignment="1">
      <alignment horizontal="right" vertical="top"/>
    </xf>
    <xf numFmtId="164" fontId="3" fillId="0" borderId="1" xfId="0" applyNumberFormat="1" applyFont="1" applyBorder="1" applyAlignment="1">
      <alignment horizontal="right" vertical="top"/>
    </xf>
    <xf numFmtId="164" fontId="3" fillId="0" borderId="16" xfId="0" applyNumberFormat="1" applyFont="1" applyBorder="1" applyAlignment="1">
      <alignment horizontal="right" vertical="top"/>
    </xf>
    <xf numFmtId="164" fontId="3" fillId="0" borderId="2" xfId="0" applyNumberFormat="1" applyFont="1" applyBorder="1" applyAlignment="1">
      <alignment horizontal="right" vertical="top"/>
    </xf>
    <xf numFmtId="164" fontId="3" fillId="0" borderId="37" xfId="0" applyNumberFormat="1" applyFont="1" applyBorder="1" applyAlignment="1">
      <alignment horizontal="right" vertical="top"/>
    </xf>
    <xf numFmtId="164" fontId="3" fillId="0" borderId="18" xfId="0" applyNumberFormat="1" applyFont="1" applyBorder="1" applyAlignment="1">
      <alignment horizontal="right" vertical="top"/>
    </xf>
    <xf numFmtId="164" fontId="18" fillId="6" borderId="2" xfId="0" applyNumberFormat="1" applyFont="1" applyFill="1" applyBorder="1" applyAlignment="1">
      <alignment horizontal="right" vertical="top"/>
    </xf>
    <xf numFmtId="164" fontId="18" fillId="0" borderId="2" xfId="0" applyNumberFormat="1" applyFont="1" applyBorder="1" applyAlignment="1">
      <alignment horizontal="right" vertical="top"/>
    </xf>
    <xf numFmtId="164" fontId="3" fillId="6" borderId="31" xfId="0" applyNumberFormat="1" applyFont="1" applyFill="1" applyBorder="1" applyAlignment="1">
      <alignment horizontal="right" vertical="top"/>
    </xf>
    <xf numFmtId="164" fontId="3" fillId="6" borderId="34" xfId="0" applyNumberFormat="1" applyFont="1" applyFill="1" applyBorder="1" applyAlignment="1">
      <alignment horizontal="right" vertical="top"/>
    </xf>
    <xf numFmtId="164" fontId="3" fillId="6" borderId="33" xfId="0" applyNumberFormat="1" applyFont="1" applyFill="1" applyBorder="1" applyAlignment="1">
      <alignment horizontal="right" vertical="top"/>
    </xf>
    <xf numFmtId="164" fontId="3" fillId="0" borderId="21" xfId="0" applyNumberFormat="1" applyFont="1" applyFill="1" applyBorder="1" applyAlignment="1">
      <alignment horizontal="right" vertical="top"/>
    </xf>
    <xf numFmtId="164" fontId="3" fillId="0" borderId="34" xfId="0" applyNumberFormat="1" applyFont="1" applyFill="1" applyBorder="1" applyAlignment="1">
      <alignment horizontal="right" vertical="top"/>
    </xf>
    <xf numFmtId="164" fontId="3" fillId="2" borderId="21" xfId="0" applyNumberFormat="1" applyFont="1" applyFill="1" applyBorder="1" applyAlignment="1">
      <alignment horizontal="right" vertical="top"/>
    </xf>
    <xf numFmtId="164" fontId="3" fillId="2" borderId="16" xfId="0" applyNumberFormat="1" applyFont="1" applyFill="1" applyBorder="1" applyAlignment="1">
      <alignment horizontal="right" vertical="top"/>
    </xf>
    <xf numFmtId="164" fontId="3" fillId="2" borderId="2" xfId="0" applyNumberFormat="1" applyFont="1" applyFill="1" applyBorder="1" applyAlignment="1">
      <alignment horizontal="right" vertical="top"/>
    </xf>
    <xf numFmtId="0" fontId="3" fillId="8" borderId="0" xfId="0" applyFont="1" applyFill="1" applyBorder="1" applyAlignment="1">
      <alignment vertical="top"/>
    </xf>
    <xf numFmtId="0" fontId="9" fillId="0" borderId="8" xfId="0" applyFont="1" applyFill="1" applyBorder="1" applyAlignment="1">
      <alignment vertical="top" wrapText="1"/>
    </xf>
    <xf numFmtId="164" fontId="3" fillId="0" borderId="48" xfId="0" applyNumberFormat="1" applyFont="1" applyBorder="1" applyAlignment="1">
      <alignment horizontal="right" vertical="top"/>
    </xf>
    <xf numFmtId="164" fontId="3" fillId="0" borderId="20" xfId="0" applyNumberFormat="1" applyFont="1" applyBorder="1" applyAlignment="1">
      <alignment horizontal="right" vertical="top"/>
    </xf>
    <xf numFmtId="164" fontId="3" fillId="0" borderId="1" xfId="0" applyNumberFormat="1" applyFont="1" applyFill="1" applyBorder="1" applyAlignment="1">
      <alignment horizontal="right" vertical="top"/>
    </xf>
    <xf numFmtId="164" fontId="3" fillId="0" borderId="12" xfId="0" applyNumberFormat="1" applyFont="1" applyBorder="1" applyAlignment="1">
      <alignment horizontal="right" vertical="top"/>
    </xf>
    <xf numFmtId="164" fontId="3" fillId="0" borderId="13" xfId="0" applyNumberFormat="1" applyFont="1" applyBorder="1" applyAlignment="1">
      <alignment horizontal="right" vertical="top"/>
    </xf>
    <xf numFmtId="164" fontId="3" fillId="0" borderId="14" xfId="0" applyNumberFormat="1" applyFont="1" applyBorder="1" applyAlignment="1">
      <alignment horizontal="right" vertical="top"/>
    </xf>
    <xf numFmtId="164" fontId="3" fillId="0" borderId="15" xfId="0" applyNumberFormat="1" applyFont="1" applyBorder="1" applyAlignment="1">
      <alignment horizontal="right" vertical="top"/>
    </xf>
    <xf numFmtId="164" fontId="3" fillId="0" borderId="21" xfId="0" applyNumberFormat="1" applyFont="1" applyBorder="1" applyAlignment="1">
      <alignment horizontal="right" vertical="top"/>
    </xf>
    <xf numFmtId="164" fontId="3" fillId="0" borderId="50" xfId="0" applyNumberFormat="1" applyFont="1" applyBorder="1" applyAlignment="1">
      <alignment horizontal="right" vertical="top"/>
    </xf>
    <xf numFmtId="164" fontId="18" fillId="0" borderId="31" xfId="0" applyNumberFormat="1" applyFont="1" applyBorder="1" applyAlignment="1">
      <alignment horizontal="right" vertical="top"/>
    </xf>
    <xf numFmtId="164" fontId="3" fillId="0" borderId="2" xfId="0" applyNumberFormat="1" applyFont="1" applyFill="1" applyBorder="1" applyAlignment="1">
      <alignment horizontal="right" vertical="top"/>
    </xf>
    <xf numFmtId="164" fontId="18" fillId="2" borderId="17" xfId="0" applyNumberFormat="1" applyFont="1" applyFill="1" applyBorder="1" applyAlignment="1">
      <alignment horizontal="right" vertical="top"/>
    </xf>
    <xf numFmtId="164" fontId="3" fillId="6" borderId="16" xfId="0" applyNumberFormat="1" applyFont="1" applyFill="1" applyBorder="1" applyAlignment="1">
      <alignment horizontal="right" vertical="top"/>
    </xf>
    <xf numFmtId="164" fontId="3" fillId="6" borderId="2" xfId="0" applyNumberFormat="1" applyFont="1" applyFill="1" applyBorder="1" applyAlignment="1">
      <alignment horizontal="right" vertical="top"/>
    </xf>
    <xf numFmtId="164" fontId="3" fillId="6" borderId="18" xfId="0" applyNumberFormat="1" applyFont="1" applyFill="1" applyBorder="1" applyAlignment="1">
      <alignment horizontal="right" vertical="top"/>
    </xf>
    <xf numFmtId="164" fontId="3" fillId="2" borderId="12" xfId="0" applyNumberFormat="1" applyFont="1" applyFill="1" applyBorder="1" applyAlignment="1">
      <alignment horizontal="right" vertical="top"/>
    </xf>
    <xf numFmtId="164" fontId="3" fillId="2" borderId="13" xfId="0" applyNumberFormat="1" applyFont="1" applyFill="1" applyBorder="1" applyAlignment="1">
      <alignment horizontal="right" vertical="top"/>
    </xf>
    <xf numFmtId="0" fontId="5" fillId="8" borderId="64" xfId="0" applyFont="1" applyFill="1" applyBorder="1" applyAlignment="1">
      <alignment horizontal="center" vertical="top"/>
    </xf>
    <xf numFmtId="164" fontId="3" fillId="0" borderId="18" xfId="0" applyNumberFormat="1" applyFont="1" applyFill="1" applyBorder="1" applyAlignment="1">
      <alignment horizontal="right" vertical="top"/>
    </xf>
    <xf numFmtId="164" fontId="3" fillId="6" borderId="12" xfId="0" applyNumberFormat="1" applyFont="1" applyFill="1" applyBorder="1" applyAlignment="1">
      <alignment horizontal="right" vertical="top"/>
    </xf>
    <xf numFmtId="164" fontId="3" fillId="6" borderId="13" xfId="0" applyNumberFormat="1" applyFont="1" applyFill="1" applyBorder="1" applyAlignment="1">
      <alignment horizontal="right" vertical="top"/>
    </xf>
    <xf numFmtId="164" fontId="3" fillId="0" borderId="28" xfId="0" applyNumberFormat="1" applyFont="1" applyFill="1" applyBorder="1" applyAlignment="1">
      <alignment horizontal="right" vertical="top"/>
    </xf>
    <xf numFmtId="164" fontId="3" fillId="2" borderId="29" xfId="0" applyNumberFormat="1" applyFont="1" applyFill="1" applyBorder="1" applyAlignment="1">
      <alignment horizontal="right" vertical="top"/>
    </xf>
    <xf numFmtId="164" fontId="3" fillId="2" borderId="1" xfId="0" applyNumberFormat="1" applyFont="1" applyFill="1" applyBorder="1" applyAlignment="1">
      <alignment horizontal="right" vertical="top"/>
    </xf>
    <xf numFmtId="49" fontId="3" fillId="0" borderId="7" xfId="0" applyNumberFormat="1" applyFont="1" applyFill="1" applyBorder="1" applyAlignment="1">
      <alignment horizontal="center" vertical="top"/>
    </xf>
    <xf numFmtId="164" fontId="3" fillId="0" borderId="12" xfId="0" applyNumberFormat="1" applyFont="1" applyFill="1" applyBorder="1" applyAlignment="1">
      <alignment vertical="top"/>
    </xf>
    <xf numFmtId="164" fontId="3" fillId="0" borderId="13" xfId="0" applyNumberFormat="1" applyFont="1" applyFill="1" applyBorder="1" applyAlignment="1">
      <alignment vertical="top"/>
    </xf>
    <xf numFmtId="164" fontId="5" fillId="0" borderId="13" xfId="0" applyNumberFormat="1" applyFont="1" applyFill="1" applyBorder="1" applyAlignment="1">
      <alignment vertical="top"/>
    </xf>
    <xf numFmtId="49" fontId="5" fillId="0" borderId="34" xfId="0" applyNumberFormat="1" applyFont="1" applyFill="1" applyBorder="1" applyAlignment="1">
      <alignment horizontal="center" vertical="top"/>
    </xf>
    <xf numFmtId="49" fontId="3" fillId="0" borderId="23" xfId="0" applyNumberFormat="1" applyFont="1" applyFill="1" applyBorder="1" applyAlignment="1">
      <alignment horizontal="center" vertical="top"/>
    </xf>
    <xf numFmtId="164" fontId="3" fillId="6" borderId="16" xfId="0" applyNumberFormat="1" applyFont="1" applyFill="1" applyBorder="1" applyAlignment="1">
      <alignment vertical="top"/>
    </xf>
    <xf numFmtId="164" fontId="3" fillId="6" borderId="2" xfId="0" applyNumberFormat="1" applyFont="1" applyFill="1" applyBorder="1" applyAlignment="1">
      <alignment vertical="top"/>
    </xf>
    <xf numFmtId="164" fontId="5" fillId="0" borderId="2" xfId="0" applyNumberFormat="1" applyFont="1" applyFill="1" applyBorder="1" applyAlignment="1">
      <alignment vertical="top"/>
    </xf>
    <xf numFmtId="0" fontId="3" fillId="0" borderId="24" xfId="0" applyFont="1" applyFill="1" applyBorder="1" applyAlignment="1">
      <alignment horizontal="center" vertical="top"/>
    </xf>
    <xf numFmtId="164" fontId="18" fillId="6" borderId="12" xfId="0" applyNumberFormat="1" applyFont="1" applyFill="1" applyBorder="1" applyAlignment="1">
      <alignment horizontal="right" vertical="top"/>
    </xf>
    <xf numFmtId="164" fontId="18" fillId="6" borderId="13" xfId="0" applyNumberFormat="1" applyFont="1" applyFill="1" applyBorder="1" applyAlignment="1">
      <alignment horizontal="right" vertical="top"/>
    </xf>
    <xf numFmtId="0" fontId="3" fillId="6" borderId="0" xfId="0" applyFont="1" applyFill="1" applyBorder="1" applyAlignment="1">
      <alignment vertical="top"/>
    </xf>
    <xf numFmtId="164" fontId="3" fillId="6" borderId="39" xfId="0" applyNumberFormat="1" applyFont="1" applyFill="1" applyBorder="1" applyAlignment="1">
      <alignment horizontal="right" vertical="top"/>
    </xf>
    <xf numFmtId="164" fontId="18" fillId="6" borderId="17" xfId="0" applyNumberFormat="1" applyFont="1" applyFill="1" applyBorder="1" applyAlignment="1">
      <alignment horizontal="right" vertical="top"/>
    </xf>
    <xf numFmtId="164" fontId="3" fillId="6" borderId="15" xfId="0" applyNumberFormat="1" applyFont="1" applyFill="1" applyBorder="1" applyAlignment="1">
      <alignment horizontal="right" vertical="top"/>
    </xf>
    <xf numFmtId="164" fontId="3" fillId="2" borderId="18" xfId="0" applyNumberFormat="1" applyFont="1" applyFill="1" applyBorder="1" applyAlignment="1">
      <alignment horizontal="right" vertical="top"/>
    </xf>
    <xf numFmtId="0" fontId="3" fillId="6" borderId="65" xfId="0" applyFont="1" applyFill="1" applyBorder="1" applyAlignment="1">
      <alignment horizontal="center" vertical="top"/>
    </xf>
    <xf numFmtId="0" fontId="3" fillId="6" borderId="53" xfId="0" applyFont="1" applyFill="1" applyBorder="1" applyAlignment="1">
      <alignment horizontal="center" vertical="top"/>
    </xf>
    <xf numFmtId="164" fontId="3" fillId="6" borderId="20" xfId="0" applyNumberFormat="1" applyFont="1" applyFill="1" applyBorder="1" applyAlignment="1">
      <alignment horizontal="right" vertical="top"/>
    </xf>
    <xf numFmtId="164" fontId="3" fillId="6" borderId="21" xfId="0" applyNumberFormat="1" applyFont="1" applyFill="1" applyBorder="1" applyAlignment="1">
      <alignment horizontal="right" vertical="top"/>
    </xf>
    <xf numFmtId="164" fontId="3" fillId="6" borderId="1" xfId="0" applyNumberFormat="1" applyFont="1" applyFill="1" applyBorder="1" applyAlignment="1">
      <alignment horizontal="right" vertical="top"/>
    </xf>
    <xf numFmtId="164" fontId="3" fillId="0" borderId="8" xfId="0" applyNumberFormat="1" applyFont="1" applyBorder="1" applyAlignment="1">
      <alignment horizontal="right" vertical="top"/>
    </xf>
    <xf numFmtId="164" fontId="3" fillId="0" borderId="28" xfId="0" applyNumberFormat="1" applyFont="1" applyBorder="1" applyAlignment="1">
      <alignment horizontal="right" vertical="top"/>
    </xf>
    <xf numFmtId="164" fontId="3" fillId="0" borderId="29" xfId="0" applyNumberFormat="1" applyFont="1" applyBorder="1" applyAlignment="1">
      <alignment horizontal="right" vertical="top"/>
    </xf>
    <xf numFmtId="0" fontId="3" fillId="0" borderId="23" xfId="0" applyFont="1" applyBorder="1" applyAlignment="1">
      <alignment horizontal="center" vertical="top" wrapText="1"/>
    </xf>
    <xf numFmtId="49" fontId="5" fillId="0" borderId="55" xfId="0" applyNumberFormat="1" applyFont="1" applyBorder="1" applyAlignment="1">
      <alignment horizontal="center" vertical="top" wrapText="1"/>
    </xf>
    <xf numFmtId="49" fontId="3" fillId="2" borderId="41" xfId="0" applyNumberFormat="1" applyFont="1" applyFill="1" applyBorder="1" applyAlignment="1">
      <alignment horizontal="center" vertical="top" wrapText="1"/>
    </xf>
    <xf numFmtId="49" fontId="3" fillId="2" borderId="43" xfId="0" applyNumberFormat="1" applyFont="1" applyFill="1" applyBorder="1" applyAlignment="1">
      <alignment horizontal="center" vertical="top" wrapText="1"/>
    </xf>
    <xf numFmtId="49" fontId="3" fillId="2" borderId="43" xfId="0" applyNumberFormat="1" applyFont="1" applyFill="1" applyBorder="1" applyAlignment="1">
      <alignment horizontal="center" vertical="top"/>
    </xf>
    <xf numFmtId="0" fontId="3" fillId="6" borderId="0" xfId="0" applyFont="1" applyFill="1" applyAlignment="1">
      <alignment vertical="top"/>
    </xf>
    <xf numFmtId="0" fontId="3" fillId="0" borderId="8" xfId="0" applyFont="1" applyFill="1" applyBorder="1" applyAlignment="1">
      <alignment horizontal="center" vertical="top" wrapText="1"/>
    </xf>
    <xf numFmtId="49" fontId="3" fillId="0" borderId="46" xfId="0" applyNumberFormat="1" applyFont="1" applyFill="1" applyBorder="1" applyAlignment="1">
      <alignment horizontal="center" vertical="top" wrapText="1"/>
    </xf>
    <xf numFmtId="49" fontId="5" fillId="11" borderId="16"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xf>
    <xf numFmtId="49" fontId="5" fillId="11" borderId="35" xfId="0" applyNumberFormat="1" applyFont="1" applyFill="1" applyBorder="1" applyAlignment="1">
      <alignment horizontal="center" vertical="top"/>
    </xf>
    <xf numFmtId="49" fontId="5" fillId="11" borderId="56" xfId="0" applyNumberFormat="1" applyFont="1" applyFill="1" applyBorder="1" applyAlignment="1">
      <alignment horizontal="center" vertical="top"/>
    </xf>
    <xf numFmtId="49" fontId="5" fillId="11" borderId="63" xfId="0" applyNumberFormat="1" applyFont="1" applyFill="1" applyBorder="1" applyAlignment="1">
      <alignment horizontal="center" vertical="top"/>
    </xf>
    <xf numFmtId="49" fontId="5" fillId="11" borderId="8" xfId="0" applyNumberFormat="1" applyFont="1" applyFill="1" applyBorder="1" applyAlignment="1">
      <alignment horizontal="center" vertical="top" wrapText="1"/>
    </xf>
    <xf numFmtId="164" fontId="5" fillId="11" borderId="22" xfId="0" applyNumberFormat="1" applyFont="1" applyFill="1" applyBorder="1" applyAlignment="1">
      <alignment horizontal="right" vertical="top"/>
    </xf>
    <xf numFmtId="164" fontId="5" fillId="11" borderId="56" xfId="0" applyNumberFormat="1" applyFont="1" applyFill="1" applyBorder="1" applyAlignment="1">
      <alignment horizontal="right" vertical="top"/>
    </xf>
    <xf numFmtId="164" fontId="5" fillId="11" borderId="69" xfId="0" applyNumberFormat="1" applyFont="1" applyFill="1" applyBorder="1" applyAlignment="1">
      <alignment horizontal="right" vertical="top"/>
    </xf>
    <xf numFmtId="0" fontId="3" fillId="0" borderId="0" xfId="1" applyFont="1" applyFill="1" applyBorder="1" applyAlignment="1">
      <alignment vertical="top" wrapText="1"/>
    </xf>
    <xf numFmtId="49" fontId="5" fillId="0" borderId="24" xfId="0" applyNumberFormat="1" applyFont="1" applyBorder="1" applyAlignment="1">
      <alignment horizontal="center" vertical="top"/>
    </xf>
    <xf numFmtId="164" fontId="5" fillId="6" borderId="38" xfId="0" applyNumberFormat="1" applyFont="1" applyFill="1" applyBorder="1" applyAlignment="1">
      <alignment horizontal="right" vertical="top"/>
    </xf>
    <xf numFmtId="49" fontId="5" fillId="10" borderId="62" xfId="0" applyNumberFormat="1" applyFont="1" applyFill="1" applyBorder="1" applyAlignment="1">
      <alignment vertical="top"/>
    </xf>
    <xf numFmtId="49" fontId="5" fillId="10" borderId="30" xfId="0" applyNumberFormat="1" applyFont="1" applyFill="1" applyBorder="1" applyAlignment="1">
      <alignment vertical="top"/>
    </xf>
    <xf numFmtId="0" fontId="3" fillId="10" borderId="30" xfId="0" applyFont="1" applyFill="1" applyBorder="1" applyAlignment="1">
      <alignment horizontal="left" vertical="top" wrapText="1"/>
    </xf>
    <xf numFmtId="0" fontId="3" fillId="10" borderId="30" xfId="0" applyFont="1" applyFill="1" applyBorder="1" applyAlignment="1">
      <alignment horizontal="center" vertical="center" textRotation="90" wrapText="1"/>
    </xf>
    <xf numFmtId="49" fontId="3" fillId="10" borderId="30" xfId="0" applyNumberFormat="1" applyFont="1" applyFill="1" applyBorder="1" applyAlignment="1">
      <alignment horizontal="center" vertical="top" wrapText="1"/>
    </xf>
    <xf numFmtId="49" fontId="5" fillId="10" borderId="30" xfId="0" applyNumberFormat="1" applyFont="1" applyFill="1" applyBorder="1" applyAlignment="1">
      <alignment horizontal="center" vertical="top"/>
    </xf>
    <xf numFmtId="164" fontId="5" fillId="10" borderId="11" xfId="0" applyNumberFormat="1" applyFont="1" applyFill="1" applyBorder="1" applyAlignment="1">
      <alignment horizontal="right" vertical="top"/>
    </xf>
    <xf numFmtId="164" fontId="5" fillId="10" borderId="75" xfId="0" applyNumberFormat="1" applyFont="1" applyFill="1" applyBorder="1" applyAlignment="1">
      <alignment horizontal="right" vertical="top"/>
    </xf>
    <xf numFmtId="164" fontId="3" fillId="0" borderId="39" xfId="0" applyNumberFormat="1" applyFont="1" applyFill="1" applyBorder="1" applyAlignment="1">
      <alignment horizontal="right" vertical="top"/>
    </xf>
    <xf numFmtId="164" fontId="18" fillId="0" borderId="45" xfId="0" applyNumberFormat="1" applyFont="1" applyBorder="1" applyAlignment="1">
      <alignment horizontal="right" vertical="top"/>
    </xf>
    <xf numFmtId="164" fontId="18" fillId="0" borderId="21" xfId="0" applyNumberFormat="1" applyFont="1" applyBorder="1" applyAlignment="1">
      <alignment horizontal="right" vertical="top"/>
    </xf>
    <xf numFmtId="0" fontId="3" fillId="2" borderId="40" xfId="0" applyFont="1" applyFill="1" applyBorder="1" applyAlignment="1">
      <alignment horizontal="center" vertical="top"/>
    </xf>
    <xf numFmtId="164" fontId="5" fillId="6" borderId="39" xfId="0" applyNumberFormat="1" applyFont="1" applyFill="1" applyBorder="1" applyAlignment="1">
      <alignment horizontal="right" vertical="top"/>
    </xf>
    <xf numFmtId="164" fontId="18" fillId="2" borderId="50" xfId="0" applyNumberFormat="1" applyFont="1" applyFill="1" applyBorder="1" applyAlignment="1">
      <alignment horizontal="right" vertical="top"/>
    </xf>
    <xf numFmtId="164" fontId="3" fillId="6" borderId="45" xfId="0" applyNumberFormat="1" applyFont="1" applyFill="1" applyBorder="1" applyAlignment="1">
      <alignment horizontal="right" vertical="top"/>
    </xf>
    <xf numFmtId="164" fontId="3" fillId="2" borderId="45" xfId="0" applyNumberFormat="1" applyFont="1" applyFill="1" applyBorder="1" applyAlignment="1">
      <alignment horizontal="right" vertical="top"/>
    </xf>
    <xf numFmtId="164" fontId="5" fillId="10" borderId="66" xfId="0" applyNumberFormat="1" applyFont="1" applyFill="1" applyBorder="1" applyAlignment="1">
      <alignment horizontal="right" vertical="top"/>
    </xf>
    <xf numFmtId="164" fontId="3" fillId="0" borderId="33" xfId="0" applyNumberFormat="1" applyFont="1" applyFill="1" applyBorder="1" applyAlignment="1">
      <alignment horizontal="right" vertical="top"/>
    </xf>
    <xf numFmtId="164" fontId="5" fillId="10" borderId="36" xfId="0" applyNumberFormat="1" applyFont="1" applyFill="1" applyBorder="1" applyAlignment="1">
      <alignment horizontal="right" vertical="top"/>
    </xf>
    <xf numFmtId="164" fontId="3" fillId="6" borderId="38" xfId="0" applyNumberFormat="1" applyFont="1" applyFill="1" applyBorder="1" applyAlignment="1">
      <alignment horizontal="right" vertical="top"/>
    </xf>
    <xf numFmtId="164" fontId="3" fillId="6" borderId="37" xfId="0" applyNumberFormat="1" applyFont="1" applyFill="1" applyBorder="1" applyAlignment="1">
      <alignment horizontal="right" vertical="top"/>
    </xf>
    <xf numFmtId="0" fontId="3" fillId="0" borderId="82" xfId="0" applyFont="1" applyFill="1" applyBorder="1" applyAlignment="1">
      <alignment horizontal="center" vertical="top" wrapText="1"/>
    </xf>
    <xf numFmtId="164" fontId="3" fillId="6" borderId="83" xfId="0" applyNumberFormat="1" applyFont="1" applyFill="1" applyBorder="1" applyAlignment="1">
      <alignment horizontal="right" vertical="top"/>
    </xf>
    <xf numFmtId="164" fontId="18" fillId="0" borderId="83" xfId="0" applyNumberFormat="1" applyFont="1" applyBorder="1" applyAlignment="1">
      <alignment horizontal="right" vertical="top"/>
    </xf>
    <xf numFmtId="164" fontId="18" fillId="0" borderId="84" xfId="0" applyNumberFormat="1" applyFont="1" applyFill="1" applyBorder="1" applyAlignment="1">
      <alignment horizontal="right" vertical="top"/>
    </xf>
    <xf numFmtId="164" fontId="18" fillId="0" borderId="85" xfId="0" applyNumberFormat="1" applyFont="1" applyFill="1" applyBorder="1" applyAlignment="1">
      <alignment horizontal="right" vertical="top"/>
    </xf>
    <xf numFmtId="0" fontId="3" fillId="0" borderId="86" xfId="0" applyFont="1" applyFill="1" applyBorder="1" applyAlignment="1">
      <alignment horizontal="center" vertical="top" wrapText="1"/>
    </xf>
    <xf numFmtId="164" fontId="3" fillId="0" borderId="89" xfId="0" applyNumberFormat="1" applyFont="1" applyBorder="1" applyAlignment="1">
      <alignment horizontal="right" vertical="top"/>
    </xf>
    <xf numFmtId="164" fontId="3" fillId="0" borderId="90" xfId="0" applyNumberFormat="1" applyFont="1" applyBorder="1" applyAlignment="1">
      <alignment horizontal="right" vertical="top"/>
    </xf>
    <xf numFmtId="164" fontId="3" fillId="0" borderId="88" xfId="0" applyNumberFormat="1" applyFont="1" applyBorder="1" applyAlignment="1">
      <alignment horizontal="right" vertical="top"/>
    </xf>
    <xf numFmtId="164" fontId="3" fillId="0" borderId="80" xfId="0" applyNumberFormat="1" applyFont="1" applyBorder="1" applyAlignment="1">
      <alignment horizontal="right" vertical="top"/>
    </xf>
    <xf numFmtId="164" fontId="3" fillId="6" borderId="84" xfId="0" applyNumberFormat="1" applyFont="1" applyFill="1" applyBorder="1" applyAlignment="1">
      <alignment horizontal="right" vertical="top"/>
    </xf>
    <xf numFmtId="164" fontId="18" fillId="2" borderId="83" xfId="0" applyNumberFormat="1" applyFont="1" applyFill="1" applyBorder="1" applyAlignment="1">
      <alignment horizontal="right" vertical="top"/>
    </xf>
    <xf numFmtId="164" fontId="18" fillId="2" borderId="84" xfId="0" applyNumberFormat="1" applyFont="1" applyFill="1" applyBorder="1" applyAlignment="1">
      <alignment horizontal="right" vertical="top"/>
    </xf>
    <xf numFmtId="0" fontId="3" fillId="0" borderId="83" xfId="0" applyFont="1" applyFill="1" applyBorder="1" applyAlignment="1">
      <alignment horizontal="left" vertical="top" wrapText="1"/>
    </xf>
    <xf numFmtId="3" fontId="3" fillId="0" borderId="84" xfId="0" applyNumberFormat="1" applyFont="1" applyFill="1" applyBorder="1" applyAlignment="1">
      <alignment horizontal="center" vertical="top" wrapText="1"/>
    </xf>
    <xf numFmtId="3" fontId="3" fillId="0" borderId="92" xfId="0" applyNumberFormat="1" applyFont="1" applyFill="1" applyBorder="1" applyAlignment="1">
      <alignment horizontal="center" vertical="top" wrapText="1"/>
    </xf>
    <xf numFmtId="164" fontId="3" fillId="0" borderId="84" xfId="0" applyNumberFormat="1" applyFont="1" applyFill="1" applyBorder="1" applyAlignment="1">
      <alignment horizontal="right" vertical="top"/>
    </xf>
    <xf numFmtId="164" fontId="3" fillId="0" borderId="92" xfId="0" applyNumberFormat="1" applyFont="1" applyBorder="1" applyAlignment="1">
      <alignment horizontal="right" vertical="top"/>
    </xf>
    <xf numFmtId="164" fontId="3" fillId="6" borderId="92" xfId="0" applyNumberFormat="1" applyFont="1" applyFill="1" applyBorder="1" applyAlignment="1">
      <alignment horizontal="right" vertical="top"/>
    </xf>
    <xf numFmtId="49" fontId="3" fillId="0" borderId="23" xfId="0" applyNumberFormat="1" applyFont="1" applyFill="1" applyBorder="1" applyAlignment="1">
      <alignment horizontal="center" vertical="top" wrapText="1"/>
    </xf>
    <xf numFmtId="164" fontId="3" fillId="6" borderId="90" xfId="0" applyNumberFormat="1" applyFont="1" applyFill="1" applyBorder="1" applyAlignment="1">
      <alignment horizontal="right" vertical="top"/>
    </xf>
    <xf numFmtId="164" fontId="3" fillId="6" borderId="88" xfId="0" applyNumberFormat="1" applyFont="1" applyFill="1" applyBorder="1" applyAlignment="1">
      <alignment horizontal="right" vertical="top"/>
    </xf>
    <xf numFmtId="164" fontId="3" fillId="6" borderId="80" xfId="0" applyNumberFormat="1" applyFont="1" applyFill="1" applyBorder="1" applyAlignment="1">
      <alignment horizontal="right" vertical="top"/>
    </xf>
    <xf numFmtId="164" fontId="18" fillId="2" borderId="90" xfId="0" applyNumberFormat="1" applyFont="1" applyFill="1" applyBorder="1" applyAlignment="1">
      <alignment horizontal="right" vertical="top"/>
    </xf>
    <xf numFmtId="164" fontId="18" fillId="2" borderId="88" xfId="0" applyNumberFormat="1" applyFont="1" applyFill="1" applyBorder="1" applyAlignment="1">
      <alignment horizontal="right" vertical="top"/>
    </xf>
    <xf numFmtId="164" fontId="3" fillId="6" borderId="100" xfId="0" applyNumberFormat="1" applyFont="1" applyFill="1" applyBorder="1" applyAlignment="1">
      <alignment horizontal="right" vertical="top"/>
    </xf>
    <xf numFmtId="164" fontId="3" fillId="0" borderId="84" xfId="0" applyNumberFormat="1" applyFont="1" applyBorder="1" applyAlignment="1">
      <alignment horizontal="right" vertical="top"/>
    </xf>
    <xf numFmtId="164" fontId="3" fillId="0" borderId="31" xfId="0" applyNumberFormat="1" applyFont="1" applyFill="1" applyBorder="1" applyAlignment="1">
      <alignment horizontal="right" vertical="top"/>
    </xf>
    <xf numFmtId="0" fontId="3" fillId="0" borderId="95" xfId="0" applyFont="1" applyFill="1" applyBorder="1" applyAlignment="1">
      <alignment horizontal="center" vertical="top" wrapText="1"/>
    </xf>
    <xf numFmtId="0" fontId="3" fillId="0" borderId="83" xfId="0" applyFont="1" applyFill="1" applyBorder="1" applyAlignment="1">
      <alignment vertical="top" wrapText="1"/>
    </xf>
    <xf numFmtId="49" fontId="3" fillId="0" borderId="23" xfId="0" applyNumberFormat="1" applyFont="1" applyBorder="1" applyAlignment="1">
      <alignment horizontal="center" vertical="top" wrapText="1"/>
    </xf>
    <xf numFmtId="0" fontId="3" fillId="0" borderId="35" xfId="0" applyFont="1" applyBorder="1" applyAlignment="1">
      <alignment vertical="top"/>
    </xf>
    <xf numFmtId="0" fontId="3" fillId="0" borderId="83" xfId="0" applyFont="1" applyBorder="1" applyAlignment="1">
      <alignment textRotation="90"/>
    </xf>
    <xf numFmtId="49" fontId="5" fillId="0" borderId="50" xfId="0" applyNumberFormat="1" applyFont="1" applyFill="1" applyBorder="1" applyAlignment="1">
      <alignment horizontal="center" vertical="top"/>
    </xf>
    <xf numFmtId="0" fontId="3" fillId="10" borderId="0" xfId="0" applyFont="1" applyFill="1" applyBorder="1" applyAlignment="1">
      <alignment horizontal="left" vertical="top" wrapText="1"/>
    </xf>
    <xf numFmtId="49" fontId="5" fillId="10" borderId="0" xfId="0" applyNumberFormat="1" applyFont="1" applyFill="1" applyBorder="1" applyAlignment="1">
      <alignment horizontal="center" vertical="top"/>
    </xf>
    <xf numFmtId="164" fontId="3" fillId="0" borderId="84" xfId="0" applyNumberFormat="1" applyFont="1" applyFill="1" applyBorder="1" applyAlignment="1">
      <alignment vertical="top"/>
    </xf>
    <xf numFmtId="164" fontId="3" fillId="0" borderId="15" xfId="0" applyNumberFormat="1" applyFont="1" applyFill="1" applyBorder="1" applyAlignment="1">
      <alignment vertical="top"/>
    </xf>
    <xf numFmtId="164" fontId="3" fillId="0" borderId="18" xfId="0" applyNumberFormat="1" applyFont="1" applyFill="1" applyBorder="1" applyAlignment="1">
      <alignment vertical="top"/>
    </xf>
    <xf numFmtId="164" fontId="5" fillId="10" borderId="39" xfId="0" applyNumberFormat="1" applyFont="1" applyFill="1" applyBorder="1" applyAlignment="1">
      <alignment horizontal="right" vertical="top"/>
    </xf>
    <xf numFmtId="0" fontId="3" fillId="0" borderId="95" xfId="0" applyFont="1" applyFill="1" applyBorder="1" applyAlignment="1">
      <alignment horizontal="center" vertical="top"/>
    </xf>
    <xf numFmtId="164" fontId="18" fillId="0" borderId="34" xfId="0" applyNumberFormat="1" applyFont="1" applyBorder="1" applyAlignment="1">
      <alignment horizontal="right" vertical="top"/>
    </xf>
    <xf numFmtId="164" fontId="18" fillId="0" borderId="33" xfId="0" applyNumberFormat="1" applyFont="1" applyBorder="1" applyAlignment="1">
      <alignment horizontal="right" vertical="top"/>
    </xf>
    <xf numFmtId="164" fontId="18" fillId="0" borderId="84" xfId="0" applyNumberFormat="1" applyFont="1" applyBorder="1" applyAlignment="1">
      <alignment horizontal="right" vertical="top"/>
    </xf>
    <xf numFmtId="164" fontId="18" fillId="0" borderId="92" xfId="0" applyNumberFormat="1" applyFont="1" applyBorder="1" applyAlignment="1">
      <alignment horizontal="right" vertical="top"/>
    </xf>
    <xf numFmtId="3" fontId="3" fillId="0" borderId="84" xfId="0" applyNumberFormat="1" applyFont="1" applyFill="1" applyBorder="1" applyAlignment="1">
      <alignment horizontal="center" vertical="top"/>
    </xf>
    <xf numFmtId="3" fontId="3" fillId="0" borderId="92" xfId="0" applyNumberFormat="1" applyFont="1" applyFill="1" applyBorder="1" applyAlignment="1">
      <alignment horizontal="center" vertical="top"/>
    </xf>
    <xf numFmtId="0" fontId="3" fillId="0" borderId="6" xfId="0" applyFont="1" applyFill="1" applyBorder="1" applyAlignment="1">
      <alignment horizontal="center" vertical="top"/>
    </xf>
    <xf numFmtId="164" fontId="18" fillId="0" borderId="1" xfId="0" applyNumberFormat="1" applyFont="1" applyBorder="1" applyAlignment="1">
      <alignment horizontal="right" vertical="top"/>
    </xf>
    <xf numFmtId="0" fontId="3" fillId="0" borderId="82" xfId="0" applyFont="1" applyFill="1" applyBorder="1" applyAlignment="1">
      <alignment horizontal="center" vertical="top"/>
    </xf>
    <xf numFmtId="49" fontId="3" fillId="0" borderId="77" xfId="0" applyNumberFormat="1" applyFont="1" applyBorder="1" applyAlignment="1">
      <alignment horizontal="center" vertical="center" wrapText="1"/>
    </xf>
    <xf numFmtId="49" fontId="3" fillId="0" borderId="24" xfId="0" applyNumberFormat="1" applyFont="1" applyBorder="1" applyAlignment="1">
      <alignment horizontal="center" vertical="center" wrapText="1"/>
    </xf>
    <xf numFmtId="3" fontId="3" fillId="0" borderId="97" xfId="0" applyNumberFormat="1" applyFont="1" applyFill="1" applyBorder="1" applyAlignment="1">
      <alignment horizontal="center" vertical="top"/>
    </xf>
    <xf numFmtId="3" fontId="3" fillId="0" borderId="98" xfId="0" applyNumberFormat="1" applyFont="1" applyFill="1" applyBorder="1" applyAlignment="1">
      <alignment horizontal="center" vertical="top"/>
    </xf>
    <xf numFmtId="0" fontId="3" fillId="0" borderId="86" xfId="0" applyFont="1" applyFill="1" applyBorder="1" applyAlignment="1">
      <alignment horizontal="center" vertical="top"/>
    </xf>
    <xf numFmtId="164" fontId="3" fillId="0" borderId="90" xfId="0" applyNumberFormat="1" applyFont="1" applyFill="1" applyBorder="1" applyAlignment="1">
      <alignment horizontal="right" vertical="top"/>
    </xf>
    <xf numFmtId="164" fontId="3" fillId="0" borderId="88" xfId="0" applyNumberFormat="1" applyFont="1" applyFill="1" applyBorder="1" applyAlignment="1">
      <alignment horizontal="right" vertical="top"/>
    </xf>
    <xf numFmtId="164" fontId="3" fillId="2" borderId="90" xfId="0" applyNumberFormat="1" applyFont="1" applyFill="1" applyBorder="1" applyAlignment="1">
      <alignment horizontal="right" vertical="top"/>
    </xf>
    <xf numFmtId="164" fontId="3" fillId="2" borderId="88" xfId="0" applyNumberFormat="1" applyFont="1" applyFill="1" applyBorder="1" applyAlignment="1">
      <alignment horizontal="right" vertical="top"/>
    </xf>
    <xf numFmtId="0" fontId="3" fillId="0" borderId="90" xfId="0" applyFont="1" applyFill="1" applyBorder="1" applyAlignment="1">
      <alignment horizontal="left" vertical="top" wrapText="1"/>
    </xf>
    <xf numFmtId="3" fontId="3" fillId="0" borderId="88" xfId="0" applyNumberFormat="1" applyFont="1" applyFill="1" applyBorder="1" applyAlignment="1">
      <alignment horizontal="center" vertical="top"/>
    </xf>
    <xf numFmtId="3" fontId="3" fillId="0" borderId="80" xfId="0" applyNumberFormat="1" applyFont="1" applyFill="1" applyBorder="1" applyAlignment="1">
      <alignment horizontal="center" vertical="top"/>
    </xf>
    <xf numFmtId="164" fontId="18" fillId="0" borderId="88" xfId="0" applyNumberFormat="1" applyFont="1" applyBorder="1" applyAlignment="1">
      <alignment horizontal="right" vertical="top"/>
    </xf>
    <xf numFmtId="164" fontId="18" fillId="0" borderId="80" xfId="0" applyNumberFormat="1" applyFont="1" applyBorder="1" applyAlignment="1">
      <alignment horizontal="right" vertical="top"/>
    </xf>
    <xf numFmtId="164" fontId="3" fillId="2" borderId="89" xfId="0" applyNumberFormat="1" applyFont="1" applyFill="1" applyBorder="1" applyAlignment="1">
      <alignment horizontal="right" vertical="top"/>
    </xf>
    <xf numFmtId="164" fontId="3" fillId="2" borderId="80" xfId="0" applyNumberFormat="1" applyFont="1" applyFill="1" applyBorder="1" applyAlignment="1">
      <alignment horizontal="right" vertical="top"/>
    </xf>
    <xf numFmtId="164" fontId="18" fillId="6" borderId="10" xfId="0" applyNumberFormat="1" applyFont="1" applyFill="1" applyBorder="1" applyAlignment="1">
      <alignment horizontal="right" vertical="top"/>
    </xf>
    <xf numFmtId="164" fontId="18" fillId="6" borderId="15" xfId="0" applyNumberFormat="1" applyFont="1" applyFill="1" applyBorder="1" applyAlignment="1">
      <alignment horizontal="right" vertical="top"/>
    </xf>
    <xf numFmtId="165" fontId="19" fillId="6" borderId="19" xfId="0" applyNumberFormat="1" applyFont="1" applyFill="1" applyBorder="1" applyAlignment="1">
      <alignment vertical="top" wrapText="1"/>
    </xf>
    <xf numFmtId="0" fontId="7" fillId="9" borderId="35" xfId="0" applyFont="1" applyFill="1" applyBorder="1" applyAlignment="1">
      <alignment vertical="top" wrapText="1"/>
    </xf>
    <xf numFmtId="0" fontId="7" fillId="9" borderId="68" xfId="0" applyNumberFormat="1" applyFont="1" applyFill="1" applyBorder="1" applyAlignment="1">
      <alignment horizontal="center" vertical="top" wrapText="1"/>
    </xf>
    <xf numFmtId="0" fontId="16" fillId="9" borderId="68" xfId="0" applyNumberFormat="1" applyFont="1" applyFill="1" applyBorder="1" applyAlignment="1">
      <alignment horizontal="center" vertical="top"/>
    </xf>
    <xf numFmtId="0" fontId="16" fillId="9" borderId="69" xfId="0" applyNumberFormat="1" applyFont="1" applyFill="1" applyBorder="1" applyAlignment="1">
      <alignment horizontal="center" vertical="top"/>
    </xf>
    <xf numFmtId="164" fontId="3" fillId="6" borderId="43" xfId="0" applyNumberFormat="1" applyFont="1" applyFill="1" applyBorder="1" applyAlignment="1">
      <alignment horizontal="right" vertical="top"/>
    </xf>
    <xf numFmtId="3" fontId="3" fillId="0" borderId="26" xfId="0" applyNumberFormat="1" applyFont="1" applyFill="1" applyBorder="1" applyAlignment="1">
      <alignment horizontal="center" vertical="top" wrapText="1"/>
    </xf>
    <xf numFmtId="3" fontId="3" fillId="0" borderId="27" xfId="0" applyNumberFormat="1" applyFont="1" applyFill="1" applyBorder="1" applyAlignment="1">
      <alignment horizontal="center" vertical="top" wrapText="1"/>
    </xf>
    <xf numFmtId="0" fontId="3" fillId="0" borderId="83" xfId="0" applyFont="1" applyBorder="1" applyAlignment="1">
      <alignment horizontal="left" vertical="top" wrapText="1"/>
    </xf>
    <xf numFmtId="3" fontId="9" fillId="0" borderId="84" xfId="0" applyNumberFormat="1" applyFont="1" applyBorder="1" applyAlignment="1">
      <alignment horizontal="center" vertical="top"/>
    </xf>
    <xf numFmtId="0" fontId="3" fillId="6" borderId="83" xfId="0" applyFont="1" applyFill="1" applyBorder="1" applyAlignment="1">
      <alignment horizontal="left" vertical="top" wrapText="1"/>
    </xf>
    <xf numFmtId="3" fontId="9" fillId="6" borderId="84" xfId="0" applyNumberFormat="1" applyFont="1" applyFill="1" applyBorder="1" applyAlignment="1">
      <alignment horizontal="center" vertical="top"/>
    </xf>
    <xf numFmtId="0" fontId="3" fillId="0" borderId="16" xfId="1" applyFont="1" applyFill="1" applyBorder="1" applyAlignment="1">
      <alignment vertical="top" wrapText="1"/>
    </xf>
    <xf numFmtId="49" fontId="5" fillId="6" borderId="27" xfId="0" applyNumberFormat="1" applyFont="1" applyFill="1" applyBorder="1" applyAlignment="1">
      <alignment horizontal="center" vertical="top"/>
    </xf>
    <xf numFmtId="0" fontId="3" fillId="6" borderId="40" xfId="0" applyFont="1" applyFill="1" applyBorder="1" applyAlignment="1">
      <alignment horizontal="center" vertical="center" textRotation="90" wrapText="1"/>
    </xf>
    <xf numFmtId="49" fontId="3" fillId="6" borderId="17" xfId="0" applyNumberFormat="1" applyFont="1" applyFill="1" applyBorder="1" applyAlignment="1">
      <alignment horizontal="center" vertical="top" wrapText="1"/>
    </xf>
    <xf numFmtId="49" fontId="3" fillId="0" borderId="0" xfId="0" applyNumberFormat="1" applyFont="1" applyBorder="1" applyAlignment="1">
      <alignment horizontal="center" vertical="center" wrapText="1"/>
    </xf>
    <xf numFmtId="165" fontId="18" fillId="0" borderId="19" xfId="0" applyNumberFormat="1" applyFont="1" applyFill="1" applyBorder="1" applyAlignment="1">
      <alignment horizontal="center" vertical="top" wrapText="1"/>
    </xf>
    <xf numFmtId="0" fontId="18" fillId="0" borderId="10" xfId="0" applyFont="1" applyFill="1" applyBorder="1" applyAlignment="1">
      <alignment horizontal="left" vertical="top" wrapText="1"/>
    </xf>
    <xf numFmtId="165" fontId="18" fillId="0" borderId="50" xfId="0" applyNumberFormat="1" applyFont="1" applyFill="1" applyBorder="1" applyAlignment="1">
      <alignment horizontal="center" vertical="top" wrapText="1"/>
    </xf>
    <xf numFmtId="49" fontId="5" fillId="10" borderId="50" xfId="0" applyNumberFormat="1" applyFont="1" applyFill="1" applyBorder="1" applyAlignment="1">
      <alignment horizontal="center" vertical="top"/>
    </xf>
    <xf numFmtId="165" fontId="3" fillId="0" borderId="0" xfId="0" applyNumberFormat="1" applyFont="1" applyBorder="1" applyAlignment="1">
      <alignment vertical="top"/>
    </xf>
    <xf numFmtId="3" fontId="3" fillId="0" borderId="85" xfId="0" applyNumberFormat="1" applyFont="1" applyFill="1" applyBorder="1" applyAlignment="1">
      <alignment horizontal="center" vertical="top" wrapText="1"/>
    </xf>
    <xf numFmtId="165" fontId="3" fillId="0" borderId="84" xfId="0" applyNumberFormat="1" applyFont="1" applyFill="1" applyBorder="1" applyAlignment="1">
      <alignment horizontal="center" vertical="top" wrapText="1"/>
    </xf>
    <xf numFmtId="165" fontId="3" fillId="0" borderId="92" xfId="0" applyNumberFormat="1" applyFont="1" applyFill="1" applyBorder="1" applyAlignment="1">
      <alignment horizontal="center" vertical="top" wrapText="1"/>
    </xf>
    <xf numFmtId="0" fontId="3" fillId="0" borderId="109" xfId="0" applyFont="1" applyFill="1" applyBorder="1" applyAlignment="1">
      <alignment horizontal="center" vertical="top" wrapText="1"/>
    </xf>
    <xf numFmtId="0" fontId="3" fillId="0" borderId="50" xfId="0" applyFont="1" applyBorder="1" applyAlignment="1">
      <alignment horizontal="center" vertical="top"/>
    </xf>
    <xf numFmtId="0" fontId="3" fillId="0" borderId="1" xfId="0" applyFont="1" applyFill="1" applyBorder="1" applyAlignment="1">
      <alignment vertical="top" wrapText="1"/>
    </xf>
    <xf numFmtId="0" fontId="3" fillId="0" borderId="57" xfId="0" applyFont="1" applyFill="1" applyBorder="1" applyAlignment="1">
      <alignment horizontal="center" vertical="top" textRotation="90" wrapText="1"/>
    </xf>
    <xf numFmtId="0" fontId="3" fillId="0" borderId="70" xfId="0" applyFont="1" applyFill="1" applyBorder="1" applyAlignment="1">
      <alignment horizontal="center" vertical="top" textRotation="90" wrapText="1"/>
    </xf>
    <xf numFmtId="164" fontId="2" fillId="0" borderId="88" xfId="0" applyNumberFormat="1" applyFont="1" applyFill="1" applyBorder="1" applyAlignment="1">
      <alignment horizontal="center" vertical="center" wrapText="1"/>
    </xf>
    <xf numFmtId="164" fontId="2" fillId="0" borderId="80" xfId="0" applyNumberFormat="1" applyFont="1" applyFill="1" applyBorder="1" applyAlignment="1">
      <alignment horizontal="center" vertical="center" wrapText="1"/>
    </xf>
    <xf numFmtId="49" fontId="5" fillId="3" borderId="0" xfId="0" applyNumberFormat="1" applyFont="1" applyFill="1" applyBorder="1" applyAlignment="1">
      <alignment horizontal="center" vertical="top"/>
    </xf>
    <xf numFmtId="0" fontId="3" fillId="0" borderId="2" xfId="0" applyFont="1" applyBorder="1" applyAlignment="1">
      <alignment vertical="top"/>
    </xf>
    <xf numFmtId="0" fontId="3" fillId="0" borderId="18" xfId="0" applyFont="1" applyBorder="1" applyAlignment="1">
      <alignment vertical="top"/>
    </xf>
    <xf numFmtId="164" fontId="3" fillId="6" borderId="8" xfId="0" applyNumberFormat="1" applyFont="1" applyFill="1" applyBorder="1" applyAlignment="1">
      <alignment horizontal="right" vertical="top"/>
    </xf>
    <xf numFmtId="164" fontId="3" fillId="6" borderId="28" xfId="0" applyNumberFormat="1" applyFont="1" applyFill="1" applyBorder="1" applyAlignment="1">
      <alignment horizontal="right" vertical="top"/>
    </xf>
    <xf numFmtId="0" fontId="3" fillId="0" borderId="18" xfId="0" applyFont="1" applyFill="1" applyBorder="1" applyAlignment="1">
      <alignment vertical="top" wrapText="1"/>
    </xf>
    <xf numFmtId="0" fontId="3" fillId="6" borderId="10" xfId="0" applyFont="1" applyFill="1" applyBorder="1" applyAlignment="1">
      <alignment vertical="top" wrapText="1"/>
    </xf>
    <xf numFmtId="164" fontId="3" fillId="6" borderId="44" xfId="0" applyNumberFormat="1" applyFont="1" applyFill="1" applyBorder="1" applyAlignment="1">
      <alignment horizontal="right" vertical="top"/>
    </xf>
    <xf numFmtId="164" fontId="5" fillId="8" borderId="35" xfId="0" applyNumberFormat="1" applyFont="1" applyFill="1" applyBorder="1" applyAlignment="1">
      <alignment horizontal="right" vertical="top"/>
    </xf>
    <xf numFmtId="164" fontId="3" fillId="6" borderId="104" xfId="0" applyNumberFormat="1" applyFont="1" applyFill="1" applyBorder="1" applyAlignment="1">
      <alignment horizontal="right" vertical="top"/>
    </xf>
    <xf numFmtId="164" fontId="3" fillId="6" borderId="106" xfId="0" applyNumberFormat="1" applyFont="1" applyFill="1" applyBorder="1" applyAlignment="1">
      <alignment horizontal="right" vertical="top"/>
    </xf>
    <xf numFmtId="0" fontId="3" fillId="6" borderId="92" xfId="0" applyFont="1" applyFill="1" applyBorder="1" applyAlignment="1">
      <alignment vertical="top" wrapText="1"/>
    </xf>
    <xf numFmtId="0" fontId="3" fillId="0" borderId="3" xfId="0" applyFont="1" applyBorder="1" applyAlignment="1">
      <alignment horizontal="center" vertical="center" textRotation="90" shrinkToFit="1"/>
    </xf>
    <xf numFmtId="0" fontId="3" fillId="0" borderId="4" xfId="0" applyFont="1" applyBorder="1" applyAlignment="1">
      <alignment horizontal="center" vertical="center" textRotation="90" shrinkToFit="1"/>
    </xf>
    <xf numFmtId="3" fontId="3" fillId="0" borderId="21"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164" fontId="5" fillId="8" borderId="11" xfId="0" applyNumberFormat="1" applyFont="1" applyFill="1" applyBorder="1" applyAlignment="1">
      <alignment horizontal="right" vertical="top"/>
    </xf>
    <xf numFmtId="164" fontId="18" fillId="2" borderId="2" xfId="0" applyNumberFormat="1" applyFont="1" applyFill="1" applyBorder="1" applyAlignment="1">
      <alignment horizontal="right" vertical="top"/>
    </xf>
    <xf numFmtId="3" fontId="3" fillId="0" borderId="106" xfId="0" applyNumberFormat="1" applyFont="1" applyFill="1" applyBorder="1" applyAlignment="1">
      <alignment horizontal="center" vertical="top" wrapText="1"/>
    </xf>
    <xf numFmtId="3" fontId="3" fillId="0" borderId="81" xfId="0" applyNumberFormat="1" applyFont="1" applyFill="1" applyBorder="1" applyAlignment="1">
      <alignment horizontal="center" vertical="top" wrapText="1"/>
    </xf>
    <xf numFmtId="49" fontId="5" fillId="0" borderId="47" xfId="0" applyNumberFormat="1" applyFont="1" applyFill="1" applyBorder="1" applyAlignment="1">
      <alignment horizontal="center" vertical="top"/>
    </xf>
    <xf numFmtId="0" fontId="3" fillId="0" borderId="76" xfId="0" applyFont="1" applyBorder="1" applyAlignment="1">
      <alignment vertical="top"/>
    </xf>
    <xf numFmtId="164" fontId="3" fillId="8" borderId="60" xfId="0" applyNumberFormat="1" applyFont="1" applyFill="1" applyBorder="1" applyAlignment="1">
      <alignment vertical="top"/>
    </xf>
    <xf numFmtId="164" fontId="3" fillId="8" borderId="3" xfId="0" applyNumberFormat="1" applyFont="1" applyFill="1" applyBorder="1" applyAlignment="1">
      <alignment vertical="top"/>
    </xf>
    <xf numFmtId="164" fontId="3" fillId="8" borderId="4" xfId="0" applyNumberFormat="1" applyFont="1" applyFill="1" applyBorder="1" applyAlignment="1">
      <alignment vertical="top"/>
    </xf>
    <xf numFmtId="49" fontId="5" fillId="0" borderId="36" xfId="0" applyNumberFormat="1" applyFont="1" applyBorder="1" applyAlignment="1">
      <alignment horizontal="center" vertical="top" wrapText="1"/>
    </xf>
    <xf numFmtId="164" fontId="3" fillId="6" borderId="19" xfId="0" applyNumberFormat="1" applyFont="1" applyFill="1" applyBorder="1" applyAlignment="1">
      <alignment horizontal="right" vertical="top"/>
    </xf>
    <xf numFmtId="49" fontId="3" fillId="0" borderId="24" xfId="0" applyNumberFormat="1" applyFont="1" applyBorder="1" applyAlignment="1">
      <alignment horizontal="center" vertical="top" wrapText="1"/>
    </xf>
    <xf numFmtId="3" fontId="3" fillId="6" borderId="84" xfId="0" applyNumberFormat="1" applyFont="1" applyFill="1" applyBorder="1" applyAlignment="1">
      <alignment horizontal="center" vertical="top" wrapText="1"/>
    </xf>
    <xf numFmtId="49" fontId="3" fillId="0" borderId="84" xfId="0" applyNumberFormat="1" applyFont="1" applyFill="1" applyBorder="1" applyAlignment="1">
      <alignment horizontal="center" vertical="top" wrapText="1"/>
    </xf>
    <xf numFmtId="49" fontId="3" fillId="0" borderId="92" xfId="0" applyNumberFormat="1" applyFont="1" applyFill="1" applyBorder="1" applyAlignment="1">
      <alignment horizontal="center" vertical="top" wrapText="1"/>
    </xf>
    <xf numFmtId="0" fontId="3" fillId="6" borderId="104" xfId="0" applyFont="1" applyFill="1" applyBorder="1" applyAlignment="1">
      <alignment horizontal="left" vertical="top" wrapText="1"/>
    </xf>
    <xf numFmtId="3" fontId="9" fillId="0" borderId="110" xfId="0" applyNumberFormat="1" applyFont="1" applyBorder="1" applyAlignment="1">
      <alignment horizontal="center" vertical="top" wrapText="1"/>
    </xf>
    <xf numFmtId="0" fontId="3" fillId="0" borderId="90" xfId="0" applyFont="1" applyBorder="1" applyAlignment="1">
      <alignment vertical="top"/>
    </xf>
    <xf numFmtId="49" fontId="5" fillId="0" borderId="49" xfId="0" applyNumberFormat="1" applyFont="1" applyBorder="1" applyAlignment="1">
      <alignment horizontal="center" vertical="top"/>
    </xf>
    <xf numFmtId="0" fontId="3" fillId="2" borderId="9" xfId="0" applyFont="1" applyFill="1" applyBorder="1" applyAlignment="1">
      <alignment horizontal="center" vertical="top"/>
    </xf>
    <xf numFmtId="0" fontId="3" fillId="2" borderId="24" xfId="0" applyFont="1" applyFill="1" applyBorder="1" applyAlignment="1">
      <alignment horizontal="center" vertical="top"/>
    </xf>
    <xf numFmtId="0" fontId="3" fillId="2" borderId="23" xfId="0" applyFont="1" applyFill="1" applyBorder="1" applyAlignment="1">
      <alignment horizontal="center" vertical="top"/>
    </xf>
    <xf numFmtId="0" fontId="3" fillId="2" borderId="6" xfId="0" applyFont="1" applyFill="1" applyBorder="1" applyAlignment="1">
      <alignment horizontal="center" vertical="top"/>
    </xf>
    <xf numFmtId="0" fontId="1" fillId="0" borderId="10" xfId="0" applyFont="1" applyBorder="1" applyAlignment="1">
      <alignment horizontal="center" vertical="center" textRotation="90" wrapText="1"/>
    </xf>
    <xf numFmtId="164" fontId="3" fillId="2" borderId="37" xfId="0" applyNumberFormat="1" applyFont="1" applyFill="1" applyBorder="1" applyAlignment="1">
      <alignment horizontal="right" vertical="top"/>
    </xf>
    <xf numFmtId="49" fontId="5" fillId="0" borderId="32" xfId="0" applyNumberFormat="1" applyFont="1" applyBorder="1" applyAlignment="1">
      <alignment horizontal="center" vertical="top"/>
    </xf>
    <xf numFmtId="3" fontId="18" fillId="0" borderId="19" xfId="0" applyNumberFormat="1" applyFont="1" applyFill="1" applyBorder="1" applyAlignment="1">
      <alignment horizontal="center" vertical="top" wrapText="1"/>
    </xf>
    <xf numFmtId="165" fontId="18" fillId="0" borderId="85" xfId="0" applyNumberFormat="1" applyFont="1" applyFill="1" applyBorder="1" applyAlignment="1">
      <alignment horizontal="center" vertical="top" wrapText="1"/>
    </xf>
    <xf numFmtId="165" fontId="18" fillId="0" borderId="92" xfId="0" applyNumberFormat="1" applyFont="1" applyFill="1" applyBorder="1" applyAlignment="1">
      <alignment horizontal="center" vertical="top" wrapText="1"/>
    </xf>
    <xf numFmtId="0" fontId="3" fillId="6" borderId="6" xfId="0" applyFont="1" applyFill="1" applyBorder="1" applyAlignment="1">
      <alignment horizontal="center" vertical="top"/>
    </xf>
    <xf numFmtId="3" fontId="3" fillId="6" borderId="17" xfId="0" applyNumberFormat="1" applyFont="1" applyFill="1" applyBorder="1" applyAlignment="1">
      <alignment horizontal="center" vertical="top" wrapText="1"/>
    </xf>
    <xf numFmtId="0" fontId="3" fillId="0" borderId="100" xfId="0" applyFont="1" applyFill="1" applyBorder="1" applyAlignment="1">
      <alignment horizontal="left" vertical="top" wrapText="1"/>
    </xf>
    <xf numFmtId="0" fontId="3" fillId="6" borderId="52" xfId="0" applyFont="1" applyFill="1" applyBorder="1" applyAlignment="1">
      <alignment horizontal="left" vertical="top" wrapText="1"/>
    </xf>
    <xf numFmtId="0" fontId="18" fillId="0" borderId="83" xfId="0" applyFont="1" applyFill="1" applyBorder="1" applyAlignment="1">
      <alignment horizontal="left" vertical="top" wrapText="1"/>
    </xf>
    <xf numFmtId="164" fontId="3" fillId="6" borderId="10" xfId="0" applyNumberFormat="1" applyFont="1" applyFill="1" applyBorder="1" applyAlignment="1">
      <alignment horizontal="right" vertical="top"/>
    </xf>
    <xf numFmtId="164" fontId="3" fillId="6" borderId="17" xfId="0" applyNumberFormat="1" applyFont="1" applyFill="1" applyBorder="1" applyAlignment="1">
      <alignment horizontal="right" vertical="top"/>
    </xf>
    <xf numFmtId="164" fontId="3" fillId="0" borderId="0" xfId="0" applyNumberFormat="1" applyFont="1" applyFill="1" applyBorder="1" applyAlignment="1">
      <alignment horizontal="right" vertical="top"/>
    </xf>
    <xf numFmtId="164" fontId="3" fillId="0" borderId="83" xfId="0" applyNumberFormat="1" applyFont="1" applyFill="1" applyBorder="1" applyAlignment="1">
      <alignment horizontal="right" vertical="top"/>
    </xf>
    <xf numFmtId="164" fontId="3" fillId="0" borderId="100" xfId="0" applyNumberFormat="1" applyFont="1" applyFill="1" applyBorder="1" applyAlignment="1">
      <alignment horizontal="right" vertical="top"/>
    </xf>
    <xf numFmtId="164" fontId="5" fillId="0" borderId="100" xfId="0" applyNumberFormat="1" applyFont="1" applyFill="1" applyBorder="1" applyAlignment="1">
      <alignment horizontal="right" vertical="top"/>
    </xf>
    <xf numFmtId="164" fontId="3" fillId="0" borderId="93" xfId="0" applyNumberFormat="1" applyFont="1" applyFill="1" applyBorder="1" applyAlignment="1">
      <alignment horizontal="right" vertical="top"/>
    </xf>
    <xf numFmtId="164" fontId="3" fillId="0" borderId="92" xfId="0" applyNumberFormat="1" applyFont="1" applyFill="1" applyBorder="1" applyAlignment="1">
      <alignment horizontal="right" vertical="top"/>
    </xf>
    <xf numFmtId="164" fontId="3" fillId="0" borderId="20" xfId="0" applyNumberFormat="1" applyFont="1" applyFill="1" applyBorder="1" applyAlignment="1">
      <alignment horizontal="right" vertical="top"/>
    </xf>
    <xf numFmtId="164" fontId="3" fillId="0" borderId="80" xfId="0" applyNumberFormat="1" applyFont="1" applyFill="1" applyBorder="1" applyAlignment="1">
      <alignment horizontal="right" vertical="top"/>
    </xf>
    <xf numFmtId="164" fontId="5" fillId="0" borderId="51" xfId="0" applyNumberFormat="1" applyFont="1" applyFill="1" applyBorder="1" applyAlignment="1">
      <alignment horizontal="right" vertical="top"/>
    </xf>
    <xf numFmtId="3" fontId="9" fillId="0" borderId="84" xfId="0" applyNumberFormat="1" applyFont="1" applyFill="1" applyBorder="1" applyAlignment="1">
      <alignment horizontal="center" vertical="top" wrapText="1"/>
    </xf>
    <xf numFmtId="3" fontId="9" fillId="6" borderId="37" xfId="0" applyNumberFormat="1" applyFont="1" applyFill="1" applyBorder="1" applyAlignment="1">
      <alignment horizontal="center" vertical="top" wrapText="1"/>
    </xf>
    <xf numFmtId="0" fontId="3" fillId="2" borderId="111" xfId="0" applyFont="1" applyFill="1" applyBorder="1" applyAlignment="1">
      <alignment horizontal="center" vertical="top"/>
    </xf>
    <xf numFmtId="164" fontId="18" fillId="6" borderId="100" xfId="0" applyNumberFormat="1" applyFont="1" applyFill="1" applyBorder="1" applyAlignment="1">
      <alignment horizontal="right" vertical="top"/>
    </xf>
    <xf numFmtId="164" fontId="18" fillId="6" borderId="93" xfId="0" applyNumberFormat="1" applyFont="1" applyFill="1" applyBorder="1" applyAlignment="1">
      <alignment horizontal="right" vertical="top"/>
    </xf>
    <xf numFmtId="49" fontId="5" fillId="0" borderId="35" xfId="0" applyNumberFormat="1" applyFont="1" applyBorder="1" applyAlignment="1">
      <alignment horizontal="center" vertical="top"/>
    </xf>
    <xf numFmtId="0" fontId="3" fillId="0" borderId="81" xfId="0" applyFont="1" applyBorder="1" applyAlignment="1">
      <alignment vertical="top" wrapText="1"/>
    </xf>
    <xf numFmtId="0" fontId="3" fillId="6" borderId="44" xfId="0" applyFont="1" applyFill="1" applyBorder="1" applyAlignment="1">
      <alignment horizontal="center" vertical="center"/>
    </xf>
    <xf numFmtId="164" fontId="3" fillId="6" borderId="16" xfId="0" applyNumberFormat="1" applyFont="1" applyFill="1" applyBorder="1" applyAlignment="1">
      <alignment horizontal="right" vertical="center"/>
    </xf>
    <xf numFmtId="164" fontId="3" fillId="6" borderId="2" xfId="0" applyNumberFormat="1" applyFont="1" applyFill="1" applyBorder="1" applyAlignment="1">
      <alignment horizontal="right" vertical="center"/>
    </xf>
    <xf numFmtId="164" fontId="3" fillId="6" borderId="38" xfId="0" applyNumberFormat="1" applyFont="1" applyFill="1" applyBorder="1" applyAlignment="1">
      <alignment horizontal="right" vertical="center"/>
    </xf>
    <xf numFmtId="164" fontId="3" fillId="2" borderId="44" xfId="0" applyNumberFormat="1" applyFont="1" applyFill="1" applyBorder="1" applyAlignment="1">
      <alignment horizontal="right" vertical="center"/>
    </xf>
    <xf numFmtId="0" fontId="3" fillId="6" borderId="16" xfId="0" applyFont="1" applyFill="1" applyBorder="1" applyAlignment="1">
      <alignment vertical="top" wrapText="1"/>
    </xf>
    <xf numFmtId="0" fontId="3" fillId="0" borderId="18" xfId="0" applyFont="1" applyFill="1" applyBorder="1" applyAlignment="1">
      <alignment horizontal="left" vertical="top" wrapText="1"/>
    </xf>
    <xf numFmtId="164" fontId="26" fillId="0" borderId="58" xfId="0" applyNumberFormat="1" applyFont="1" applyBorder="1" applyAlignment="1">
      <alignment horizontal="right" vertical="top"/>
    </xf>
    <xf numFmtId="164" fontId="26" fillId="0" borderId="13" xfId="0" applyNumberFormat="1" applyFont="1" applyBorder="1" applyAlignment="1">
      <alignment horizontal="right" vertical="top"/>
    </xf>
    <xf numFmtId="164" fontId="21" fillId="0" borderId="78" xfId="0" applyNumberFormat="1" applyFont="1" applyBorder="1" applyAlignment="1">
      <alignment horizontal="right" vertical="top"/>
    </xf>
    <xf numFmtId="0" fontId="3" fillId="6" borderId="18" xfId="0" applyFont="1" applyFill="1" applyBorder="1" applyAlignment="1">
      <alignment vertical="top" wrapText="1"/>
    </xf>
    <xf numFmtId="0" fontId="3" fillId="0" borderId="31" xfId="0" applyFont="1" applyBorder="1" applyAlignment="1">
      <alignment vertical="top" wrapText="1"/>
    </xf>
    <xf numFmtId="164" fontId="26" fillId="0" borderId="70" xfId="0" applyNumberFormat="1" applyFont="1" applyBorder="1" applyAlignment="1">
      <alignment horizontal="right" vertical="top"/>
    </xf>
    <xf numFmtId="164" fontId="26" fillId="0" borderId="34" xfId="0" applyNumberFormat="1" applyFont="1" applyBorder="1" applyAlignment="1">
      <alignment horizontal="right" vertical="top"/>
    </xf>
    <xf numFmtId="164" fontId="26" fillId="0" borderId="20" xfId="0" applyNumberFormat="1" applyFont="1" applyBorder="1" applyAlignment="1">
      <alignment horizontal="right" vertical="top"/>
    </xf>
    <xf numFmtId="164" fontId="18" fillId="0" borderId="2" xfId="0" applyNumberFormat="1" applyFont="1" applyFill="1" applyBorder="1" applyAlignment="1">
      <alignment horizontal="right" vertical="top"/>
    </xf>
    <xf numFmtId="164" fontId="5" fillId="2" borderId="2" xfId="0" applyNumberFormat="1" applyFont="1" applyFill="1" applyBorder="1" applyAlignment="1">
      <alignment horizontal="right" vertical="top"/>
    </xf>
    <xf numFmtId="164" fontId="5" fillId="6" borderId="2" xfId="0" applyNumberFormat="1" applyFont="1" applyFill="1" applyBorder="1" applyAlignment="1">
      <alignment horizontal="right" vertical="top"/>
    </xf>
    <xf numFmtId="164" fontId="18" fillId="0" borderId="18" xfId="0" applyNumberFormat="1" applyFont="1" applyBorder="1" applyAlignment="1">
      <alignment horizontal="right" vertical="top"/>
    </xf>
    <xf numFmtId="164" fontId="18" fillId="6" borderId="18" xfId="0" applyNumberFormat="1" applyFont="1" applyFill="1" applyBorder="1" applyAlignment="1">
      <alignment horizontal="right" vertical="top"/>
    </xf>
    <xf numFmtId="164" fontId="18" fillId="0" borderId="18" xfId="0" applyNumberFormat="1" applyFont="1" applyFill="1" applyBorder="1" applyAlignment="1">
      <alignment horizontal="right" vertical="top"/>
    </xf>
    <xf numFmtId="164" fontId="18" fillId="2" borderId="18" xfId="0" applyNumberFormat="1" applyFont="1" applyFill="1" applyBorder="1" applyAlignment="1">
      <alignment horizontal="right" vertical="top"/>
    </xf>
    <xf numFmtId="164" fontId="5" fillId="2" borderId="18" xfId="0" applyNumberFormat="1" applyFont="1" applyFill="1" applyBorder="1" applyAlignment="1">
      <alignment horizontal="right" vertical="top"/>
    </xf>
    <xf numFmtId="164" fontId="5" fillId="6" borderId="18" xfId="0" applyNumberFormat="1" applyFont="1" applyFill="1" applyBorder="1" applyAlignment="1">
      <alignment horizontal="right" vertical="top"/>
    </xf>
    <xf numFmtId="164" fontId="5" fillId="10" borderId="3" xfId="0" applyNumberFormat="1" applyFont="1" applyFill="1" applyBorder="1" applyAlignment="1">
      <alignment horizontal="right" vertical="top"/>
    </xf>
    <xf numFmtId="164" fontId="5" fillId="10" borderId="4" xfId="0" applyNumberFormat="1" applyFont="1" applyFill="1" applyBorder="1" applyAlignment="1">
      <alignment horizontal="right" vertical="top"/>
    </xf>
    <xf numFmtId="164" fontId="3" fillId="0" borderId="38" xfId="0" applyNumberFormat="1" applyFont="1" applyBorder="1" applyAlignment="1">
      <alignment horizontal="right" vertical="top"/>
    </xf>
    <xf numFmtId="164" fontId="18" fillId="6" borderId="38" xfId="0" applyNumberFormat="1" applyFont="1" applyFill="1" applyBorder="1" applyAlignment="1">
      <alignment horizontal="right" vertical="top"/>
    </xf>
    <xf numFmtId="164" fontId="18" fillId="0" borderId="38" xfId="0" applyNumberFormat="1" applyFont="1" applyBorder="1" applyAlignment="1">
      <alignment horizontal="right" vertical="top"/>
    </xf>
    <xf numFmtId="164" fontId="18" fillId="2" borderId="38" xfId="0" applyNumberFormat="1" applyFont="1" applyFill="1" applyBorder="1" applyAlignment="1">
      <alignment horizontal="right" vertical="top"/>
    </xf>
    <xf numFmtId="164" fontId="3" fillId="2" borderId="38" xfId="0" applyNumberFormat="1" applyFont="1" applyFill="1" applyBorder="1" applyAlignment="1">
      <alignment horizontal="right" vertical="top"/>
    </xf>
    <xf numFmtId="164" fontId="5" fillId="10" borderId="59" xfId="0" applyNumberFormat="1" applyFont="1" applyFill="1" applyBorder="1" applyAlignment="1">
      <alignment horizontal="right" vertical="top"/>
    </xf>
    <xf numFmtId="0" fontId="3" fillId="0" borderId="9" xfId="0" applyFont="1" applyBorder="1" applyAlignment="1">
      <alignment horizontal="center" vertical="top"/>
    </xf>
    <xf numFmtId="0" fontId="3" fillId="0" borderId="23" xfId="0" applyFont="1" applyBorder="1" applyAlignment="1">
      <alignment horizontal="center" vertical="top"/>
    </xf>
    <xf numFmtId="0" fontId="3" fillId="2" borderId="86" xfId="0" applyFont="1" applyFill="1" applyBorder="1" applyAlignment="1">
      <alignment horizontal="center" vertical="top"/>
    </xf>
    <xf numFmtId="49" fontId="5" fillId="10" borderId="34" xfId="0" applyNumberFormat="1" applyFont="1" applyFill="1" applyBorder="1" applyAlignment="1">
      <alignment horizontal="center" vertical="top"/>
    </xf>
    <xf numFmtId="49" fontId="5" fillId="11" borderId="34" xfId="0" applyNumberFormat="1" applyFont="1" applyFill="1" applyBorder="1" applyAlignment="1">
      <alignment horizontal="center" vertical="top"/>
    </xf>
    <xf numFmtId="49" fontId="3" fillId="0" borderId="49" xfId="0" applyNumberFormat="1" applyFont="1" applyFill="1" applyBorder="1" applyAlignment="1">
      <alignment horizontal="center" vertical="top" wrapText="1"/>
    </xf>
    <xf numFmtId="3" fontId="3" fillId="6" borderId="2" xfId="0" applyNumberFormat="1" applyFont="1" applyFill="1" applyBorder="1" applyAlignment="1">
      <alignment horizontal="center" vertical="top" wrapText="1"/>
    </xf>
    <xf numFmtId="164" fontId="3" fillId="2" borderId="51" xfId="0" applyNumberFormat="1" applyFont="1" applyFill="1" applyBorder="1" applyAlignment="1">
      <alignment horizontal="right" vertical="top"/>
    </xf>
    <xf numFmtId="164" fontId="3" fillId="0" borderId="100" xfId="0" applyNumberFormat="1" applyFont="1" applyBorder="1" applyAlignment="1">
      <alignment horizontal="right" vertical="top"/>
    </xf>
    <xf numFmtId="0" fontId="3" fillId="2" borderId="42" xfId="0" applyFont="1" applyFill="1" applyBorder="1" applyAlignment="1">
      <alignment horizontal="left" vertical="top" wrapText="1"/>
    </xf>
    <xf numFmtId="0" fontId="3" fillId="0" borderId="24" xfId="0" applyFont="1" applyBorder="1" applyAlignment="1">
      <alignment horizontal="center" vertical="top"/>
    </xf>
    <xf numFmtId="3" fontId="3" fillId="0" borderId="2" xfId="1" applyNumberFormat="1" applyFont="1" applyFill="1" applyBorder="1" applyAlignment="1">
      <alignment horizontal="center" vertical="center"/>
    </xf>
    <xf numFmtId="164" fontId="18" fillId="6" borderId="51" xfId="0" applyNumberFormat="1" applyFont="1" applyFill="1" applyBorder="1" applyAlignment="1">
      <alignment horizontal="right" vertical="top"/>
    </xf>
    <xf numFmtId="164" fontId="18" fillId="6" borderId="21" xfId="0" applyNumberFormat="1" applyFont="1" applyFill="1" applyBorder="1" applyAlignment="1">
      <alignment horizontal="right" vertical="top"/>
    </xf>
    <xf numFmtId="164" fontId="18" fillId="6" borderId="1" xfId="0" applyNumberFormat="1" applyFont="1" applyFill="1" applyBorder="1" applyAlignment="1">
      <alignment horizontal="right" vertical="top"/>
    </xf>
    <xf numFmtId="164" fontId="18" fillId="0" borderId="20" xfId="0" applyNumberFormat="1" applyFont="1" applyBorder="1" applyAlignment="1">
      <alignment horizontal="right" vertical="top"/>
    </xf>
    <xf numFmtId="164" fontId="18" fillId="0" borderId="34" xfId="0" applyNumberFormat="1" applyFont="1" applyFill="1" applyBorder="1" applyAlignment="1">
      <alignment horizontal="right" vertical="top"/>
    </xf>
    <xf numFmtId="164" fontId="18" fillId="0" borderId="33" xfId="0" applyNumberFormat="1" applyFont="1" applyFill="1" applyBorder="1" applyAlignment="1">
      <alignment horizontal="right" vertical="top"/>
    </xf>
    <xf numFmtId="164" fontId="18" fillId="2" borderId="20" xfId="0" applyNumberFormat="1" applyFont="1" applyFill="1" applyBorder="1" applyAlignment="1">
      <alignment horizontal="right" vertical="top"/>
    </xf>
    <xf numFmtId="164" fontId="18" fillId="2" borderId="34" xfId="0" applyNumberFormat="1" applyFont="1" applyFill="1" applyBorder="1" applyAlignment="1">
      <alignment horizontal="right" vertical="top"/>
    </xf>
    <xf numFmtId="164" fontId="18" fillId="2" borderId="33" xfId="0" applyNumberFormat="1" applyFont="1" applyFill="1" applyBorder="1" applyAlignment="1">
      <alignment horizontal="right" vertical="top"/>
    </xf>
    <xf numFmtId="164" fontId="18" fillId="0" borderId="100" xfId="0" applyNumberFormat="1" applyFont="1" applyBorder="1" applyAlignment="1">
      <alignment horizontal="right" vertical="top"/>
    </xf>
    <xf numFmtId="164" fontId="18" fillId="0" borderId="92" xfId="0" applyNumberFormat="1" applyFont="1" applyFill="1" applyBorder="1" applyAlignment="1">
      <alignment horizontal="right" vertical="top"/>
    </xf>
    <xf numFmtId="164" fontId="18" fillId="2" borderId="100" xfId="0" applyNumberFormat="1" applyFont="1" applyFill="1" applyBorder="1" applyAlignment="1">
      <alignment horizontal="right" vertical="top"/>
    </xf>
    <xf numFmtId="164" fontId="18" fillId="2" borderId="92" xfId="0" applyNumberFormat="1" applyFont="1" applyFill="1" applyBorder="1" applyAlignment="1">
      <alignment horizontal="right" vertical="top"/>
    </xf>
    <xf numFmtId="3" fontId="3" fillId="0" borderId="107" xfId="0" applyNumberFormat="1" applyFont="1" applyFill="1" applyBorder="1" applyAlignment="1">
      <alignment horizontal="center" vertical="top" wrapText="1"/>
    </xf>
    <xf numFmtId="0" fontId="3" fillId="6" borderId="39" xfId="1" applyFont="1" applyFill="1" applyBorder="1" applyAlignment="1">
      <alignment vertical="top" wrapText="1"/>
    </xf>
    <xf numFmtId="3" fontId="3" fillId="6" borderId="50" xfId="1" applyNumberFormat="1" applyFont="1" applyFill="1" applyBorder="1" applyAlignment="1">
      <alignment horizontal="center" vertical="top"/>
    </xf>
    <xf numFmtId="0" fontId="3" fillId="6" borderId="16" xfId="1" applyFont="1" applyFill="1" applyBorder="1" applyAlignment="1">
      <alignment vertical="top" wrapText="1"/>
    </xf>
    <xf numFmtId="0" fontId="3" fillId="6" borderId="44" xfId="0" applyFont="1" applyFill="1" applyBorder="1" applyAlignment="1">
      <alignment horizontal="left" vertical="top" wrapText="1"/>
    </xf>
    <xf numFmtId="164" fontId="5" fillId="6" borderId="100" xfId="0" applyNumberFormat="1" applyFont="1" applyFill="1" applyBorder="1" applyAlignment="1">
      <alignment horizontal="right" vertical="top"/>
    </xf>
    <xf numFmtId="164" fontId="3" fillId="6" borderId="93" xfId="0" applyNumberFormat="1" applyFont="1" applyFill="1" applyBorder="1" applyAlignment="1">
      <alignment horizontal="right" vertical="top"/>
    </xf>
    <xf numFmtId="0" fontId="3" fillId="6" borderId="24" xfId="0" applyFont="1" applyFill="1" applyBorder="1" applyAlignment="1">
      <alignment horizontal="center" vertical="top"/>
    </xf>
    <xf numFmtId="0" fontId="3" fillId="0" borderId="111" xfId="0" applyFont="1" applyFill="1" applyBorder="1" applyAlignment="1">
      <alignment horizontal="center" vertical="top" wrapText="1"/>
    </xf>
    <xf numFmtId="3" fontId="3" fillId="0" borderId="108" xfId="0" applyNumberFormat="1" applyFont="1" applyFill="1" applyBorder="1" applyAlignment="1">
      <alignment horizontal="center" vertical="top" wrapText="1"/>
    </xf>
    <xf numFmtId="0" fontId="3" fillId="0" borderId="80" xfId="0" applyNumberFormat="1" applyFont="1" applyBorder="1" applyAlignment="1">
      <alignment horizontal="center" vertical="top"/>
    </xf>
    <xf numFmtId="3" fontId="3" fillId="0" borderId="97" xfId="0" applyNumberFormat="1" applyFont="1" applyFill="1" applyBorder="1" applyAlignment="1">
      <alignment horizontal="center" vertical="top" wrapText="1"/>
    </xf>
    <xf numFmtId="3" fontId="3" fillId="0" borderId="98" xfId="0" applyNumberFormat="1" applyFont="1" applyFill="1" applyBorder="1" applyAlignment="1">
      <alignment horizontal="center" vertical="top" wrapText="1"/>
    </xf>
    <xf numFmtId="49" fontId="3" fillId="0" borderId="111" xfId="0" applyNumberFormat="1" applyFont="1" applyFill="1" applyBorder="1" applyAlignment="1">
      <alignment horizontal="center" vertical="top"/>
    </xf>
    <xf numFmtId="164" fontId="3" fillId="6" borderId="104" xfId="0" applyNumberFormat="1" applyFont="1" applyFill="1" applyBorder="1" applyAlignment="1">
      <alignment vertical="top"/>
    </xf>
    <xf numFmtId="164" fontId="3" fillId="6" borderId="106" xfId="0" applyNumberFormat="1" applyFont="1" applyFill="1" applyBorder="1" applyAlignment="1">
      <alignment vertical="top"/>
    </xf>
    <xf numFmtId="164" fontId="5" fillId="0" borderId="106" xfId="0" applyNumberFormat="1" applyFont="1" applyFill="1" applyBorder="1" applyAlignment="1">
      <alignment vertical="top"/>
    </xf>
    <xf numFmtId="164" fontId="3" fillId="0" borderId="81" xfId="0" applyNumberFormat="1" applyFont="1" applyFill="1" applyBorder="1" applyAlignment="1">
      <alignment vertical="top"/>
    </xf>
    <xf numFmtId="49" fontId="3" fillId="0" borderId="86" xfId="0" applyNumberFormat="1" applyFont="1" applyFill="1" applyBorder="1" applyAlignment="1">
      <alignment horizontal="center" vertical="top"/>
    </xf>
    <xf numFmtId="164" fontId="3" fillId="6" borderId="90" xfId="0" applyNumberFormat="1" applyFont="1" applyFill="1" applyBorder="1" applyAlignment="1">
      <alignment vertical="top"/>
    </xf>
    <xf numFmtId="164" fontId="3" fillId="6" borderId="88" xfId="0" applyNumberFormat="1" applyFont="1" applyFill="1" applyBorder="1" applyAlignment="1">
      <alignment vertical="top"/>
    </xf>
    <xf numFmtId="164" fontId="5" fillId="0" borderId="88" xfId="0" applyNumberFormat="1" applyFont="1" applyFill="1" applyBorder="1" applyAlignment="1">
      <alignment vertical="top"/>
    </xf>
    <xf numFmtId="164" fontId="3" fillId="0" borderId="80" xfId="0" applyNumberFormat="1" applyFont="1" applyFill="1" applyBorder="1" applyAlignment="1">
      <alignment vertical="top"/>
    </xf>
    <xf numFmtId="3" fontId="5" fillId="0" borderId="29" xfId="0" applyNumberFormat="1" applyFont="1" applyFill="1" applyBorder="1" applyAlignment="1">
      <alignment horizontal="center" vertical="top" wrapText="1"/>
    </xf>
    <xf numFmtId="49" fontId="9" fillId="6" borderId="84" xfId="0" applyNumberFormat="1" applyFont="1" applyFill="1" applyBorder="1" applyAlignment="1">
      <alignment horizontal="center" vertical="top" wrapText="1"/>
    </xf>
    <xf numFmtId="49" fontId="3" fillId="6" borderId="84" xfId="0" applyNumberFormat="1" applyFont="1" applyFill="1" applyBorder="1" applyAlignment="1">
      <alignment horizontal="center" vertical="top" wrapText="1"/>
    </xf>
    <xf numFmtId="49" fontId="3" fillId="6" borderId="92" xfId="0" applyNumberFormat="1" applyFont="1" applyFill="1" applyBorder="1" applyAlignment="1">
      <alignment horizontal="center" vertical="top" wrapText="1"/>
    </xf>
    <xf numFmtId="49" fontId="3" fillId="6" borderId="37" xfId="1" applyNumberFormat="1" applyFont="1" applyFill="1" applyBorder="1" applyAlignment="1">
      <alignment horizontal="center" vertical="center"/>
    </xf>
    <xf numFmtId="49" fontId="9" fillId="6" borderId="92" xfId="0" applyNumberFormat="1" applyFont="1" applyFill="1" applyBorder="1" applyAlignment="1">
      <alignment horizontal="center" vertical="top" wrapText="1"/>
    </xf>
    <xf numFmtId="3" fontId="3" fillId="0" borderId="17" xfId="1" applyNumberFormat="1" applyFont="1" applyFill="1" applyBorder="1" applyAlignment="1">
      <alignment horizontal="center" vertical="top"/>
    </xf>
    <xf numFmtId="0" fontId="7" fillId="0" borderId="77" xfId="0" applyFont="1" applyBorder="1" applyAlignment="1">
      <alignment horizontal="center" vertical="top" wrapText="1"/>
    </xf>
    <xf numFmtId="49" fontId="3" fillId="0" borderId="40" xfId="0" applyNumberFormat="1" applyFont="1" applyFill="1" applyBorder="1" applyAlignment="1">
      <alignment horizontal="center" vertical="top" wrapText="1"/>
    </xf>
    <xf numFmtId="0" fontId="7" fillId="0" borderId="49" xfId="0" applyFont="1" applyBorder="1" applyAlignment="1">
      <alignment horizontal="center" vertical="top" wrapText="1"/>
    </xf>
    <xf numFmtId="49" fontId="3" fillId="0" borderId="95" xfId="0" applyNumberFormat="1" applyFont="1" applyFill="1" applyBorder="1" applyAlignment="1">
      <alignment horizontal="center" vertical="top"/>
    </xf>
    <xf numFmtId="164" fontId="3" fillId="6" borderId="81" xfId="0" applyNumberFormat="1" applyFont="1" applyFill="1" applyBorder="1" applyAlignment="1">
      <alignment horizontal="right" vertical="top"/>
    </xf>
    <xf numFmtId="49" fontId="3" fillId="2" borderId="2" xfId="0" applyNumberFormat="1" applyFont="1" applyFill="1" applyBorder="1" applyAlignment="1">
      <alignment horizontal="center" vertical="top" wrapText="1"/>
    </xf>
    <xf numFmtId="0" fontId="3" fillId="0" borderId="33" xfId="0" applyFont="1" applyBorder="1" applyAlignment="1">
      <alignment horizontal="center" vertical="top"/>
    </xf>
    <xf numFmtId="0" fontId="3" fillId="0" borderId="80" xfId="0" applyFont="1" applyBorder="1" applyAlignment="1">
      <alignment horizontal="center" vertical="top"/>
    </xf>
    <xf numFmtId="3" fontId="3" fillId="6" borderId="19" xfId="0" applyNumberFormat="1" applyFont="1" applyFill="1" applyBorder="1" applyAlignment="1">
      <alignment horizontal="center" vertical="top" wrapText="1"/>
    </xf>
    <xf numFmtId="3" fontId="3" fillId="6" borderId="18" xfId="0" applyNumberFormat="1" applyFont="1" applyFill="1" applyBorder="1" applyAlignment="1">
      <alignment horizontal="center" vertical="top" wrapText="1"/>
    </xf>
    <xf numFmtId="3" fontId="3" fillId="6" borderId="26" xfId="0" applyNumberFormat="1" applyFont="1" applyFill="1" applyBorder="1" applyAlignment="1">
      <alignment horizontal="center" vertical="top" wrapText="1"/>
    </xf>
    <xf numFmtId="3" fontId="3" fillId="6" borderId="27" xfId="0" applyNumberFormat="1" applyFont="1" applyFill="1" applyBorder="1" applyAlignment="1">
      <alignment horizontal="center" vertical="top" wrapText="1"/>
    </xf>
    <xf numFmtId="165" fontId="3" fillId="0" borderId="29" xfId="0" applyNumberFormat="1" applyFont="1" applyFill="1" applyBorder="1" applyAlignment="1">
      <alignment horizontal="center" vertical="top"/>
    </xf>
    <xf numFmtId="3" fontId="3" fillId="6" borderId="28" xfId="0" applyNumberFormat="1" applyFont="1" applyFill="1" applyBorder="1" applyAlignment="1">
      <alignment horizontal="center" vertical="top" wrapText="1"/>
    </xf>
    <xf numFmtId="3" fontId="3" fillId="0" borderId="0" xfId="0" applyNumberFormat="1" applyFont="1" applyAlignment="1">
      <alignment horizontal="center" vertical="top"/>
    </xf>
    <xf numFmtId="0" fontId="3" fillId="0" borderId="104" xfId="0" applyFont="1" applyFill="1" applyBorder="1" applyAlignment="1">
      <alignment horizontal="left" vertical="top" wrapText="1"/>
    </xf>
    <xf numFmtId="49" fontId="3" fillId="6" borderId="19" xfId="0" applyNumberFormat="1" applyFont="1" applyFill="1" applyBorder="1" applyAlignment="1">
      <alignment horizontal="center" vertical="top" wrapText="1"/>
    </xf>
    <xf numFmtId="3" fontId="3" fillId="6" borderId="92" xfId="0" applyNumberFormat="1" applyFont="1" applyFill="1" applyBorder="1" applyAlignment="1">
      <alignment horizontal="center" vertical="top" wrapText="1"/>
    </xf>
    <xf numFmtId="3" fontId="3" fillId="6" borderId="106" xfId="0" applyNumberFormat="1" applyFont="1" applyFill="1" applyBorder="1" applyAlignment="1">
      <alignment horizontal="center" vertical="top" wrapText="1"/>
    </xf>
    <xf numFmtId="3" fontId="3" fillId="2" borderId="106" xfId="0" applyNumberFormat="1" applyFont="1" applyFill="1" applyBorder="1" applyAlignment="1">
      <alignment horizontal="center" vertical="top"/>
    </xf>
    <xf numFmtId="3" fontId="3" fillId="2" borderId="81" xfId="0" applyNumberFormat="1" applyFont="1" applyFill="1" applyBorder="1" applyAlignment="1">
      <alignment horizontal="center" vertical="top"/>
    </xf>
    <xf numFmtId="164" fontId="3" fillId="0" borderId="10" xfId="0" applyNumberFormat="1" applyFont="1" applyBorder="1" applyAlignment="1">
      <alignment horizontal="right" vertical="top"/>
    </xf>
    <xf numFmtId="164" fontId="3" fillId="0" borderId="17" xfId="0" applyNumberFormat="1" applyFont="1" applyBorder="1" applyAlignment="1">
      <alignment horizontal="right" vertical="top"/>
    </xf>
    <xf numFmtId="164" fontId="3" fillId="0" borderId="19" xfId="0" applyNumberFormat="1" applyFont="1" applyBorder="1" applyAlignment="1">
      <alignment horizontal="right" vertical="top"/>
    </xf>
    <xf numFmtId="0" fontId="3" fillId="0" borderId="51" xfId="0" applyFont="1" applyFill="1" applyBorder="1" applyAlignment="1">
      <alignment horizontal="left" vertical="top" wrapText="1"/>
    </xf>
    <xf numFmtId="0" fontId="3" fillId="0" borderId="39" xfId="0" applyFont="1" applyFill="1" applyBorder="1" applyAlignment="1">
      <alignment horizontal="left" vertical="top" wrapText="1"/>
    </xf>
    <xf numFmtId="3" fontId="3" fillId="6" borderId="70" xfId="0" applyNumberFormat="1" applyFont="1" applyFill="1" applyBorder="1" applyAlignment="1">
      <alignment horizontal="right" vertical="top"/>
    </xf>
    <xf numFmtId="164" fontId="18" fillId="2" borderId="19" xfId="0" applyNumberFormat="1" applyFont="1" applyFill="1" applyBorder="1" applyAlignment="1">
      <alignment horizontal="right" vertical="top"/>
    </xf>
    <xf numFmtId="164" fontId="21" fillId="0" borderId="88" xfId="0" applyNumberFormat="1" applyFont="1" applyBorder="1" applyAlignment="1">
      <alignment horizontal="right" vertical="top"/>
    </xf>
    <xf numFmtId="49" fontId="3" fillId="0" borderId="28" xfId="0" applyNumberFormat="1" applyFont="1" applyBorder="1" applyAlignment="1">
      <alignment horizontal="center" vertical="top" wrapText="1"/>
    </xf>
    <xf numFmtId="49" fontId="5" fillId="0" borderId="29"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27" xfId="0" applyNumberFormat="1" applyFont="1" applyBorder="1" applyAlignment="1">
      <alignment horizontal="center" vertical="top"/>
    </xf>
    <xf numFmtId="0" fontId="3" fillId="0" borderId="8" xfId="0" applyFont="1" applyFill="1" applyBorder="1" applyAlignment="1">
      <alignment vertical="top" wrapText="1"/>
    </xf>
    <xf numFmtId="49" fontId="3" fillId="2" borderId="28" xfId="0" applyNumberFormat="1" applyFont="1" applyFill="1" applyBorder="1" applyAlignment="1">
      <alignment horizontal="center" vertical="top" wrapText="1"/>
    </xf>
    <xf numFmtId="49" fontId="3" fillId="2" borderId="17" xfId="0" applyNumberFormat="1" applyFont="1" applyFill="1" applyBorder="1" applyAlignment="1">
      <alignment horizontal="center" vertical="top" wrapText="1"/>
    </xf>
    <xf numFmtId="49" fontId="3" fillId="2" borderId="26" xfId="0" applyNumberFormat="1" applyFont="1" applyFill="1" applyBorder="1" applyAlignment="1">
      <alignment horizontal="center" vertical="top" wrapText="1"/>
    </xf>
    <xf numFmtId="0" fontId="5" fillId="2" borderId="53" xfId="0" applyFont="1" applyFill="1" applyBorder="1" applyAlignment="1">
      <alignment horizontal="center" vertical="top" wrapText="1"/>
    </xf>
    <xf numFmtId="0" fontId="5" fillId="2" borderId="36" xfId="0" applyFont="1" applyFill="1" applyBorder="1" applyAlignment="1">
      <alignment horizontal="center" vertical="top" wrapText="1"/>
    </xf>
    <xf numFmtId="49" fontId="5" fillId="3" borderId="17" xfId="0" applyNumberFormat="1" applyFont="1" applyFill="1" applyBorder="1" applyAlignment="1">
      <alignment horizontal="center" vertical="top" wrapText="1"/>
    </xf>
    <xf numFmtId="49" fontId="5" fillId="0" borderId="17" xfId="0" applyNumberFormat="1" applyFont="1" applyBorder="1" applyAlignment="1">
      <alignment horizontal="center" vertical="top" wrapText="1"/>
    </xf>
    <xf numFmtId="0" fontId="3" fillId="2" borderId="48" xfId="0" applyFont="1" applyFill="1" applyBorder="1" applyAlignment="1">
      <alignment horizontal="left" vertical="top" wrapText="1"/>
    </xf>
    <xf numFmtId="49" fontId="5" fillId="3" borderId="28" xfId="0" applyNumberFormat="1" applyFont="1" applyFill="1" applyBorder="1" applyAlignment="1">
      <alignment horizontal="center" vertical="top"/>
    </xf>
    <xf numFmtId="49" fontId="5" fillId="3" borderId="17"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0" borderId="28" xfId="0" applyNumberFormat="1" applyFont="1" applyBorder="1" applyAlignment="1">
      <alignment horizontal="center"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49" fontId="5" fillId="3" borderId="28" xfId="0" applyNumberFormat="1" applyFont="1" applyFill="1" applyBorder="1" applyAlignment="1">
      <alignment horizontal="center" vertical="top" wrapText="1"/>
    </xf>
    <xf numFmtId="0" fontId="3" fillId="0" borderId="77" xfId="0" applyFont="1" applyFill="1" applyBorder="1" applyAlignment="1">
      <alignment horizontal="center" vertical="center" textRotation="90" wrapText="1"/>
    </xf>
    <xf numFmtId="49" fontId="3" fillId="0" borderId="47" xfId="0" applyNumberFormat="1" applyFont="1" applyBorder="1" applyAlignment="1">
      <alignment horizontal="center" vertical="top" wrapText="1"/>
    </xf>
    <xf numFmtId="49" fontId="3" fillId="0" borderId="50" xfId="0" applyNumberFormat="1" applyFont="1" applyBorder="1" applyAlignment="1">
      <alignment horizontal="center" vertical="top" wrapText="1"/>
    </xf>
    <xf numFmtId="3" fontId="3" fillId="0" borderId="28" xfId="0" applyNumberFormat="1" applyFont="1" applyFill="1" applyBorder="1" applyAlignment="1">
      <alignment horizontal="center" vertical="top"/>
    </xf>
    <xf numFmtId="3" fontId="3" fillId="0" borderId="26" xfId="0" applyNumberFormat="1" applyFont="1" applyFill="1" applyBorder="1" applyAlignment="1">
      <alignment horizontal="center" vertical="top"/>
    </xf>
    <xf numFmtId="3" fontId="3" fillId="0" borderId="29"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49" fontId="5" fillId="0" borderId="28" xfId="0" applyNumberFormat="1" applyFont="1" applyBorder="1" applyAlignment="1">
      <alignment horizontal="center" vertical="top"/>
    </xf>
    <xf numFmtId="49" fontId="5" fillId="0" borderId="17" xfId="0" applyNumberFormat="1" applyFont="1" applyBorder="1" applyAlignment="1">
      <alignment horizontal="center" vertical="top"/>
    </xf>
    <xf numFmtId="0" fontId="3" fillId="0" borderId="77" xfId="0" applyFont="1" applyFill="1" applyBorder="1" applyAlignment="1">
      <alignment horizontal="center" vertical="top" textRotation="90" wrapText="1"/>
    </xf>
    <xf numFmtId="0" fontId="3" fillId="0" borderId="40" xfId="0" applyFont="1" applyFill="1" applyBorder="1" applyAlignment="1">
      <alignment horizontal="center" vertical="top" textRotation="90" wrapText="1"/>
    </xf>
    <xf numFmtId="165" fontId="9" fillId="0" borderId="28" xfId="0" applyNumberFormat="1" applyFont="1" applyFill="1" applyBorder="1" applyAlignment="1">
      <alignment horizontal="center" vertical="top"/>
    </xf>
    <xf numFmtId="165" fontId="9" fillId="0" borderId="17" xfId="0" applyNumberFormat="1" applyFont="1" applyFill="1" applyBorder="1" applyAlignment="1">
      <alignment horizontal="center" vertical="top"/>
    </xf>
    <xf numFmtId="49" fontId="3" fillId="0" borderId="17" xfId="0" applyNumberFormat="1" applyFont="1" applyBorder="1" applyAlignment="1">
      <alignment horizontal="center" vertical="top"/>
    </xf>
    <xf numFmtId="0" fontId="3" fillId="0" borderId="10" xfId="1" applyFont="1" applyFill="1" applyBorder="1" applyAlignment="1">
      <alignment vertical="top" wrapText="1"/>
    </xf>
    <xf numFmtId="49" fontId="3" fillId="0" borderId="32" xfId="0" applyNumberFormat="1" applyFont="1" applyBorder="1" applyAlignment="1">
      <alignment horizontal="center" vertical="top" wrapText="1"/>
    </xf>
    <xf numFmtId="49" fontId="5" fillId="0" borderId="33" xfId="0" applyNumberFormat="1" applyFont="1" applyBorder="1" applyAlignment="1">
      <alignment horizontal="center" vertical="top"/>
    </xf>
    <xf numFmtId="49" fontId="5" fillId="3" borderId="50" xfId="0" applyNumberFormat="1" applyFont="1" applyFill="1" applyBorder="1" applyAlignment="1">
      <alignment horizontal="center" vertical="top"/>
    </xf>
    <xf numFmtId="0" fontId="5" fillId="0" borderId="31" xfId="0" applyFont="1" applyFill="1" applyBorder="1" applyAlignment="1">
      <alignment horizontal="center" vertical="top" wrapText="1"/>
    </xf>
    <xf numFmtId="49" fontId="5" fillId="3" borderId="62" xfId="0" applyNumberFormat="1" applyFont="1" applyFill="1" applyBorder="1" applyAlignment="1">
      <alignment horizontal="center" vertical="top"/>
    </xf>
    <xf numFmtId="49" fontId="5" fillId="0" borderId="28" xfId="0" applyNumberFormat="1" applyFont="1" applyFill="1" applyBorder="1" applyAlignment="1">
      <alignment horizontal="center" vertical="top"/>
    </xf>
    <xf numFmtId="0" fontId="3" fillId="0" borderId="8" xfId="0" applyFont="1" applyFill="1" applyBorder="1" applyAlignment="1">
      <alignment horizontal="center" vertical="center" textRotation="90" wrapText="1"/>
    </xf>
    <xf numFmtId="0" fontId="3" fillId="0" borderId="10" xfId="0" applyFont="1" applyFill="1" applyBorder="1" applyAlignment="1">
      <alignment horizontal="center" vertical="center" textRotation="90" wrapText="1"/>
    </xf>
    <xf numFmtId="49" fontId="3" fillId="0" borderId="28" xfId="0" applyNumberFormat="1" applyFont="1" applyBorder="1" applyAlignment="1">
      <alignment horizontal="center" vertical="top"/>
    </xf>
    <xf numFmtId="3" fontId="3" fillId="0" borderId="17" xfId="0" applyNumberFormat="1" applyFont="1" applyFill="1" applyBorder="1" applyAlignment="1">
      <alignment horizontal="center" vertical="top" wrapText="1"/>
    </xf>
    <xf numFmtId="3" fontId="3" fillId="0" borderId="19" xfId="0" applyNumberFormat="1" applyFont="1" applyFill="1" applyBorder="1" applyAlignment="1">
      <alignment horizontal="center" vertical="top" wrapText="1"/>
    </xf>
    <xf numFmtId="0" fontId="3" fillId="2" borderId="33" xfId="0" applyFont="1" applyFill="1" applyBorder="1" applyAlignment="1">
      <alignment horizontal="left" vertical="top" wrapText="1"/>
    </xf>
    <xf numFmtId="165" fontId="3" fillId="0" borderId="19" xfId="0" applyNumberFormat="1" applyFont="1" applyFill="1" applyBorder="1" applyAlignment="1">
      <alignment horizontal="center" vertical="top" wrapText="1"/>
    </xf>
    <xf numFmtId="0" fontId="3" fillId="2" borderId="1" xfId="0" applyFont="1" applyFill="1" applyBorder="1" applyAlignment="1">
      <alignment horizontal="left" vertical="top" wrapText="1"/>
    </xf>
    <xf numFmtId="0" fontId="3" fillId="0" borderId="45" xfId="0" applyFont="1" applyFill="1" applyBorder="1" applyAlignment="1">
      <alignment horizontal="left" vertical="top" wrapText="1"/>
    </xf>
    <xf numFmtId="165" fontId="3" fillId="0" borderId="17" xfId="0" applyNumberFormat="1" applyFont="1" applyFill="1" applyBorder="1" applyAlignment="1">
      <alignment horizontal="center" vertical="top" wrapText="1"/>
    </xf>
    <xf numFmtId="0" fontId="14" fillId="0" borderId="29"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31" xfId="0" applyFont="1" applyFill="1" applyBorder="1" applyAlignment="1">
      <alignment horizontal="center" vertical="center" textRotation="90" wrapText="1"/>
    </xf>
    <xf numFmtId="49" fontId="3" fillId="0" borderId="34" xfId="0" applyNumberFormat="1" applyFont="1" applyBorder="1" applyAlignment="1">
      <alignment horizontal="center" vertical="top"/>
    </xf>
    <xf numFmtId="0" fontId="3" fillId="0" borderId="45" xfId="0" applyFont="1" applyFill="1" applyBorder="1" applyAlignment="1">
      <alignment horizontal="center" vertical="center" textRotation="90" wrapText="1"/>
    </xf>
    <xf numFmtId="49" fontId="3" fillId="0" borderId="21" xfId="0" applyNumberFormat="1" applyFont="1" applyBorder="1" applyAlignment="1">
      <alignment horizontal="center" vertical="top"/>
    </xf>
    <xf numFmtId="49" fontId="5" fillId="0" borderId="1" xfId="0" applyNumberFormat="1" applyFont="1" applyBorder="1" applyAlignment="1">
      <alignment horizontal="center" vertical="top"/>
    </xf>
    <xf numFmtId="3" fontId="3" fillId="0" borderId="34" xfId="0" applyNumberFormat="1" applyFont="1" applyFill="1" applyBorder="1" applyAlignment="1">
      <alignment horizontal="center" vertical="top" wrapText="1"/>
    </xf>
    <xf numFmtId="3" fontId="3" fillId="0" borderId="33" xfId="0" applyNumberFormat="1" applyFont="1" applyFill="1" applyBorder="1" applyAlignment="1">
      <alignment horizontal="center" vertical="top" wrapText="1"/>
    </xf>
    <xf numFmtId="49" fontId="3" fillId="0" borderId="48" xfId="0" applyNumberFormat="1" applyFont="1" applyBorder="1" applyAlignment="1">
      <alignment horizontal="center" vertical="top" wrapText="1"/>
    </xf>
    <xf numFmtId="0" fontId="3" fillId="0" borderId="70" xfId="0" applyFont="1" applyFill="1" applyBorder="1" applyAlignment="1">
      <alignment horizontal="center" vertical="center" textRotation="90" wrapText="1"/>
    </xf>
    <xf numFmtId="49" fontId="5" fillId="11" borderId="10" xfId="0" applyNumberFormat="1" applyFont="1" applyFill="1" applyBorder="1" applyAlignment="1">
      <alignment horizontal="center" vertical="top" wrapText="1"/>
    </xf>
    <xf numFmtId="49" fontId="5" fillId="11" borderId="10" xfId="0" applyNumberFormat="1" applyFont="1" applyFill="1" applyBorder="1" applyAlignment="1">
      <alignment horizontal="center" vertical="top"/>
    </xf>
    <xf numFmtId="49" fontId="5" fillId="11" borderId="11" xfId="0" applyNumberFormat="1" applyFont="1" applyFill="1" applyBorder="1" applyAlignment="1">
      <alignment horizontal="center" vertical="top"/>
    </xf>
    <xf numFmtId="49" fontId="5" fillId="11" borderId="8" xfId="0" applyNumberFormat="1" applyFont="1" applyFill="1" applyBorder="1" applyAlignment="1">
      <alignment horizontal="center" vertical="top"/>
    </xf>
    <xf numFmtId="0" fontId="3" fillId="6" borderId="19" xfId="0" applyFont="1" applyFill="1" applyBorder="1" applyAlignment="1">
      <alignment horizontal="left" vertical="top" wrapText="1"/>
    </xf>
    <xf numFmtId="0" fontId="22" fillId="0" borderId="10" xfId="0" applyFont="1" applyFill="1" applyBorder="1" applyAlignment="1">
      <alignment horizontal="center" vertical="center" textRotation="90" wrapText="1"/>
    </xf>
    <xf numFmtId="0" fontId="3" fillId="6" borderId="32" xfId="0" applyFont="1" applyFill="1" applyBorder="1" applyAlignment="1">
      <alignment horizontal="left" vertical="top" wrapText="1"/>
    </xf>
    <xf numFmtId="0" fontId="3" fillId="6" borderId="37" xfId="0" applyFont="1" applyFill="1" applyBorder="1" applyAlignment="1">
      <alignment horizontal="left" vertical="top" wrapText="1"/>
    </xf>
    <xf numFmtId="3" fontId="3" fillId="6" borderId="0" xfId="0" applyNumberFormat="1" applyFont="1" applyFill="1" applyAlignment="1">
      <alignment vertical="top"/>
    </xf>
    <xf numFmtId="164" fontId="3" fillId="0" borderId="10" xfId="0" applyNumberFormat="1" applyFont="1" applyFill="1" applyBorder="1" applyAlignment="1">
      <alignment horizontal="right" vertical="top"/>
    </xf>
    <xf numFmtId="164" fontId="3" fillId="0" borderId="17" xfId="0" applyNumberFormat="1" applyFont="1" applyFill="1" applyBorder="1" applyAlignment="1">
      <alignment horizontal="right" vertical="top"/>
    </xf>
    <xf numFmtId="164" fontId="3" fillId="0" borderId="19" xfId="0" applyNumberFormat="1" applyFont="1" applyFill="1" applyBorder="1" applyAlignment="1">
      <alignment horizontal="right" vertical="top"/>
    </xf>
    <xf numFmtId="49" fontId="5" fillId="10" borderId="17" xfId="0" applyNumberFormat="1" applyFont="1" applyFill="1" applyBorder="1" applyAlignment="1">
      <alignment horizontal="center" vertical="top"/>
    </xf>
    <xf numFmtId="49" fontId="5" fillId="0" borderId="39" xfId="0" applyNumberFormat="1" applyFont="1" applyBorder="1" applyAlignment="1">
      <alignment horizontal="center" vertical="top"/>
    </xf>
    <xf numFmtId="49" fontId="5" fillId="0" borderId="38" xfId="0" applyNumberFormat="1" applyFont="1" applyBorder="1" applyAlignment="1">
      <alignment horizontal="center" vertical="top"/>
    </xf>
    <xf numFmtId="0" fontId="3" fillId="2" borderId="37" xfId="0" applyFont="1" applyFill="1" applyBorder="1" applyAlignment="1">
      <alignment horizontal="left" vertical="top" wrapText="1"/>
    </xf>
    <xf numFmtId="49" fontId="3" fillId="0" borderId="6" xfId="0" applyNumberFormat="1" applyFont="1" applyBorder="1" applyAlignment="1">
      <alignment horizontal="center" vertical="center" wrapText="1"/>
    </xf>
    <xf numFmtId="49" fontId="3" fillId="2" borderId="42" xfId="0" applyNumberFormat="1" applyFont="1" applyFill="1" applyBorder="1" applyAlignment="1">
      <alignment horizontal="center" vertical="top" wrapText="1"/>
    </xf>
    <xf numFmtId="0" fontId="3" fillId="2" borderId="1" xfId="0" applyFont="1" applyFill="1" applyBorder="1" applyAlignment="1">
      <alignment vertical="top" wrapText="1"/>
    </xf>
    <xf numFmtId="49" fontId="5" fillId="0" borderId="0" xfId="0" applyNumberFormat="1" applyFont="1" applyBorder="1" applyAlignment="1">
      <alignment horizontal="center" vertical="top"/>
    </xf>
    <xf numFmtId="49" fontId="5" fillId="0" borderId="21" xfId="0" applyNumberFormat="1" applyFont="1" applyBorder="1" applyAlignment="1">
      <alignment horizontal="center" vertical="top"/>
    </xf>
    <xf numFmtId="49" fontId="5" fillId="0" borderId="34" xfId="0" applyNumberFormat="1" applyFont="1" applyBorder="1" applyAlignment="1">
      <alignment horizontal="center" vertical="top"/>
    </xf>
    <xf numFmtId="0" fontId="3" fillId="6" borderId="33" xfId="0" applyFont="1" applyFill="1" applyBorder="1" applyAlignment="1">
      <alignment horizontal="left" vertical="top" wrapText="1"/>
    </xf>
    <xf numFmtId="49" fontId="3" fillId="0" borderId="9" xfId="0" applyNumberFormat="1" applyFont="1" applyBorder="1" applyAlignment="1">
      <alignment horizontal="center" vertical="top" wrapText="1"/>
    </xf>
    <xf numFmtId="0" fontId="7" fillId="0" borderId="40" xfId="0" applyFont="1" applyBorder="1" applyAlignment="1">
      <alignment horizontal="center" vertical="top" wrapText="1"/>
    </xf>
    <xf numFmtId="0" fontId="3" fillId="6" borderId="1" xfId="0" applyFont="1" applyFill="1" applyBorder="1" applyAlignment="1">
      <alignment vertical="top" wrapText="1"/>
    </xf>
    <xf numFmtId="0" fontId="3" fillId="6" borderId="92" xfId="0" applyFont="1" applyFill="1" applyBorder="1" applyAlignment="1">
      <alignment horizontal="left" vertical="top" wrapText="1"/>
    </xf>
    <xf numFmtId="49" fontId="3" fillId="0" borderId="39" xfId="0" applyNumberFormat="1" applyFont="1" applyBorder="1" applyAlignment="1">
      <alignment horizontal="center" vertical="top"/>
    </xf>
    <xf numFmtId="0" fontId="0" fillId="0" borderId="0" xfId="0" applyBorder="1" applyAlignment="1">
      <alignment horizontal="center" vertical="top" wrapText="1"/>
    </xf>
    <xf numFmtId="49" fontId="5" fillId="11" borderId="17" xfId="0" applyNumberFormat="1" applyFont="1" applyFill="1" applyBorder="1" applyAlignment="1">
      <alignment horizontal="center" vertical="top"/>
    </xf>
    <xf numFmtId="49" fontId="5" fillId="0" borderId="2" xfId="0" applyNumberFormat="1" applyFont="1" applyBorder="1" applyAlignment="1">
      <alignment horizontal="center" vertical="top"/>
    </xf>
    <xf numFmtId="49" fontId="3" fillId="0" borderId="34" xfId="0" applyNumberFormat="1" applyFont="1" applyBorder="1" applyAlignment="1">
      <alignment horizontal="center" vertical="top" wrapText="1"/>
    </xf>
    <xf numFmtId="0" fontId="3" fillId="0" borderId="16" xfId="0" applyFont="1" applyFill="1" applyBorder="1" applyAlignment="1">
      <alignment horizontal="center" vertical="center" textRotation="90" wrapText="1"/>
    </xf>
    <xf numFmtId="0" fontId="3" fillId="6" borderId="43" xfId="0" applyFont="1" applyFill="1" applyBorder="1" applyAlignment="1">
      <alignment horizontal="left" vertical="top" wrapText="1"/>
    </xf>
    <xf numFmtId="49" fontId="3" fillId="0" borderId="2" xfId="0" applyNumberFormat="1" applyFont="1" applyBorder="1" applyAlignment="1">
      <alignment horizontal="center" vertical="top"/>
    </xf>
    <xf numFmtId="49" fontId="5" fillId="0" borderId="18" xfId="0" applyNumberFormat="1" applyFont="1" applyBorder="1" applyAlignment="1">
      <alignment horizontal="center" vertical="top"/>
    </xf>
    <xf numFmtId="49" fontId="3" fillId="0" borderId="0" xfId="0" applyNumberFormat="1" applyFont="1" applyFill="1" applyBorder="1" applyAlignment="1">
      <alignment horizontal="center" vertical="top" wrapText="1"/>
    </xf>
    <xf numFmtId="49" fontId="3" fillId="0" borderId="9" xfId="0" applyNumberFormat="1" applyFont="1" applyFill="1" applyBorder="1" applyAlignment="1">
      <alignment horizontal="center" vertical="top" wrapText="1"/>
    </xf>
    <xf numFmtId="49" fontId="3" fillId="0" borderId="44" xfId="0" applyNumberFormat="1" applyFont="1" applyBorder="1" applyAlignment="1">
      <alignment horizontal="center" vertical="center" wrapText="1"/>
    </xf>
    <xf numFmtId="0" fontId="7" fillId="0" borderId="70" xfId="0" applyFont="1" applyBorder="1" applyAlignment="1">
      <alignment horizontal="center" vertical="top" wrapText="1"/>
    </xf>
    <xf numFmtId="0" fontId="3" fillId="0" borderId="45" xfId="0" applyFont="1" applyFill="1" applyBorder="1" applyAlignment="1">
      <alignment horizontal="left" vertical="top" wrapText="1"/>
    </xf>
    <xf numFmtId="0" fontId="3" fillId="0" borderId="31" xfId="0" applyFont="1" applyFill="1" applyBorder="1" applyAlignment="1">
      <alignment horizontal="left" vertical="top" wrapText="1"/>
    </xf>
    <xf numFmtId="3" fontId="3" fillId="0" borderId="34" xfId="0" applyNumberFormat="1" applyFont="1" applyFill="1" applyBorder="1" applyAlignment="1">
      <alignment horizontal="center" vertical="top" wrapText="1"/>
    </xf>
    <xf numFmtId="3" fontId="3" fillId="0" borderId="33" xfId="0" applyNumberFormat="1" applyFont="1" applyFill="1" applyBorder="1" applyAlignment="1">
      <alignment horizontal="center" vertical="top" wrapText="1"/>
    </xf>
    <xf numFmtId="165" fontId="3" fillId="0" borderId="19" xfId="0" applyNumberFormat="1" applyFont="1" applyFill="1" applyBorder="1" applyAlignment="1">
      <alignment horizontal="center" vertical="top" wrapText="1"/>
    </xf>
    <xf numFmtId="165" fontId="3" fillId="0" borderId="17" xfId="0" applyNumberFormat="1" applyFont="1" applyFill="1" applyBorder="1" applyAlignment="1">
      <alignment horizontal="center" vertical="top" wrapText="1"/>
    </xf>
    <xf numFmtId="164" fontId="18" fillId="8" borderId="38" xfId="0" applyNumberFormat="1" applyFont="1" applyFill="1" applyBorder="1" applyAlignment="1">
      <alignment horizontal="right" vertical="top"/>
    </xf>
    <xf numFmtId="164" fontId="3" fillId="0" borderId="23" xfId="0" applyNumberFormat="1" applyFont="1" applyFill="1" applyBorder="1" applyAlignment="1">
      <alignment horizontal="right" vertical="top" wrapText="1"/>
    </xf>
    <xf numFmtId="0" fontId="3" fillId="2" borderId="38" xfId="0" applyFont="1" applyFill="1" applyBorder="1" applyAlignment="1">
      <alignment horizontal="left" vertical="top" wrapText="1"/>
    </xf>
    <xf numFmtId="4" fontId="3" fillId="2" borderId="2" xfId="0" applyNumberFormat="1" applyFont="1" applyFill="1" applyBorder="1" applyAlignment="1">
      <alignment horizontal="center" vertical="top"/>
    </xf>
    <xf numFmtId="4" fontId="3" fillId="2" borderId="18" xfId="0" applyNumberFormat="1" applyFont="1" applyFill="1" applyBorder="1" applyAlignment="1">
      <alignment horizontal="center" vertical="top"/>
    </xf>
    <xf numFmtId="164" fontId="18" fillId="8" borderId="51" xfId="0" applyNumberFormat="1" applyFont="1" applyFill="1" applyBorder="1" applyAlignment="1">
      <alignment horizontal="right" vertical="top"/>
    </xf>
    <xf numFmtId="164" fontId="3" fillId="6" borderId="23" xfId="0" applyNumberFormat="1" applyFont="1" applyFill="1" applyBorder="1" applyAlignment="1">
      <alignment horizontal="right" vertical="top" wrapText="1"/>
    </xf>
    <xf numFmtId="164" fontId="18" fillId="8" borderId="100" xfId="0" applyNumberFormat="1" applyFont="1" applyFill="1" applyBorder="1" applyAlignment="1">
      <alignment horizontal="right" vertical="top"/>
    </xf>
    <xf numFmtId="164" fontId="3" fillId="8" borderId="84" xfId="0" applyNumberFormat="1" applyFont="1" applyFill="1" applyBorder="1" applyAlignment="1">
      <alignment horizontal="right" vertical="top"/>
    </xf>
    <xf numFmtId="164" fontId="3" fillId="8" borderId="85" xfId="0" applyNumberFormat="1" applyFont="1" applyFill="1" applyBorder="1" applyAlignment="1">
      <alignment horizontal="right" vertical="top"/>
    </xf>
    <xf numFmtId="164" fontId="3" fillId="0" borderId="51" xfId="0" applyNumberFormat="1" applyFont="1" applyBorder="1" applyAlignment="1">
      <alignment horizontal="right" vertical="top"/>
    </xf>
    <xf numFmtId="164" fontId="18" fillId="8" borderId="39" xfId="0" applyNumberFormat="1" applyFont="1" applyFill="1" applyBorder="1" applyAlignment="1">
      <alignment horizontal="right" vertical="top"/>
    </xf>
    <xf numFmtId="164" fontId="3" fillId="2" borderId="6" xfId="0" applyNumberFormat="1" applyFont="1" applyFill="1" applyBorder="1" applyAlignment="1">
      <alignment horizontal="right" vertical="top" wrapText="1"/>
    </xf>
    <xf numFmtId="0" fontId="3" fillId="6" borderId="100" xfId="0" applyFont="1" applyFill="1" applyBorder="1" applyAlignment="1">
      <alignment horizontal="left" vertical="top" wrapText="1"/>
    </xf>
    <xf numFmtId="164" fontId="3" fillId="0" borderId="83" xfId="0" applyNumberFormat="1" applyFont="1" applyBorder="1" applyAlignment="1">
      <alignment horizontal="right" vertical="top"/>
    </xf>
    <xf numFmtId="164" fontId="18" fillId="0" borderId="93" xfId="0" applyNumberFormat="1" applyFont="1" applyBorder="1" applyAlignment="1">
      <alignment horizontal="right" vertical="top"/>
    </xf>
    <xf numFmtId="164" fontId="18" fillId="0" borderId="82" xfId="0" applyNumberFormat="1" applyFont="1" applyBorder="1" applyAlignment="1">
      <alignment horizontal="right" vertical="top"/>
    </xf>
    <xf numFmtId="0" fontId="3" fillId="0" borderId="100" xfId="0" applyFont="1" applyFill="1" applyBorder="1" applyAlignment="1">
      <alignment vertical="top" wrapText="1"/>
    </xf>
    <xf numFmtId="164" fontId="3" fillId="2" borderId="82" xfId="0" applyNumberFormat="1" applyFont="1" applyFill="1" applyBorder="1" applyAlignment="1">
      <alignment horizontal="right" vertical="top" wrapText="1"/>
    </xf>
    <xf numFmtId="164" fontId="3" fillId="0" borderId="94" xfId="0" applyNumberFormat="1" applyFont="1" applyFill="1" applyBorder="1" applyAlignment="1">
      <alignment horizontal="right" vertical="top"/>
    </xf>
    <xf numFmtId="164" fontId="3" fillId="0" borderId="82" xfId="0" applyNumberFormat="1" applyFont="1" applyFill="1" applyBorder="1" applyAlignment="1">
      <alignment horizontal="right" vertical="top"/>
    </xf>
    <xf numFmtId="0" fontId="3" fillId="0" borderId="20" xfId="0" applyFont="1" applyBorder="1" applyAlignment="1">
      <alignment vertical="top"/>
    </xf>
    <xf numFmtId="0" fontId="3" fillId="0" borderId="34" xfId="0" applyFont="1" applyBorder="1" applyAlignment="1">
      <alignment vertical="top"/>
    </xf>
    <xf numFmtId="0" fontId="3" fillId="0" borderId="33" xfId="0" applyFont="1" applyBorder="1" applyAlignment="1">
      <alignment vertical="top"/>
    </xf>
    <xf numFmtId="164" fontId="18" fillId="8" borderId="87" xfId="0" applyNumberFormat="1" applyFont="1" applyFill="1" applyBorder="1" applyAlignment="1">
      <alignment horizontal="right" vertical="top"/>
    </xf>
    <xf numFmtId="164" fontId="3" fillId="8" borderId="88" xfId="0" applyNumberFormat="1" applyFont="1" applyFill="1" applyBorder="1" applyAlignment="1">
      <alignment horizontal="right" vertical="top"/>
    </xf>
    <xf numFmtId="164" fontId="5" fillId="8" borderId="88" xfId="0" applyNumberFormat="1" applyFont="1" applyFill="1" applyBorder="1" applyAlignment="1">
      <alignment horizontal="right" vertical="top"/>
    </xf>
    <xf numFmtId="164" fontId="3" fillId="8" borderId="89" xfId="0" applyNumberFormat="1" applyFont="1" applyFill="1" applyBorder="1" applyAlignment="1">
      <alignment horizontal="right" vertical="top"/>
    </xf>
    <xf numFmtId="164" fontId="3" fillId="2" borderId="23" xfId="0" applyNumberFormat="1" applyFont="1" applyFill="1" applyBorder="1" applyAlignment="1">
      <alignment horizontal="right" vertical="top"/>
    </xf>
    <xf numFmtId="164" fontId="5" fillId="2" borderId="23" xfId="0" applyNumberFormat="1" applyFont="1" applyFill="1" applyBorder="1" applyAlignment="1">
      <alignment horizontal="right" vertical="top"/>
    </xf>
    <xf numFmtId="0" fontId="3" fillId="0" borderId="87" xfId="0" applyFont="1" applyBorder="1" applyAlignment="1">
      <alignment vertical="top"/>
    </xf>
    <xf numFmtId="0" fontId="3" fillId="0" borderId="88" xfId="0" applyFont="1" applyBorder="1" applyAlignment="1">
      <alignment vertical="top"/>
    </xf>
    <xf numFmtId="0" fontId="3" fillId="0" borderId="80" xfId="0" applyFont="1" applyBorder="1" applyAlignment="1">
      <alignment vertical="top"/>
    </xf>
    <xf numFmtId="164" fontId="3" fillId="6" borderId="51" xfId="0" applyNumberFormat="1" applyFont="1" applyFill="1" applyBorder="1" applyAlignment="1">
      <alignment horizontal="right" vertical="top"/>
    </xf>
    <xf numFmtId="0" fontId="3" fillId="6" borderId="119" xfId="0" applyFont="1" applyFill="1" applyBorder="1" applyAlignment="1">
      <alignment horizontal="left" vertical="top" wrapText="1"/>
    </xf>
    <xf numFmtId="3" fontId="3" fillId="0" borderId="106" xfId="0" applyNumberFormat="1" applyFont="1" applyFill="1" applyBorder="1" applyAlignment="1">
      <alignment vertical="top" wrapText="1"/>
    </xf>
    <xf numFmtId="3" fontId="3" fillId="0" borderId="81" xfId="0" applyNumberFormat="1" applyFont="1" applyFill="1" applyBorder="1" applyAlignment="1">
      <alignment vertical="top" wrapText="1"/>
    </xf>
    <xf numFmtId="164" fontId="5" fillId="6" borderId="83" xfId="0" applyNumberFormat="1" applyFont="1" applyFill="1" applyBorder="1" applyAlignment="1">
      <alignment horizontal="right" vertical="top"/>
    </xf>
    <xf numFmtId="164" fontId="5" fillId="6" borderId="84" xfId="0" applyNumberFormat="1" applyFont="1" applyFill="1" applyBorder="1" applyAlignment="1">
      <alignment horizontal="right" vertical="top"/>
    </xf>
    <xf numFmtId="164" fontId="5" fillId="6" borderId="92" xfId="0" applyNumberFormat="1" applyFont="1" applyFill="1" applyBorder="1" applyAlignment="1">
      <alignment horizontal="right" vertical="top"/>
    </xf>
    <xf numFmtId="164" fontId="5" fillId="8" borderId="84" xfId="0" applyNumberFormat="1" applyFont="1" applyFill="1" applyBorder="1" applyAlignment="1">
      <alignment horizontal="right" vertical="top"/>
    </xf>
    <xf numFmtId="164" fontId="5" fillId="8" borderId="85" xfId="0" applyNumberFormat="1" applyFont="1" applyFill="1" applyBorder="1" applyAlignment="1">
      <alignment horizontal="right" vertical="top"/>
    </xf>
    <xf numFmtId="164" fontId="3" fillId="2" borderId="82" xfId="0" applyNumberFormat="1" applyFont="1" applyFill="1" applyBorder="1" applyAlignment="1">
      <alignment horizontal="right" vertical="top"/>
    </xf>
    <xf numFmtId="164" fontId="5" fillId="2" borderId="82" xfId="0" applyNumberFormat="1" applyFont="1" applyFill="1" applyBorder="1" applyAlignment="1">
      <alignment horizontal="right" vertical="top"/>
    </xf>
    <xf numFmtId="0" fontId="3" fillId="0" borderId="100" xfId="0" applyFont="1" applyBorder="1" applyAlignment="1">
      <alignment horizontal="left" vertical="top" wrapText="1"/>
    </xf>
    <xf numFmtId="3" fontId="3" fillId="0" borderId="84" xfId="0" applyNumberFormat="1" applyFont="1" applyFill="1" applyBorder="1" applyAlignment="1">
      <alignment vertical="top" wrapText="1"/>
    </xf>
    <xf numFmtId="3" fontId="3" fillId="0" borderId="92" xfId="0" applyNumberFormat="1" applyFont="1" applyFill="1" applyBorder="1" applyAlignment="1">
      <alignment vertical="top" wrapText="1"/>
    </xf>
    <xf numFmtId="164" fontId="18" fillId="8" borderId="93" xfId="0" applyNumberFormat="1" applyFont="1" applyFill="1" applyBorder="1" applyAlignment="1">
      <alignment horizontal="right" vertical="top"/>
    </xf>
    <xf numFmtId="164" fontId="5" fillId="8" borderId="93" xfId="0" applyNumberFormat="1" applyFont="1" applyFill="1" applyBorder="1" applyAlignment="1">
      <alignment horizontal="right" vertical="top"/>
    </xf>
    <xf numFmtId="164" fontId="5" fillId="6" borderId="20" xfId="0" applyNumberFormat="1" applyFont="1" applyFill="1" applyBorder="1" applyAlignment="1">
      <alignment horizontal="right" vertical="top"/>
    </xf>
    <xf numFmtId="164" fontId="5" fillId="6" borderId="34" xfId="0" applyNumberFormat="1" applyFont="1" applyFill="1" applyBorder="1" applyAlignment="1">
      <alignment horizontal="right" vertical="top"/>
    </xf>
    <xf numFmtId="164" fontId="5" fillId="6" borderId="33" xfId="0" applyNumberFormat="1" applyFont="1" applyFill="1" applyBorder="1" applyAlignment="1">
      <alignment horizontal="right" vertical="top"/>
    </xf>
    <xf numFmtId="164" fontId="18" fillId="8" borderId="49" xfId="0" applyNumberFormat="1" applyFont="1" applyFill="1" applyBorder="1" applyAlignment="1">
      <alignment horizontal="right" vertical="top"/>
    </xf>
    <xf numFmtId="164" fontId="5" fillId="8" borderId="49" xfId="0" applyNumberFormat="1" applyFont="1" applyFill="1" applyBorder="1" applyAlignment="1">
      <alignment horizontal="right" vertical="top"/>
    </xf>
    <xf numFmtId="164" fontId="5" fillId="2" borderId="24" xfId="0" applyNumberFormat="1" applyFont="1" applyFill="1" applyBorder="1" applyAlignment="1">
      <alignment horizontal="right" vertical="top"/>
    </xf>
    <xf numFmtId="0" fontId="3" fillId="0" borderId="112" xfId="0" applyFont="1" applyBorder="1" applyAlignment="1">
      <alignment vertical="top" wrapText="1"/>
    </xf>
    <xf numFmtId="0" fontId="3" fillId="0" borderId="102" xfId="0" applyFont="1" applyBorder="1" applyAlignment="1">
      <alignment vertical="top"/>
    </xf>
    <xf numFmtId="0" fontId="3" fillId="0" borderId="97" xfId="0" applyFont="1" applyBorder="1" applyAlignment="1">
      <alignment vertical="top"/>
    </xf>
    <xf numFmtId="3" fontId="3" fillId="0" borderId="98" xfId="0" applyNumberFormat="1" applyFont="1" applyFill="1" applyBorder="1" applyAlignment="1">
      <alignment vertical="top" wrapText="1"/>
    </xf>
    <xf numFmtId="3" fontId="3" fillId="0" borderId="18" xfId="0" applyNumberFormat="1" applyFont="1" applyFill="1" applyBorder="1" applyAlignment="1">
      <alignment vertical="top" wrapText="1"/>
    </xf>
    <xf numFmtId="164" fontId="5" fillId="8" borderId="0" xfId="0" applyNumberFormat="1" applyFont="1" applyFill="1" applyBorder="1" applyAlignment="1">
      <alignment horizontal="right" vertical="top"/>
    </xf>
    <xf numFmtId="164" fontId="3" fillId="6" borderId="23" xfId="0" applyNumberFormat="1" applyFont="1" applyFill="1" applyBorder="1" applyAlignment="1">
      <alignment horizontal="right" vertical="top"/>
    </xf>
    <xf numFmtId="3" fontId="3" fillId="6" borderId="18" xfId="0" applyNumberFormat="1" applyFont="1" applyFill="1" applyBorder="1" applyAlignment="1">
      <alignment vertical="top" wrapText="1"/>
    </xf>
    <xf numFmtId="3" fontId="3" fillId="6" borderId="19" xfId="0" applyNumberFormat="1" applyFont="1" applyFill="1" applyBorder="1" applyAlignment="1">
      <alignment vertical="top" wrapText="1"/>
    </xf>
    <xf numFmtId="164" fontId="18" fillId="8" borderId="43" xfId="0" applyNumberFormat="1" applyFont="1" applyFill="1" applyBorder="1" applyAlignment="1">
      <alignment horizontal="right" vertical="top"/>
    </xf>
    <xf numFmtId="164" fontId="5" fillId="8" borderId="2" xfId="0" applyNumberFormat="1" applyFont="1" applyFill="1" applyBorder="1" applyAlignment="1">
      <alignment horizontal="right" vertical="top"/>
    </xf>
    <xf numFmtId="164" fontId="5" fillId="8" borderId="43" xfId="0" applyNumberFormat="1" applyFont="1" applyFill="1" applyBorder="1" applyAlignment="1">
      <alignment horizontal="right" vertical="top"/>
    </xf>
    <xf numFmtId="3" fontId="3" fillId="6" borderId="2" xfId="0" applyNumberFormat="1" applyFont="1" applyFill="1" applyBorder="1" applyAlignment="1">
      <alignment vertical="top" wrapText="1"/>
    </xf>
    <xf numFmtId="164" fontId="3" fillId="8" borderId="100" xfId="0" applyNumberFormat="1" applyFont="1" applyFill="1" applyBorder="1" applyAlignment="1">
      <alignment horizontal="right" vertical="top"/>
    </xf>
    <xf numFmtId="164" fontId="3" fillId="0" borderId="82" xfId="0" applyNumberFormat="1" applyFont="1" applyFill="1" applyBorder="1" applyAlignment="1">
      <alignment horizontal="right" vertical="top" wrapText="1"/>
    </xf>
    <xf numFmtId="164" fontId="3" fillId="8" borderId="75" xfId="0" applyNumberFormat="1" applyFont="1" applyFill="1" applyBorder="1" applyAlignment="1">
      <alignment horizontal="right" vertical="top"/>
    </xf>
    <xf numFmtId="164" fontId="3" fillId="8" borderId="62" xfId="0" applyNumberFormat="1" applyFont="1" applyFill="1" applyBorder="1" applyAlignment="1">
      <alignment horizontal="right" vertical="top"/>
    </xf>
    <xf numFmtId="165" fontId="3" fillId="0" borderId="24" xfId="0" applyNumberFormat="1" applyFont="1" applyFill="1" applyBorder="1" applyAlignment="1">
      <alignment horizontal="right" vertical="top" wrapText="1"/>
    </xf>
    <xf numFmtId="0" fontId="3" fillId="6" borderId="31" xfId="0" applyFont="1" applyFill="1" applyBorder="1" applyAlignment="1">
      <alignment horizontal="left" vertical="top" wrapText="1"/>
    </xf>
    <xf numFmtId="3" fontId="3" fillId="6" borderId="33" xfId="0" applyNumberFormat="1" applyFont="1" applyFill="1" applyBorder="1" applyAlignment="1">
      <alignment horizontal="center" vertical="top" wrapText="1"/>
    </xf>
    <xf numFmtId="164" fontId="5" fillId="6" borderId="23" xfId="0" applyNumberFormat="1" applyFont="1" applyFill="1" applyBorder="1" applyAlignment="1">
      <alignment horizontal="right" vertical="top"/>
    </xf>
    <xf numFmtId="0" fontId="3" fillId="0" borderId="48" xfId="1" applyNumberFormat="1" applyFont="1" applyFill="1" applyBorder="1" applyAlignment="1">
      <alignment horizontal="center" vertical="top"/>
    </xf>
    <xf numFmtId="3" fontId="3" fillId="0" borderId="21" xfId="0" applyNumberFormat="1" applyFont="1" applyFill="1" applyBorder="1" applyAlignment="1">
      <alignment vertical="top" wrapText="1"/>
    </xf>
    <xf numFmtId="3" fontId="3" fillId="0" borderId="1" xfId="0" applyNumberFormat="1" applyFont="1" applyFill="1" applyBorder="1" applyAlignment="1">
      <alignment vertical="top" wrapText="1"/>
    </xf>
    <xf numFmtId="0" fontId="3" fillId="0" borderId="32" xfId="1" applyNumberFormat="1" applyFont="1" applyFill="1" applyBorder="1" applyAlignment="1">
      <alignment horizontal="center" vertical="top"/>
    </xf>
    <xf numFmtId="3" fontId="3" fillId="0" borderId="34" xfId="0" applyNumberFormat="1" applyFont="1" applyFill="1" applyBorder="1" applyAlignment="1">
      <alignment vertical="top" wrapText="1"/>
    </xf>
    <xf numFmtId="164" fontId="5" fillId="10" borderId="26" xfId="0" applyNumberFormat="1" applyFont="1" applyFill="1" applyBorder="1" applyAlignment="1">
      <alignment horizontal="right" vertical="top"/>
    </xf>
    <xf numFmtId="164" fontId="5" fillId="10" borderId="35" xfId="0" applyNumberFormat="1" applyFont="1" applyFill="1" applyBorder="1" applyAlignment="1">
      <alignment horizontal="right" vertical="top"/>
    </xf>
    <xf numFmtId="164" fontId="5" fillId="10" borderId="61" xfId="0" applyNumberFormat="1" applyFont="1" applyFill="1" applyBorder="1" applyAlignment="1">
      <alignment horizontal="right" vertical="top"/>
    </xf>
    <xf numFmtId="0" fontId="0" fillId="10" borderId="30" xfId="0" applyFill="1" applyBorder="1" applyAlignment="1">
      <alignment vertical="top" wrapText="1"/>
    </xf>
    <xf numFmtId="3" fontId="3" fillId="10" borderId="67" xfId="1" applyNumberFormat="1" applyFont="1" applyFill="1" applyBorder="1" applyAlignment="1">
      <alignment vertical="top"/>
    </xf>
    <xf numFmtId="3" fontId="3" fillId="10" borderId="67" xfId="0" applyNumberFormat="1" applyFont="1" applyFill="1" applyBorder="1" applyAlignment="1">
      <alignment vertical="top" wrapText="1"/>
    </xf>
    <xf numFmtId="3" fontId="3" fillId="10" borderId="36" xfId="0" applyNumberFormat="1" applyFont="1" applyFill="1" applyBorder="1" applyAlignment="1">
      <alignment vertical="top" wrapText="1"/>
    </xf>
    <xf numFmtId="164" fontId="26" fillId="0" borderId="12" xfId="0" applyNumberFormat="1" applyFont="1" applyBorder="1" applyAlignment="1">
      <alignment horizontal="right" vertical="top"/>
    </xf>
    <xf numFmtId="164" fontId="26" fillId="0" borderId="31" xfId="0" applyNumberFormat="1" applyFont="1" applyBorder="1" applyAlignment="1">
      <alignment horizontal="right" vertical="top"/>
    </xf>
    <xf numFmtId="164" fontId="3" fillId="6" borderId="48" xfId="0" applyNumberFormat="1" applyFont="1" applyFill="1" applyBorder="1" applyAlignment="1">
      <alignment horizontal="right" vertical="top"/>
    </xf>
    <xf numFmtId="165" fontId="3" fillId="0" borderId="21" xfId="0" applyNumberFormat="1" applyFont="1" applyFill="1" applyBorder="1" applyAlignment="1">
      <alignment horizontal="right" vertical="top" wrapText="1"/>
    </xf>
    <xf numFmtId="165" fontId="3" fillId="0" borderId="1" xfId="0" applyNumberFormat="1" applyFont="1" applyFill="1" applyBorder="1" applyAlignment="1">
      <alignment horizontal="right" vertical="top" wrapText="1"/>
    </xf>
    <xf numFmtId="164" fontId="3" fillId="2" borderId="91" xfId="0" applyNumberFormat="1" applyFont="1" applyFill="1" applyBorder="1" applyAlignment="1">
      <alignment horizontal="right" vertical="top" wrapText="1"/>
    </xf>
    <xf numFmtId="165" fontId="3" fillId="0" borderId="17" xfId="0" applyNumberFormat="1" applyFont="1" applyFill="1" applyBorder="1" applyAlignment="1">
      <alignment horizontal="right" vertical="top" wrapText="1"/>
    </xf>
    <xf numFmtId="165" fontId="3" fillId="0" borderId="19" xfId="0" applyNumberFormat="1" applyFont="1" applyFill="1" applyBorder="1" applyAlignment="1">
      <alignment horizontal="right" vertical="top" wrapText="1"/>
    </xf>
    <xf numFmtId="164" fontId="3" fillId="6" borderId="87" xfId="0" applyNumberFormat="1" applyFont="1" applyFill="1" applyBorder="1" applyAlignment="1">
      <alignment horizontal="right" vertical="top"/>
    </xf>
    <xf numFmtId="164" fontId="3" fillId="6" borderId="89" xfId="0" applyNumberFormat="1" applyFont="1" applyFill="1" applyBorder="1" applyAlignment="1">
      <alignment horizontal="right" vertical="top"/>
    </xf>
    <xf numFmtId="164" fontId="3" fillId="8" borderId="87" xfId="0" applyNumberFormat="1" applyFont="1" applyFill="1" applyBorder="1" applyAlignment="1">
      <alignment horizontal="right" vertical="top"/>
    </xf>
    <xf numFmtId="164" fontId="3" fillId="0" borderId="86" xfId="0" applyNumberFormat="1" applyFont="1" applyFill="1" applyBorder="1" applyAlignment="1">
      <alignment horizontal="right" vertical="top" wrapText="1"/>
    </xf>
    <xf numFmtId="164" fontId="3" fillId="0" borderId="120" xfId="0" applyNumberFormat="1" applyFont="1" applyFill="1" applyBorder="1" applyAlignment="1">
      <alignment horizontal="right" vertical="top" wrapText="1"/>
    </xf>
    <xf numFmtId="164" fontId="3" fillId="6" borderId="50" xfId="0" applyNumberFormat="1" applyFont="1" applyFill="1" applyBorder="1" applyAlignment="1">
      <alignment horizontal="right" vertical="top"/>
    </xf>
    <xf numFmtId="164" fontId="3" fillId="2" borderId="24" xfId="0" applyNumberFormat="1" applyFont="1" applyFill="1" applyBorder="1" applyAlignment="1">
      <alignment horizontal="right" vertical="top" wrapText="1"/>
    </xf>
    <xf numFmtId="164" fontId="3" fillId="2" borderId="55" xfId="0" applyNumberFormat="1" applyFont="1" applyFill="1" applyBorder="1" applyAlignment="1">
      <alignment horizontal="right" vertical="top" wrapText="1"/>
    </xf>
    <xf numFmtId="0" fontId="3" fillId="6" borderId="45" xfId="0" applyFont="1" applyFill="1" applyBorder="1" applyAlignment="1">
      <alignment vertical="top" wrapText="1"/>
    </xf>
    <xf numFmtId="49" fontId="3" fillId="6" borderId="21" xfId="0" applyNumberFormat="1" applyFont="1" applyFill="1" applyBorder="1" applyAlignment="1">
      <alignment horizontal="center" vertical="top" wrapText="1"/>
    </xf>
    <xf numFmtId="49" fontId="3" fillId="6" borderId="1" xfId="0" applyNumberFormat="1" applyFont="1" applyFill="1" applyBorder="1" applyAlignment="1">
      <alignment horizontal="center" vertical="top" wrapText="1"/>
    </xf>
    <xf numFmtId="164" fontId="3" fillId="6" borderId="119" xfId="0" applyNumberFormat="1" applyFont="1" applyFill="1" applyBorder="1" applyAlignment="1">
      <alignment horizontal="right" vertical="top"/>
    </xf>
    <xf numFmtId="164" fontId="3" fillId="6" borderId="110" xfId="0" applyNumberFormat="1" applyFont="1" applyFill="1" applyBorder="1" applyAlignment="1">
      <alignment horizontal="right" vertical="top"/>
    </xf>
    <xf numFmtId="164" fontId="3" fillId="8" borderId="119" xfId="0" applyNumberFormat="1" applyFont="1" applyFill="1" applyBorder="1" applyAlignment="1">
      <alignment horizontal="right" vertical="top"/>
    </xf>
    <xf numFmtId="164" fontId="3" fillId="8" borderId="106" xfId="0" applyNumberFormat="1" applyFont="1" applyFill="1" applyBorder="1" applyAlignment="1">
      <alignment horizontal="right" vertical="top"/>
    </xf>
    <xf numFmtId="164" fontId="3" fillId="8" borderId="110" xfId="0" applyNumberFormat="1" applyFont="1" applyFill="1" applyBorder="1" applyAlignment="1">
      <alignment horizontal="right" vertical="top"/>
    </xf>
    <xf numFmtId="164" fontId="3" fillId="0" borderId="111" xfId="0" applyNumberFormat="1" applyFont="1" applyFill="1" applyBorder="1" applyAlignment="1">
      <alignment horizontal="right" vertical="top" wrapText="1"/>
    </xf>
    <xf numFmtId="164" fontId="3" fillId="0" borderId="115" xfId="0" applyNumberFormat="1" applyFont="1" applyFill="1" applyBorder="1" applyAlignment="1">
      <alignment horizontal="right" vertical="top" wrapText="1"/>
    </xf>
    <xf numFmtId="164" fontId="3" fillId="6" borderId="32" xfId="0" applyNumberFormat="1" applyFont="1" applyFill="1" applyBorder="1" applyAlignment="1">
      <alignment horizontal="right" vertical="top"/>
    </xf>
    <xf numFmtId="3" fontId="3" fillId="2" borderId="34" xfId="0" applyNumberFormat="1" applyFont="1" applyFill="1" applyBorder="1" applyAlignment="1">
      <alignment horizontal="center" vertical="top" wrapText="1"/>
    </xf>
    <xf numFmtId="164" fontId="5" fillId="10" borderId="30" xfId="0" applyNumberFormat="1" applyFont="1" applyFill="1" applyBorder="1" applyAlignment="1">
      <alignment horizontal="right" vertical="top"/>
    </xf>
    <xf numFmtId="0" fontId="0" fillId="10" borderId="35" xfId="0" applyFill="1" applyBorder="1" applyAlignment="1">
      <alignment vertical="top" wrapText="1"/>
    </xf>
    <xf numFmtId="3" fontId="3" fillId="10" borderId="30" xfId="1" applyNumberFormat="1" applyFont="1" applyFill="1" applyBorder="1" applyAlignment="1">
      <alignment vertical="top"/>
    </xf>
    <xf numFmtId="3" fontId="3" fillId="10" borderId="30" xfId="0" applyNumberFormat="1" applyFont="1" applyFill="1" applyBorder="1" applyAlignment="1">
      <alignment vertical="top" wrapText="1"/>
    </xf>
    <xf numFmtId="164" fontId="3" fillId="0" borderId="76" xfId="0" applyNumberFormat="1" applyFont="1" applyFill="1" applyBorder="1" applyAlignment="1">
      <alignment horizontal="right" vertical="top" wrapText="1"/>
    </xf>
    <xf numFmtId="164" fontId="3" fillId="0" borderId="40" xfId="0" applyNumberFormat="1" applyFont="1" applyFill="1" applyBorder="1" applyAlignment="1">
      <alignment horizontal="right" vertical="top" wrapText="1"/>
    </xf>
    <xf numFmtId="164" fontId="5" fillId="8" borderId="38" xfId="0" applyNumberFormat="1" applyFont="1" applyFill="1" applyBorder="1" applyAlignment="1">
      <alignment horizontal="right" vertical="top"/>
    </xf>
    <xf numFmtId="164" fontId="5" fillId="8" borderId="44" xfId="0" applyNumberFormat="1" applyFont="1" applyFill="1" applyBorder="1" applyAlignment="1">
      <alignment horizontal="right" vertical="top"/>
    </xf>
    <xf numFmtId="164" fontId="5" fillId="6" borderId="76" xfId="0" applyNumberFormat="1" applyFont="1" applyFill="1" applyBorder="1" applyAlignment="1">
      <alignment horizontal="right" vertical="top"/>
    </xf>
    <xf numFmtId="3" fontId="3" fillId="0" borderId="37" xfId="1" applyNumberFormat="1" applyFont="1" applyFill="1" applyBorder="1" applyAlignment="1">
      <alignment horizontal="right" vertical="top"/>
    </xf>
    <xf numFmtId="3" fontId="3" fillId="0" borderId="37" xfId="0" applyNumberFormat="1" applyFont="1" applyFill="1" applyBorder="1" applyAlignment="1">
      <alignment horizontal="right" vertical="top" wrapText="1"/>
    </xf>
    <xf numFmtId="3" fontId="3" fillId="0" borderId="18" xfId="0" applyNumberFormat="1" applyFont="1" applyFill="1" applyBorder="1" applyAlignment="1">
      <alignment horizontal="right" vertical="top" wrapText="1"/>
    </xf>
    <xf numFmtId="164" fontId="5" fillId="6" borderId="51" xfId="0" applyNumberFormat="1" applyFont="1" applyFill="1" applyBorder="1" applyAlignment="1">
      <alignment horizontal="right" vertical="top"/>
    </xf>
    <xf numFmtId="164" fontId="3" fillId="0" borderId="45" xfId="0" applyNumberFormat="1" applyFont="1" applyFill="1" applyBorder="1" applyAlignment="1">
      <alignment horizontal="right" vertical="top"/>
    </xf>
    <xf numFmtId="164" fontId="3" fillId="0" borderId="51" xfId="0" applyNumberFormat="1" applyFont="1" applyFill="1" applyBorder="1" applyAlignment="1">
      <alignment horizontal="right" vertical="top"/>
    </xf>
    <xf numFmtId="164" fontId="5" fillId="0" borderId="52" xfId="0" applyNumberFormat="1" applyFont="1" applyFill="1" applyBorder="1" applyAlignment="1">
      <alignment horizontal="right" vertical="top"/>
    </xf>
    <xf numFmtId="164" fontId="3" fillId="0" borderId="57" xfId="0" applyNumberFormat="1" applyFont="1" applyFill="1" applyBorder="1" applyAlignment="1">
      <alignment horizontal="right" vertical="top"/>
    </xf>
    <xf numFmtId="3" fontId="3" fillId="0" borderId="48" xfId="0" applyNumberFormat="1" applyFont="1" applyFill="1" applyBorder="1" applyAlignment="1">
      <alignment horizontal="right" vertical="top" wrapText="1"/>
    </xf>
    <xf numFmtId="3" fontId="3" fillId="0" borderId="1" xfId="0" applyNumberFormat="1" applyFont="1" applyFill="1" applyBorder="1" applyAlignment="1">
      <alignment horizontal="right" vertical="top" wrapText="1"/>
    </xf>
    <xf numFmtId="164" fontId="18" fillId="6" borderId="88" xfId="0" applyNumberFormat="1" applyFont="1" applyFill="1" applyBorder="1" applyAlignment="1">
      <alignment horizontal="right" vertical="top"/>
    </xf>
    <xf numFmtId="164" fontId="3" fillId="8" borderId="90" xfId="0" applyNumberFormat="1" applyFont="1" applyFill="1" applyBorder="1" applyAlignment="1">
      <alignment horizontal="right" vertical="top"/>
    </xf>
    <xf numFmtId="164" fontId="3" fillId="8" borderId="80" xfId="0" applyNumberFormat="1" applyFont="1" applyFill="1" applyBorder="1" applyAlignment="1">
      <alignment horizontal="right" vertical="top"/>
    </xf>
    <xf numFmtId="164" fontId="3" fillId="0" borderId="99" xfId="0" applyNumberFormat="1" applyFont="1" applyFill="1" applyBorder="1" applyAlignment="1">
      <alignment horizontal="right" vertical="top" wrapText="1"/>
    </xf>
    <xf numFmtId="0" fontId="3" fillId="6" borderId="90" xfId="0" applyFont="1" applyFill="1" applyBorder="1" applyAlignment="1">
      <alignment horizontal="left" vertical="top" wrapText="1"/>
    </xf>
    <xf numFmtId="3" fontId="3" fillId="6" borderId="88" xfId="0" applyNumberFormat="1" applyFont="1" applyFill="1" applyBorder="1" applyAlignment="1">
      <alignment horizontal="center" vertical="top" wrapText="1"/>
    </xf>
    <xf numFmtId="3" fontId="3" fillId="6" borderId="80" xfId="0" applyNumberFormat="1" applyFont="1" applyFill="1" applyBorder="1" applyAlignment="1">
      <alignment horizontal="center" vertical="top" wrapText="1"/>
    </xf>
    <xf numFmtId="164" fontId="18" fillId="6" borderId="34" xfId="0" applyNumberFormat="1" applyFont="1" applyFill="1" applyBorder="1" applyAlignment="1">
      <alignment horizontal="right" vertical="top"/>
    </xf>
    <xf numFmtId="164" fontId="3" fillId="0" borderId="70" xfId="0" applyNumberFormat="1" applyFont="1" applyFill="1" applyBorder="1" applyAlignment="1">
      <alignment horizontal="right" vertical="top" wrapText="1"/>
    </xf>
    <xf numFmtId="0" fontId="3" fillId="6" borderId="31" xfId="0" applyFont="1" applyFill="1" applyBorder="1" applyAlignment="1">
      <alignment vertical="top" wrapText="1"/>
    </xf>
    <xf numFmtId="3" fontId="3" fillId="6" borderId="34" xfId="0" applyNumberFormat="1" applyFont="1" applyFill="1" applyBorder="1" applyAlignment="1">
      <alignment horizontal="center" vertical="top" wrapText="1"/>
    </xf>
    <xf numFmtId="3" fontId="3" fillId="0" borderId="37" xfId="0" applyNumberFormat="1" applyFont="1" applyFill="1" applyBorder="1" applyAlignment="1">
      <alignment horizontal="center" vertical="top" wrapText="1"/>
    </xf>
    <xf numFmtId="165" fontId="18" fillId="0" borderId="48" xfId="0" applyNumberFormat="1" applyFont="1" applyFill="1" applyBorder="1" applyAlignment="1">
      <alignment horizontal="center" vertical="top" wrapText="1"/>
    </xf>
    <xf numFmtId="164" fontId="3" fillId="8" borderId="83" xfId="0" applyNumberFormat="1" applyFont="1" applyFill="1" applyBorder="1" applyAlignment="1">
      <alignment horizontal="right" vertical="top"/>
    </xf>
    <xf numFmtId="164" fontId="3" fillId="8" borderId="92" xfId="0" applyNumberFormat="1" applyFont="1" applyFill="1" applyBorder="1" applyAlignment="1">
      <alignment horizontal="right" vertical="top"/>
    </xf>
    <xf numFmtId="164" fontId="3" fillId="6" borderId="108" xfId="0" applyNumberFormat="1" applyFont="1" applyFill="1" applyBorder="1" applyAlignment="1">
      <alignment horizontal="right" vertical="top"/>
    </xf>
    <xf numFmtId="164" fontId="3" fillId="6" borderId="94" xfId="0" applyNumberFormat="1" applyFont="1" applyFill="1" applyBorder="1" applyAlignment="1">
      <alignment horizontal="right" vertical="top"/>
    </xf>
    <xf numFmtId="164" fontId="3" fillId="6" borderId="82" xfId="0" applyNumberFormat="1" applyFont="1" applyFill="1" applyBorder="1" applyAlignment="1">
      <alignment horizontal="right" vertical="top"/>
    </xf>
    <xf numFmtId="0" fontId="18" fillId="6" borderId="83" xfId="0" applyFont="1" applyFill="1" applyBorder="1" applyAlignment="1">
      <alignment horizontal="left" vertical="top" wrapText="1"/>
    </xf>
    <xf numFmtId="165" fontId="18" fillId="6" borderId="85" xfId="0" applyNumberFormat="1" applyFont="1" applyFill="1" applyBorder="1" applyAlignment="1">
      <alignment horizontal="center" vertical="top" wrapText="1"/>
    </xf>
    <xf numFmtId="164" fontId="3" fillId="6" borderId="103" xfId="0" applyNumberFormat="1" applyFont="1" applyFill="1" applyBorder="1" applyAlignment="1">
      <alignment horizontal="right" vertical="top"/>
    </xf>
    <xf numFmtId="164" fontId="3" fillId="6" borderId="107" xfId="0" applyNumberFormat="1" applyFont="1" applyFill="1" applyBorder="1" applyAlignment="1">
      <alignment horizontal="right" vertical="top"/>
    </xf>
    <xf numFmtId="164" fontId="3" fillId="0" borderId="40" xfId="0" applyNumberFormat="1" applyFont="1" applyFill="1" applyBorder="1" applyAlignment="1">
      <alignment horizontal="right" vertical="top"/>
    </xf>
    <xf numFmtId="3" fontId="18" fillId="0" borderId="50" xfId="0" applyNumberFormat="1" applyFont="1" applyFill="1" applyBorder="1" applyAlignment="1">
      <alignment horizontal="center" vertical="top" wrapText="1"/>
    </xf>
    <xf numFmtId="164" fontId="5" fillId="0" borderId="91" xfId="0" applyNumberFormat="1" applyFont="1" applyFill="1" applyBorder="1" applyAlignment="1">
      <alignment horizontal="right" vertical="top"/>
    </xf>
    <xf numFmtId="164" fontId="5" fillId="0" borderId="94" xfId="0" applyNumberFormat="1" applyFont="1" applyFill="1" applyBorder="1" applyAlignment="1">
      <alignment horizontal="right" vertical="top"/>
    </xf>
    <xf numFmtId="164" fontId="5" fillId="0" borderId="82" xfId="0" applyNumberFormat="1" applyFont="1" applyFill="1" applyBorder="1" applyAlignment="1">
      <alignment horizontal="right" vertical="top"/>
    </xf>
    <xf numFmtId="164" fontId="5" fillId="6" borderId="91" xfId="0" applyNumberFormat="1" applyFont="1" applyFill="1" applyBorder="1" applyAlignment="1">
      <alignment horizontal="right" vertical="top"/>
    </xf>
    <xf numFmtId="164" fontId="5" fillId="6" borderId="82" xfId="0" applyNumberFormat="1" applyFont="1" applyFill="1" applyBorder="1" applyAlignment="1">
      <alignment horizontal="right" vertical="top"/>
    </xf>
    <xf numFmtId="3" fontId="3" fillId="6" borderId="85" xfId="0" applyNumberFormat="1" applyFont="1" applyFill="1" applyBorder="1" applyAlignment="1">
      <alignment horizontal="center" vertical="top" wrapText="1"/>
    </xf>
    <xf numFmtId="164" fontId="3" fillId="0" borderId="85" xfId="0" applyNumberFormat="1" applyFont="1" applyBorder="1" applyAlignment="1">
      <alignment horizontal="right" vertical="top"/>
    </xf>
    <xf numFmtId="164" fontId="3" fillId="0" borderId="85" xfId="0" applyNumberFormat="1" applyFont="1" applyFill="1" applyBorder="1" applyAlignment="1">
      <alignment horizontal="right" vertical="top"/>
    </xf>
    <xf numFmtId="164" fontId="3" fillId="0" borderId="91" xfId="0" applyNumberFormat="1" applyFont="1" applyFill="1" applyBorder="1" applyAlignment="1">
      <alignment horizontal="right" vertical="top" wrapText="1"/>
    </xf>
    <xf numFmtId="164" fontId="3" fillId="0" borderId="32" xfId="0" applyNumberFormat="1" applyFont="1" applyFill="1" applyBorder="1" applyAlignment="1">
      <alignment horizontal="right" vertical="top"/>
    </xf>
    <xf numFmtId="165" fontId="3" fillId="0" borderId="18" xfId="0" applyNumberFormat="1" applyFont="1" applyFill="1" applyBorder="1" applyAlignment="1">
      <alignment horizontal="center" vertical="top" wrapText="1"/>
    </xf>
    <xf numFmtId="164" fontId="3" fillId="6" borderId="101" xfId="0" applyNumberFormat="1" applyFont="1" applyFill="1" applyBorder="1" applyAlignment="1">
      <alignment horizontal="right" vertical="top"/>
    </xf>
    <xf numFmtId="164" fontId="3" fillId="6" borderId="97" xfId="0" applyNumberFormat="1" applyFont="1" applyFill="1" applyBorder="1" applyAlignment="1">
      <alignment horizontal="right" vertical="top"/>
    </xf>
    <xf numFmtId="164" fontId="3" fillId="0" borderId="97" xfId="0" applyNumberFormat="1" applyFont="1" applyBorder="1" applyAlignment="1">
      <alignment horizontal="right" vertical="top"/>
    </xf>
    <xf numFmtId="164" fontId="3" fillId="0" borderId="102" xfId="0" applyNumberFormat="1" applyFont="1" applyBorder="1" applyAlignment="1">
      <alignment horizontal="right" vertical="top"/>
    </xf>
    <xf numFmtId="164" fontId="3" fillId="0" borderId="48" xfId="0" applyNumberFormat="1" applyFont="1" applyFill="1" applyBorder="1" applyAlignment="1">
      <alignment horizontal="right" vertical="top"/>
    </xf>
    <xf numFmtId="164" fontId="3" fillId="0" borderId="97" xfId="0" applyNumberFormat="1" applyFont="1" applyFill="1" applyBorder="1" applyAlignment="1">
      <alignment horizontal="right" vertical="top"/>
    </xf>
    <xf numFmtId="164" fontId="3" fillId="0" borderId="102" xfId="0" applyNumberFormat="1" applyFont="1" applyFill="1" applyBorder="1" applyAlignment="1">
      <alignment horizontal="right" vertical="top"/>
    </xf>
    <xf numFmtId="164" fontId="3" fillId="2" borderId="31" xfId="0" applyNumberFormat="1" applyFont="1" applyFill="1" applyBorder="1" applyAlignment="1">
      <alignment horizontal="right" vertical="top"/>
    </xf>
    <xf numFmtId="164" fontId="3" fillId="2" borderId="34" xfId="0" applyNumberFormat="1" applyFont="1" applyFill="1" applyBorder="1" applyAlignment="1">
      <alignment horizontal="right" vertical="top"/>
    </xf>
    <xf numFmtId="164" fontId="3" fillId="2" borderId="33" xfId="0" applyNumberFormat="1" applyFont="1" applyFill="1" applyBorder="1" applyAlignment="1">
      <alignment horizontal="right" vertical="top"/>
    </xf>
    <xf numFmtId="164" fontId="3" fillId="6" borderId="24" xfId="0" applyNumberFormat="1" applyFont="1" applyFill="1" applyBorder="1" applyAlignment="1">
      <alignment horizontal="right" vertical="top" wrapText="1"/>
    </xf>
    <xf numFmtId="164" fontId="3" fillId="6" borderId="55" xfId="0" applyNumberFormat="1" applyFont="1" applyFill="1" applyBorder="1" applyAlignment="1">
      <alignment horizontal="right" vertical="top" wrapText="1"/>
    </xf>
    <xf numFmtId="0" fontId="3" fillId="6" borderId="10" xfId="0" applyFont="1" applyFill="1" applyBorder="1" applyAlignment="1">
      <alignment horizontal="left" vertical="top" wrapText="1"/>
    </xf>
    <xf numFmtId="3" fontId="3" fillId="6" borderId="17" xfId="0" applyNumberFormat="1" applyFont="1" applyFill="1" applyBorder="1" applyAlignment="1">
      <alignment horizontal="right" vertical="top" wrapText="1"/>
    </xf>
    <xf numFmtId="3" fontId="3" fillId="0" borderId="19" xfId="0" applyNumberFormat="1" applyFont="1" applyFill="1" applyBorder="1" applyAlignment="1">
      <alignment horizontal="right" vertical="top" wrapText="1"/>
    </xf>
    <xf numFmtId="164" fontId="3" fillId="6" borderId="43" xfId="0" applyNumberFormat="1" applyFont="1" applyFill="1" applyBorder="1" applyAlignment="1">
      <alignment horizontal="right" vertical="center"/>
    </xf>
    <xf numFmtId="164" fontId="3" fillId="8" borderId="38" xfId="0" applyNumberFormat="1" applyFont="1" applyFill="1" applyBorder="1" applyAlignment="1">
      <alignment horizontal="right" vertical="center"/>
    </xf>
    <xf numFmtId="164" fontId="3" fillId="8" borderId="43" xfId="0" applyNumberFormat="1" applyFont="1" applyFill="1" applyBorder="1" applyAlignment="1">
      <alignment horizontal="right" vertical="center"/>
    </xf>
    <xf numFmtId="164" fontId="3" fillId="2" borderId="23" xfId="0" applyNumberFormat="1" applyFont="1" applyFill="1" applyBorder="1" applyAlignment="1">
      <alignment horizontal="right" vertical="center"/>
    </xf>
    <xf numFmtId="164" fontId="3" fillId="2" borderId="38" xfId="0" applyNumberFormat="1" applyFont="1" applyFill="1" applyBorder="1" applyAlignment="1">
      <alignment horizontal="right" vertical="center"/>
    </xf>
    <xf numFmtId="3" fontId="3" fillId="0" borderId="34" xfId="0" applyNumberFormat="1" applyFont="1" applyFill="1" applyBorder="1" applyAlignment="1">
      <alignment vertical="top"/>
    </xf>
    <xf numFmtId="3" fontId="3" fillId="0" borderId="33" xfId="0" applyNumberFormat="1" applyFont="1" applyFill="1" applyBorder="1" applyAlignment="1">
      <alignment vertical="top"/>
    </xf>
    <xf numFmtId="164" fontId="3" fillId="0" borderId="47" xfId="0" applyNumberFormat="1" applyFont="1" applyBorder="1" applyAlignment="1">
      <alignment horizontal="right" vertical="top"/>
    </xf>
    <xf numFmtId="0" fontId="3" fillId="2" borderId="45" xfId="0" applyFont="1" applyFill="1" applyBorder="1" applyAlignment="1">
      <alignment vertical="top" wrapText="1"/>
    </xf>
    <xf numFmtId="0" fontId="3" fillId="0" borderId="26" xfId="0" applyFont="1" applyBorder="1" applyAlignment="1">
      <alignment vertical="top"/>
    </xf>
    <xf numFmtId="0" fontId="3" fillId="0" borderId="62" xfId="0" applyFont="1" applyBorder="1" applyAlignment="1">
      <alignment vertical="top"/>
    </xf>
    <xf numFmtId="0" fontId="3" fillId="0" borderId="27" xfId="0" applyFont="1" applyBorder="1" applyAlignment="1">
      <alignment vertical="top"/>
    </xf>
    <xf numFmtId="164" fontId="3" fillId="0" borderId="14" xfId="0" applyNumberFormat="1" applyFont="1" applyFill="1" applyBorder="1" applyAlignment="1">
      <alignment vertical="top"/>
    </xf>
    <xf numFmtId="164" fontId="3" fillId="8" borderId="58" xfId="0" applyNumberFormat="1" applyFont="1" applyFill="1" applyBorder="1" applyAlignment="1">
      <alignment vertical="top"/>
    </xf>
    <xf numFmtId="164" fontId="3" fillId="0" borderId="78" xfId="0" applyNumberFormat="1" applyFont="1" applyFill="1" applyBorder="1" applyAlignment="1">
      <alignment vertical="top"/>
    </xf>
    <xf numFmtId="164" fontId="3" fillId="0" borderId="7" xfId="0" applyNumberFormat="1" applyFont="1" applyFill="1" applyBorder="1" applyAlignment="1">
      <alignment vertical="top"/>
    </xf>
    <xf numFmtId="164" fontId="3" fillId="0" borderId="16" xfId="0" applyNumberFormat="1" applyFont="1" applyFill="1" applyBorder="1" applyAlignment="1">
      <alignment vertical="top"/>
    </xf>
    <xf numFmtId="164" fontId="3" fillId="0" borderId="2" xfId="0" applyNumberFormat="1" applyFont="1" applyFill="1" applyBorder="1" applyAlignment="1">
      <alignment vertical="top"/>
    </xf>
    <xf numFmtId="164" fontId="3" fillId="0" borderId="37" xfId="0" applyNumberFormat="1" applyFont="1" applyFill="1" applyBorder="1" applyAlignment="1">
      <alignment vertical="top"/>
    </xf>
    <xf numFmtId="164" fontId="3" fillId="8" borderId="38" xfId="0" applyNumberFormat="1" applyFont="1" applyFill="1" applyBorder="1" applyAlignment="1">
      <alignment vertical="top"/>
    </xf>
    <xf numFmtId="164" fontId="3" fillId="0" borderId="76" xfId="0" applyNumberFormat="1" applyFont="1" applyFill="1" applyBorder="1" applyAlignment="1">
      <alignment vertical="top"/>
    </xf>
    <xf numFmtId="164" fontId="3" fillId="0" borderId="23" xfId="0" applyNumberFormat="1" applyFont="1" applyFill="1" applyBorder="1" applyAlignment="1">
      <alignment vertical="top"/>
    </xf>
    <xf numFmtId="164" fontId="3" fillId="0" borderId="90" xfId="0" applyNumberFormat="1" applyFont="1" applyFill="1" applyBorder="1" applyAlignment="1">
      <alignment vertical="top"/>
    </xf>
    <xf numFmtId="164" fontId="3" fillId="0" borderId="88" xfId="0" applyNumberFormat="1" applyFont="1" applyFill="1" applyBorder="1" applyAlignment="1">
      <alignment vertical="top"/>
    </xf>
    <xf numFmtId="164" fontId="3" fillId="0" borderId="89" xfId="0" applyNumberFormat="1" applyFont="1" applyFill="1" applyBorder="1" applyAlignment="1">
      <alignment vertical="top"/>
    </xf>
    <xf numFmtId="164" fontId="3" fillId="8" borderId="87" xfId="0" applyNumberFormat="1" applyFont="1" applyFill="1" applyBorder="1" applyAlignment="1">
      <alignment vertical="top"/>
    </xf>
    <xf numFmtId="164" fontId="3" fillId="8" borderId="88" xfId="0" applyNumberFormat="1" applyFont="1" applyFill="1" applyBorder="1" applyAlignment="1">
      <alignment vertical="top"/>
    </xf>
    <xf numFmtId="164" fontId="3" fillId="8" borderId="80" xfId="0" applyNumberFormat="1" applyFont="1" applyFill="1" applyBorder="1" applyAlignment="1">
      <alignment vertical="top"/>
    </xf>
    <xf numFmtId="164" fontId="3" fillId="0" borderId="99" xfId="0" applyNumberFormat="1" applyFont="1" applyFill="1" applyBorder="1" applyAlignment="1">
      <alignment vertical="top"/>
    </xf>
    <xf numFmtId="164" fontId="3" fillId="0" borderId="86" xfId="0" applyNumberFormat="1" applyFont="1" applyFill="1" applyBorder="1" applyAlignment="1">
      <alignment vertical="top"/>
    </xf>
    <xf numFmtId="0" fontId="3" fillId="0" borderId="57" xfId="0" applyFont="1" applyBorder="1" applyAlignment="1">
      <alignment vertical="top" wrapText="1"/>
    </xf>
    <xf numFmtId="0" fontId="3" fillId="0" borderId="21" xfId="0" applyNumberFormat="1" applyFont="1" applyBorder="1" applyAlignment="1">
      <alignment horizontal="center" vertical="top"/>
    </xf>
    <xf numFmtId="0" fontId="3" fillId="0" borderId="108" xfId="0" applyNumberFormat="1" applyFont="1" applyBorder="1" applyAlignment="1">
      <alignment horizontal="center" vertical="top"/>
    </xf>
    <xf numFmtId="164" fontId="3" fillId="0" borderId="104" xfId="0" applyNumberFormat="1" applyFont="1" applyFill="1" applyBorder="1" applyAlignment="1">
      <alignment vertical="top"/>
    </xf>
    <xf numFmtId="164" fontId="3" fillId="0" borderId="106" xfId="0" applyNumberFormat="1" applyFont="1" applyFill="1" applyBorder="1" applyAlignment="1">
      <alignment vertical="top"/>
    </xf>
    <xf numFmtId="164" fontId="3" fillId="0" borderId="110" xfId="0" applyNumberFormat="1" applyFont="1" applyFill="1" applyBorder="1" applyAlignment="1">
      <alignment vertical="top"/>
    </xf>
    <xf numFmtId="164" fontId="3" fillId="8" borderId="119" xfId="0" applyNumberFormat="1" applyFont="1" applyFill="1" applyBorder="1" applyAlignment="1">
      <alignment vertical="top"/>
    </xf>
    <xf numFmtId="164" fontId="3" fillId="8" borderId="106" xfId="0" applyNumberFormat="1" applyFont="1" applyFill="1" applyBorder="1" applyAlignment="1">
      <alignment vertical="top"/>
    </xf>
    <xf numFmtId="164" fontId="3" fillId="8" borderId="81" xfId="0" applyNumberFormat="1" applyFont="1" applyFill="1" applyBorder="1" applyAlignment="1">
      <alignment vertical="top"/>
    </xf>
    <xf numFmtId="164" fontId="3" fillId="0" borderId="105" xfId="0" applyNumberFormat="1" applyFont="1" applyFill="1" applyBorder="1" applyAlignment="1">
      <alignment vertical="top"/>
    </xf>
    <xf numFmtId="164" fontId="3" fillId="0" borderId="111" xfId="0" applyNumberFormat="1" applyFont="1" applyFill="1" applyBorder="1" applyAlignment="1">
      <alignment vertical="top"/>
    </xf>
    <xf numFmtId="0" fontId="3" fillId="0" borderId="105" xfId="0" applyFont="1" applyBorder="1" applyAlignment="1">
      <alignment vertical="top" wrapText="1"/>
    </xf>
    <xf numFmtId="0" fontId="3" fillId="0" borderId="106" xfId="0" applyNumberFormat="1" applyFont="1" applyBorder="1" applyAlignment="1">
      <alignment horizontal="center" vertical="top"/>
    </xf>
    <xf numFmtId="0" fontId="3" fillId="0" borderId="81" xfId="0" applyNumberFormat="1" applyFont="1" applyBorder="1" applyAlignment="1">
      <alignment horizontal="center" vertical="top"/>
    </xf>
    <xf numFmtId="164" fontId="3" fillId="2" borderId="99" xfId="0" applyNumberFormat="1" applyFont="1" applyFill="1" applyBorder="1" applyAlignment="1">
      <alignment horizontal="right" vertical="top" wrapText="1"/>
    </xf>
    <xf numFmtId="164" fontId="3" fillId="2" borderId="86" xfId="0" applyNumberFormat="1" applyFont="1" applyFill="1" applyBorder="1" applyAlignment="1">
      <alignment horizontal="right" vertical="top" wrapText="1"/>
    </xf>
    <xf numFmtId="164" fontId="3" fillId="2" borderId="90" xfId="0" applyNumberFormat="1" applyFont="1" applyFill="1" applyBorder="1" applyAlignment="1">
      <alignment horizontal="left" vertical="top" wrapText="1"/>
    </xf>
    <xf numFmtId="0" fontId="3" fillId="0" borderId="88" xfId="0" applyNumberFormat="1" applyFont="1" applyFill="1" applyBorder="1" applyAlignment="1">
      <alignment horizontal="center" vertical="top"/>
    </xf>
    <xf numFmtId="0" fontId="3" fillId="0" borderId="114" xfId="0" applyNumberFormat="1" applyFont="1" applyFill="1" applyBorder="1" applyAlignment="1">
      <alignment horizontal="center" vertical="top"/>
    </xf>
    <xf numFmtId="164" fontId="3" fillId="2" borderId="70" xfId="0" applyNumberFormat="1" applyFont="1" applyFill="1" applyBorder="1" applyAlignment="1">
      <alignment horizontal="right" vertical="top" wrapText="1"/>
    </xf>
    <xf numFmtId="0" fontId="3" fillId="0" borderId="96" xfId="1" applyFont="1" applyFill="1" applyBorder="1" applyAlignment="1">
      <alignment vertical="top" wrapText="1"/>
    </xf>
    <xf numFmtId="164" fontId="3" fillId="0" borderId="70" xfId="0" applyNumberFormat="1" applyFont="1" applyFill="1" applyBorder="1" applyAlignment="1">
      <alignment horizontal="right" vertical="top"/>
    </xf>
    <xf numFmtId="164" fontId="3" fillId="0" borderId="49" xfId="0" applyNumberFormat="1" applyFont="1" applyBorder="1" applyAlignment="1">
      <alignment horizontal="right" vertical="top"/>
    </xf>
    <xf numFmtId="164" fontId="3" fillId="8" borderId="49" xfId="0" applyNumberFormat="1" applyFont="1" applyFill="1" applyBorder="1" applyAlignment="1">
      <alignment horizontal="right" vertical="top"/>
    </xf>
    <xf numFmtId="164" fontId="3" fillId="0" borderId="43" xfId="0" applyNumberFormat="1" applyFont="1" applyFill="1" applyBorder="1" applyAlignment="1">
      <alignment horizontal="right" vertical="top"/>
    </xf>
    <xf numFmtId="0" fontId="3" fillId="0" borderId="16" xfId="0" applyFont="1" applyBorder="1" applyAlignment="1">
      <alignment vertical="top" wrapText="1"/>
    </xf>
    <xf numFmtId="49" fontId="3" fillId="0" borderId="2" xfId="0" applyNumberFormat="1" applyFont="1" applyFill="1" applyBorder="1" applyAlignment="1">
      <alignment horizontal="center" vertical="top" wrapText="1"/>
    </xf>
    <xf numFmtId="49" fontId="3" fillId="0" borderId="37" xfId="0" applyNumberFormat="1" applyFont="1" applyFill="1" applyBorder="1" applyAlignment="1">
      <alignment horizontal="center" vertical="top" wrapText="1"/>
    </xf>
    <xf numFmtId="49" fontId="3" fillId="0" borderId="18" xfId="0" applyNumberFormat="1" applyFont="1" applyFill="1" applyBorder="1" applyAlignment="1">
      <alignment horizontal="center" vertical="top" wrapText="1"/>
    </xf>
    <xf numFmtId="164" fontId="3" fillId="6" borderId="14" xfId="0" applyNumberFormat="1" applyFont="1" applyFill="1" applyBorder="1" applyAlignment="1">
      <alignment horizontal="right" vertical="top"/>
    </xf>
    <xf numFmtId="164" fontId="3" fillId="6" borderId="58" xfId="0" applyNumberFormat="1" applyFont="1" applyFill="1" applyBorder="1" applyAlignment="1">
      <alignment horizontal="right" vertical="top"/>
    </xf>
    <xf numFmtId="164" fontId="3" fillId="0" borderId="39" xfId="0" applyNumberFormat="1" applyFont="1" applyBorder="1" applyAlignment="1">
      <alignment horizontal="right" vertical="top"/>
    </xf>
    <xf numFmtId="164" fontId="3" fillId="0" borderId="49" xfId="0" applyNumberFormat="1" applyFont="1" applyFill="1" applyBorder="1" applyAlignment="1">
      <alignment horizontal="right" vertical="top"/>
    </xf>
    <xf numFmtId="164" fontId="5" fillId="3" borderId="68" xfId="0" applyNumberFormat="1" applyFont="1" applyFill="1" applyBorder="1" applyAlignment="1">
      <alignment horizontal="right" vertical="top"/>
    </xf>
    <xf numFmtId="164" fontId="18" fillId="0" borderId="45" xfId="0" applyNumberFormat="1" applyFont="1" applyFill="1" applyBorder="1" applyAlignment="1">
      <alignment horizontal="right" vertical="top"/>
    </xf>
    <xf numFmtId="164" fontId="18" fillId="0" borderId="21" xfId="0" applyNumberFormat="1" applyFont="1" applyFill="1" applyBorder="1" applyAlignment="1">
      <alignment horizontal="right" vertical="top"/>
    </xf>
    <xf numFmtId="164" fontId="18" fillId="8" borderId="21" xfId="0" applyNumberFormat="1" applyFont="1" applyFill="1" applyBorder="1" applyAlignment="1">
      <alignment horizontal="right" vertical="top"/>
    </xf>
    <xf numFmtId="164" fontId="18" fillId="0" borderId="83" xfId="0" applyNumberFormat="1" applyFont="1" applyFill="1" applyBorder="1" applyAlignment="1">
      <alignment horizontal="right" vertical="top"/>
    </xf>
    <xf numFmtId="164" fontId="18" fillId="8" borderId="84" xfId="0" applyNumberFormat="1" applyFont="1" applyFill="1" applyBorder="1" applyAlignment="1">
      <alignment horizontal="right" vertical="top"/>
    </xf>
    <xf numFmtId="164" fontId="3" fillId="0" borderId="96" xfId="0" applyNumberFormat="1" applyFont="1" applyBorder="1" applyAlignment="1">
      <alignment horizontal="right" vertical="top"/>
    </xf>
    <xf numFmtId="164" fontId="18" fillId="8" borderId="34" xfId="0" applyNumberFormat="1" applyFont="1" applyFill="1" applyBorder="1" applyAlignment="1">
      <alignment horizontal="right" vertical="top"/>
    </xf>
    <xf numFmtId="0" fontId="3" fillId="0" borderId="96" xfId="0" applyFont="1" applyFill="1" applyBorder="1" applyAlignment="1">
      <alignment vertical="top" wrapText="1"/>
    </xf>
    <xf numFmtId="164" fontId="18" fillId="8" borderId="88" xfId="0" applyNumberFormat="1" applyFont="1" applyFill="1" applyBorder="1" applyAlignment="1">
      <alignment horizontal="right" vertical="top"/>
    </xf>
    <xf numFmtId="49" fontId="3" fillId="0" borderId="21"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3" fontId="3" fillId="0" borderId="2" xfId="0" applyNumberFormat="1" applyFont="1" applyFill="1" applyBorder="1" applyAlignment="1">
      <alignment horizontal="center" vertical="top"/>
    </xf>
    <xf numFmtId="3" fontId="3" fillId="0" borderId="18" xfId="0" applyNumberFormat="1" applyFont="1" applyFill="1" applyBorder="1" applyAlignment="1">
      <alignment horizontal="center" vertical="top"/>
    </xf>
    <xf numFmtId="164" fontId="5" fillId="6" borderId="40" xfId="0" applyNumberFormat="1" applyFont="1" applyFill="1" applyBorder="1" applyAlignment="1">
      <alignment horizontal="right" vertical="top"/>
    </xf>
    <xf numFmtId="164" fontId="5" fillId="6" borderId="17" xfId="0" applyNumberFormat="1" applyFont="1" applyFill="1" applyBorder="1" applyAlignment="1">
      <alignment horizontal="right" vertical="top"/>
    </xf>
    <xf numFmtId="164" fontId="18" fillId="8" borderId="40" xfId="0" applyNumberFormat="1" applyFont="1" applyFill="1" applyBorder="1" applyAlignment="1">
      <alignment horizontal="right" vertical="top"/>
    </xf>
    <xf numFmtId="164" fontId="3" fillId="2" borderId="70" xfId="0" applyNumberFormat="1" applyFont="1" applyFill="1" applyBorder="1" applyAlignment="1">
      <alignment horizontal="right" vertical="top"/>
    </xf>
    <xf numFmtId="164" fontId="5" fillId="2" borderId="9" xfId="0" applyNumberFormat="1" applyFont="1" applyFill="1" applyBorder="1" applyAlignment="1">
      <alignment horizontal="right" vertical="top"/>
    </xf>
    <xf numFmtId="3" fontId="9" fillId="6" borderId="34" xfId="0" applyNumberFormat="1" applyFont="1" applyFill="1" applyBorder="1" applyAlignment="1">
      <alignment horizontal="center" vertical="top" wrapText="1"/>
    </xf>
    <xf numFmtId="3" fontId="3" fillId="6" borderId="34" xfId="0" applyNumberFormat="1" applyFont="1" applyFill="1" applyBorder="1" applyAlignment="1">
      <alignment vertical="top" wrapText="1"/>
    </xf>
    <xf numFmtId="3" fontId="3" fillId="6" borderId="33" xfId="0" applyNumberFormat="1" applyFont="1" applyFill="1" applyBorder="1" applyAlignment="1">
      <alignment vertical="top" wrapText="1"/>
    </xf>
    <xf numFmtId="0" fontId="3" fillId="10" borderId="10" xfId="0" applyFont="1" applyFill="1" applyBorder="1" applyAlignment="1">
      <alignment vertical="top" wrapText="1"/>
    </xf>
    <xf numFmtId="3" fontId="3" fillId="10" borderId="17" xfId="0" applyNumberFormat="1" applyFont="1" applyFill="1" applyBorder="1" applyAlignment="1">
      <alignment horizontal="center" vertical="top"/>
    </xf>
    <xf numFmtId="3" fontId="3" fillId="10" borderId="19" xfId="0" applyNumberFormat="1" applyFont="1" applyFill="1" applyBorder="1" applyAlignment="1">
      <alignment horizontal="center" vertical="top"/>
    </xf>
    <xf numFmtId="164" fontId="18" fillId="8" borderId="58" xfId="0" applyNumberFormat="1" applyFont="1" applyFill="1" applyBorder="1" applyAlignment="1">
      <alignment horizontal="right" vertical="top"/>
    </xf>
    <xf numFmtId="0" fontId="3" fillId="8" borderId="38" xfId="0" applyFont="1" applyFill="1" applyBorder="1" applyAlignment="1">
      <alignment vertical="top"/>
    </xf>
    <xf numFmtId="0" fontId="3" fillId="8" borderId="2" xfId="0" applyFont="1" applyFill="1" applyBorder="1" applyAlignment="1">
      <alignment vertical="top"/>
    </xf>
    <xf numFmtId="0" fontId="3" fillId="8" borderId="18" xfId="0" applyFont="1" applyFill="1" applyBorder="1" applyAlignment="1">
      <alignment vertical="top"/>
    </xf>
    <xf numFmtId="0" fontId="3" fillId="0" borderId="23" xfId="0" applyFont="1" applyBorder="1" applyAlignment="1">
      <alignment vertical="top"/>
    </xf>
    <xf numFmtId="0" fontId="3" fillId="0" borderId="44" xfId="0" applyFont="1" applyBorder="1" applyAlignment="1">
      <alignment vertical="top"/>
    </xf>
    <xf numFmtId="164" fontId="3" fillId="8" borderId="35" xfId="0" applyNumberFormat="1" applyFont="1" applyFill="1" applyBorder="1" applyAlignment="1">
      <alignment vertical="top"/>
    </xf>
    <xf numFmtId="164" fontId="3" fillId="8" borderId="74" xfId="0" applyNumberFormat="1" applyFont="1" applyFill="1" applyBorder="1" applyAlignment="1">
      <alignment vertical="top"/>
    </xf>
    <xf numFmtId="164" fontId="3" fillId="8" borderId="59" xfId="0" applyNumberFormat="1" applyFont="1" applyFill="1" applyBorder="1" applyAlignment="1">
      <alignment vertical="top"/>
    </xf>
    <xf numFmtId="164" fontId="3" fillId="8" borderId="36" xfId="0" applyNumberFormat="1" applyFont="1" applyFill="1" applyBorder="1" applyAlignment="1">
      <alignment vertical="top"/>
    </xf>
    <xf numFmtId="164" fontId="3" fillId="8" borderId="66" xfId="0" applyNumberFormat="1" applyFont="1" applyFill="1" applyBorder="1" applyAlignment="1">
      <alignment vertical="top"/>
    </xf>
    <xf numFmtId="164" fontId="3" fillId="2" borderId="49" xfId="0" applyNumberFormat="1" applyFont="1" applyFill="1" applyBorder="1" applyAlignment="1">
      <alignment horizontal="right" vertical="top" wrapText="1"/>
    </xf>
    <xf numFmtId="164" fontId="3" fillId="2" borderId="43" xfId="0" applyNumberFormat="1" applyFont="1" applyFill="1" applyBorder="1" applyAlignment="1">
      <alignment horizontal="center" vertical="top"/>
    </xf>
    <xf numFmtId="164" fontId="3" fillId="2" borderId="37" xfId="0" applyNumberFormat="1" applyFont="1" applyFill="1" applyBorder="1" applyAlignment="1">
      <alignment horizontal="center" vertical="top"/>
    </xf>
    <xf numFmtId="164" fontId="3" fillId="6" borderId="6" xfId="0" applyNumberFormat="1" applyFont="1" applyFill="1" applyBorder="1" applyAlignment="1">
      <alignment horizontal="right" vertical="top"/>
    </xf>
    <xf numFmtId="164" fontId="3" fillId="6" borderId="52" xfId="0" applyNumberFormat="1" applyFont="1" applyFill="1" applyBorder="1" applyAlignment="1">
      <alignment horizontal="right" vertical="top"/>
    </xf>
    <xf numFmtId="49" fontId="3" fillId="6" borderId="47" xfId="0" applyNumberFormat="1" applyFont="1" applyFill="1" applyBorder="1" applyAlignment="1">
      <alignment horizontal="center" vertical="top"/>
    </xf>
    <xf numFmtId="164" fontId="11" fillId="2" borderId="12" xfId="0" applyNumberFormat="1" applyFont="1" applyFill="1" applyBorder="1" applyAlignment="1">
      <alignment horizontal="center" vertical="top" wrapText="1"/>
    </xf>
    <xf numFmtId="164" fontId="11" fillId="2" borderId="13" xfId="0" applyNumberFormat="1" applyFont="1" applyFill="1" applyBorder="1" applyAlignment="1">
      <alignment horizontal="center" vertical="top" wrapText="1"/>
    </xf>
    <xf numFmtId="164" fontId="11" fillId="2" borderId="2" xfId="0" applyNumberFormat="1" applyFont="1" applyFill="1" applyBorder="1" applyAlignment="1">
      <alignment horizontal="center" vertical="top" wrapText="1"/>
    </xf>
    <xf numFmtId="164" fontId="11" fillId="2" borderId="37" xfId="0" applyNumberFormat="1" applyFont="1" applyFill="1" applyBorder="1" applyAlignment="1">
      <alignment horizontal="center" vertical="top" wrapText="1"/>
    </xf>
    <xf numFmtId="164" fontId="11" fillId="2" borderId="15" xfId="0" applyNumberFormat="1" applyFont="1" applyFill="1" applyBorder="1" applyAlignment="1">
      <alignment horizontal="center" vertical="top" wrapText="1"/>
    </xf>
    <xf numFmtId="164" fontId="11" fillId="8" borderId="38" xfId="0" applyNumberFormat="1" applyFont="1" applyFill="1" applyBorder="1" applyAlignment="1">
      <alignment horizontal="center" vertical="top" wrapText="1"/>
    </xf>
    <xf numFmtId="164" fontId="11" fillId="8" borderId="2" xfId="0" applyNumberFormat="1" applyFont="1" applyFill="1" applyBorder="1" applyAlignment="1">
      <alignment horizontal="center" vertical="top" wrapText="1"/>
    </xf>
    <xf numFmtId="164" fontId="11" fillId="8" borderId="37" xfId="0" applyNumberFormat="1" applyFont="1" applyFill="1" applyBorder="1" applyAlignment="1">
      <alignment horizontal="center" vertical="top" wrapText="1"/>
    </xf>
    <xf numFmtId="49" fontId="3" fillId="6" borderId="50" xfId="0" applyNumberFormat="1" applyFont="1" applyFill="1" applyBorder="1" applyAlignment="1">
      <alignment horizontal="center" vertical="top"/>
    </xf>
    <xf numFmtId="164" fontId="11" fillId="2" borderId="51" xfId="0" applyNumberFormat="1" applyFont="1" applyFill="1" applyBorder="1" applyAlignment="1">
      <alignment horizontal="center" vertical="top" wrapText="1"/>
    </xf>
    <xf numFmtId="164" fontId="11" fillId="2" borderId="48" xfId="0" applyNumberFormat="1" applyFont="1" applyFill="1" applyBorder="1" applyAlignment="1">
      <alignment horizontal="center" vertical="top" wrapText="1"/>
    </xf>
    <xf numFmtId="164" fontId="11" fillId="2" borderId="45" xfId="0" applyNumberFormat="1" applyFont="1" applyFill="1" applyBorder="1" applyAlignment="1">
      <alignment horizontal="center" vertical="top" wrapText="1"/>
    </xf>
    <xf numFmtId="164" fontId="11" fillId="2" borderId="1" xfId="0" applyNumberFormat="1" applyFont="1" applyFill="1" applyBorder="1" applyAlignment="1">
      <alignment horizontal="center" vertical="top" wrapText="1"/>
    </xf>
    <xf numFmtId="164" fontId="11" fillId="8" borderId="51" xfId="0" applyNumberFormat="1" applyFont="1" applyFill="1" applyBorder="1" applyAlignment="1">
      <alignment horizontal="center" vertical="top" wrapText="1"/>
    </xf>
    <xf numFmtId="164" fontId="11" fillId="8" borderId="48" xfId="0" applyNumberFormat="1" applyFont="1" applyFill="1" applyBorder="1" applyAlignment="1">
      <alignment horizontal="center" vertical="top" wrapText="1"/>
    </xf>
    <xf numFmtId="49" fontId="3" fillId="6" borderId="62" xfId="0" applyNumberFormat="1" applyFont="1" applyFill="1" applyBorder="1" applyAlignment="1">
      <alignment horizontal="center" vertical="top"/>
    </xf>
    <xf numFmtId="164" fontId="5" fillId="8" borderId="51" xfId="0" applyNumberFormat="1" applyFont="1" applyFill="1" applyBorder="1" applyAlignment="1">
      <alignment horizontal="center" vertical="top" wrapText="1"/>
    </xf>
    <xf numFmtId="164" fontId="5" fillId="8" borderId="48" xfId="0" applyNumberFormat="1" applyFont="1" applyFill="1" applyBorder="1" applyAlignment="1">
      <alignment horizontal="center" vertical="top" wrapText="1"/>
    </xf>
    <xf numFmtId="164" fontId="5" fillId="8" borderId="45" xfId="0" applyNumberFormat="1" applyFont="1" applyFill="1" applyBorder="1" applyAlignment="1">
      <alignment horizontal="center" vertical="top" wrapText="1"/>
    </xf>
    <xf numFmtId="164" fontId="5" fillId="8" borderId="1" xfId="0" applyNumberFormat="1" applyFont="1" applyFill="1" applyBorder="1" applyAlignment="1">
      <alignment horizontal="center" vertical="top" wrapText="1"/>
    </xf>
    <xf numFmtId="164" fontId="5" fillId="11" borderId="68" xfId="0" applyNumberFormat="1" applyFont="1" applyFill="1" applyBorder="1" applyAlignment="1">
      <alignment horizontal="right" vertical="top"/>
    </xf>
    <xf numFmtId="164" fontId="5" fillId="11" borderId="25" xfId="0" applyNumberFormat="1" applyFont="1" applyFill="1" applyBorder="1" applyAlignment="1">
      <alignment horizontal="right" vertical="top"/>
    </xf>
    <xf numFmtId="164" fontId="5" fillId="4" borderId="63" xfId="0" applyNumberFormat="1" applyFont="1" applyFill="1" applyBorder="1" applyAlignment="1">
      <alignment horizontal="right" vertical="top"/>
    </xf>
    <xf numFmtId="164" fontId="5" fillId="4" borderId="22" xfId="0" applyNumberFormat="1" applyFont="1" applyFill="1" applyBorder="1" applyAlignment="1">
      <alignment horizontal="right" vertical="top"/>
    </xf>
    <xf numFmtId="164" fontId="5" fillId="4" borderId="69" xfId="0" applyNumberFormat="1" applyFont="1" applyFill="1" applyBorder="1" applyAlignment="1">
      <alignment horizontal="right" vertical="top"/>
    </xf>
    <xf numFmtId="164" fontId="5" fillId="4" borderId="7" xfId="0" applyNumberFormat="1" applyFont="1" applyFill="1" applyBorder="1" applyAlignment="1">
      <alignment horizontal="right" vertical="top"/>
    </xf>
    <xf numFmtId="164" fontId="3" fillId="0" borderId="24" xfId="0" applyNumberFormat="1" applyFont="1" applyBorder="1" applyAlignment="1">
      <alignment horizontal="right" vertical="top"/>
    </xf>
    <xf numFmtId="164" fontId="5" fillId="4" borderId="24" xfId="0" applyNumberFormat="1" applyFont="1" applyFill="1" applyBorder="1" applyAlignment="1">
      <alignment horizontal="right" vertical="top"/>
    </xf>
    <xf numFmtId="164" fontId="5" fillId="5" borderId="66" xfId="0" applyNumberFormat="1" applyFont="1" applyFill="1" applyBorder="1" applyAlignment="1">
      <alignment horizontal="right" vertical="top"/>
    </xf>
    <xf numFmtId="164" fontId="18" fillId="2" borderId="39" xfId="0" applyNumberFormat="1" applyFont="1" applyFill="1" applyBorder="1" applyAlignment="1">
      <alignment horizontal="right" vertical="top"/>
    </xf>
    <xf numFmtId="164" fontId="5" fillId="6" borderId="88" xfId="0" applyNumberFormat="1" applyFont="1" applyFill="1" applyBorder="1" applyAlignment="1">
      <alignment horizontal="right" vertical="top"/>
    </xf>
    <xf numFmtId="164" fontId="18" fillId="2" borderId="87" xfId="0" applyNumberFormat="1" applyFont="1" applyFill="1" applyBorder="1" applyAlignment="1">
      <alignment horizontal="right" vertical="top"/>
    </xf>
    <xf numFmtId="164" fontId="18" fillId="2" borderId="80" xfId="0" applyNumberFormat="1" applyFont="1" applyFill="1" applyBorder="1" applyAlignment="1">
      <alignment horizontal="right" vertical="top"/>
    </xf>
    <xf numFmtId="164" fontId="3" fillId="2" borderId="86" xfId="0" applyNumberFormat="1" applyFont="1" applyFill="1" applyBorder="1" applyAlignment="1">
      <alignment horizontal="right" vertical="top"/>
    </xf>
    <xf numFmtId="164" fontId="5" fillId="2" borderId="86" xfId="0" applyNumberFormat="1" applyFont="1" applyFill="1" applyBorder="1" applyAlignment="1">
      <alignment horizontal="right" vertical="top"/>
    </xf>
    <xf numFmtId="164" fontId="21" fillId="0" borderId="10" xfId="0" applyNumberFormat="1" applyFont="1" applyBorder="1" applyAlignment="1">
      <alignment horizontal="right" vertical="top"/>
    </xf>
    <xf numFmtId="164" fontId="21" fillId="0" borderId="17" xfId="0" applyNumberFormat="1" applyFont="1" applyBorder="1" applyAlignment="1">
      <alignment horizontal="right" vertical="top"/>
    </xf>
    <xf numFmtId="164" fontId="21" fillId="0" borderId="90" xfId="0" applyNumberFormat="1" applyFont="1" applyBorder="1" applyAlignment="1">
      <alignment horizontal="right" vertical="top"/>
    </xf>
    <xf numFmtId="49" fontId="5" fillId="3" borderId="28" xfId="0" applyNumberFormat="1" applyFont="1" applyFill="1" applyBorder="1" applyAlignment="1">
      <alignment horizontal="center" vertical="top" wrapText="1"/>
    </xf>
    <xf numFmtId="0" fontId="3" fillId="0" borderId="10" xfId="1" applyFont="1" applyFill="1" applyBorder="1" applyAlignment="1">
      <alignment vertical="top" wrapText="1"/>
    </xf>
    <xf numFmtId="0" fontId="3" fillId="2" borderId="10" xfId="0" applyFont="1" applyFill="1" applyBorder="1" applyAlignment="1">
      <alignment horizontal="left" vertical="top" wrapText="1"/>
    </xf>
    <xf numFmtId="165" fontId="3" fillId="0" borderId="19" xfId="0" applyNumberFormat="1" applyFont="1" applyFill="1" applyBorder="1" applyAlignment="1">
      <alignment horizontal="center" vertical="top" wrapText="1"/>
    </xf>
    <xf numFmtId="164" fontId="18" fillId="6" borderId="94" xfId="0" applyNumberFormat="1" applyFont="1" applyFill="1" applyBorder="1" applyAlignment="1">
      <alignment horizontal="right" vertical="top"/>
    </xf>
    <xf numFmtId="164" fontId="18" fillId="6" borderId="84" xfId="0" applyNumberFormat="1" applyFont="1" applyFill="1" applyBorder="1" applyAlignment="1">
      <alignment horizontal="right" vertical="top"/>
    </xf>
    <xf numFmtId="164" fontId="3" fillId="2" borderId="58" xfId="0" applyNumberFormat="1" applyFont="1" applyFill="1" applyBorder="1" applyAlignment="1">
      <alignment horizontal="right" vertical="top"/>
    </xf>
    <xf numFmtId="0" fontId="8" fillId="0" borderId="8" xfId="0" applyFont="1" applyFill="1" applyBorder="1" applyAlignment="1">
      <alignment horizontal="center" vertical="center" textRotation="90" wrapText="1"/>
    </xf>
    <xf numFmtId="0" fontId="8" fillId="0" borderId="45" xfId="0" applyFont="1" applyFill="1" applyBorder="1" applyAlignment="1">
      <alignment horizontal="center" vertical="center" textRotation="90" wrapText="1"/>
    </xf>
    <xf numFmtId="0" fontId="31" fillId="0" borderId="10" xfId="0" applyFont="1" applyFill="1" applyBorder="1" applyAlignment="1">
      <alignment horizontal="center" vertical="center" textRotation="90" wrapText="1"/>
    </xf>
    <xf numFmtId="49" fontId="5" fillId="0" borderId="13" xfId="0" applyNumberFormat="1" applyFont="1" applyBorder="1" applyAlignment="1">
      <alignment horizontal="center" vertical="top"/>
    </xf>
    <xf numFmtId="49" fontId="5" fillId="11" borderId="45" xfId="0" applyNumberFormat="1" applyFont="1" applyFill="1" applyBorder="1" applyAlignment="1">
      <alignment horizontal="center" vertical="top"/>
    </xf>
    <xf numFmtId="0" fontId="3" fillId="0" borderId="18" xfId="0" applyFont="1" applyBorder="1" applyAlignment="1">
      <alignment horizontal="center" vertical="center" shrinkToFit="1"/>
    </xf>
    <xf numFmtId="3" fontId="9" fillId="0" borderId="81" xfId="0" applyNumberFormat="1" applyFont="1" applyBorder="1" applyAlignment="1">
      <alignment horizontal="center" vertical="top" wrapText="1"/>
    </xf>
    <xf numFmtId="3" fontId="9" fillId="0" borderId="92" xfId="0" applyNumberFormat="1" applyFont="1" applyBorder="1" applyAlignment="1">
      <alignment horizontal="center" vertical="top"/>
    </xf>
    <xf numFmtId="3" fontId="9" fillId="6" borderId="92" xfId="0" applyNumberFormat="1" applyFont="1" applyFill="1" applyBorder="1" applyAlignment="1">
      <alignment horizontal="center" vertical="top"/>
    </xf>
    <xf numFmtId="3" fontId="9" fillId="0" borderId="92" xfId="0" applyNumberFormat="1" applyFont="1" applyFill="1" applyBorder="1" applyAlignment="1">
      <alignment horizontal="center" vertical="top" wrapText="1"/>
    </xf>
    <xf numFmtId="3" fontId="3" fillId="0" borderId="18" xfId="1" applyNumberFormat="1" applyFont="1" applyFill="1" applyBorder="1" applyAlignment="1">
      <alignment horizontal="center" vertical="center"/>
    </xf>
    <xf numFmtId="49" fontId="3" fillId="6" borderId="18" xfId="1" applyNumberFormat="1" applyFont="1" applyFill="1" applyBorder="1" applyAlignment="1">
      <alignment horizontal="center" vertical="center"/>
    </xf>
    <xf numFmtId="3" fontId="3" fillId="2" borderId="33" xfId="0" applyNumberFormat="1" applyFont="1" applyFill="1" applyBorder="1" applyAlignment="1">
      <alignment horizontal="center" vertical="top" wrapText="1"/>
    </xf>
    <xf numFmtId="3" fontId="3" fillId="10" borderId="36" xfId="1" applyNumberFormat="1" applyFont="1" applyFill="1" applyBorder="1" applyAlignment="1">
      <alignment vertical="top"/>
    </xf>
    <xf numFmtId="3" fontId="3" fillId="0" borderId="18" xfId="1" applyNumberFormat="1" applyFont="1" applyFill="1" applyBorder="1" applyAlignment="1">
      <alignment horizontal="center" vertical="top"/>
    </xf>
    <xf numFmtId="3" fontId="3" fillId="0" borderId="19" xfId="1" applyNumberFormat="1" applyFont="1" applyFill="1" applyBorder="1" applyAlignment="1">
      <alignment horizontal="center" vertical="top"/>
    </xf>
    <xf numFmtId="3" fontId="9" fillId="6" borderId="33" xfId="0" applyNumberFormat="1" applyFont="1" applyFill="1" applyBorder="1" applyAlignment="1">
      <alignment horizontal="center" vertical="top" wrapText="1"/>
    </xf>
    <xf numFmtId="0" fontId="7" fillId="9" borderId="69" xfId="0" applyNumberFormat="1" applyFont="1" applyFill="1" applyBorder="1" applyAlignment="1">
      <alignment horizontal="center" vertical="top" wrapText="1"/>
    </xf>
    <xf numFmtId="0" fontId="3" fillId="0" borderId="1" xfId="0" applyNumberFormat="1" applyFont="1" applyFill="1" applyBorder="1" applyAlignment="1">
      <alignment horizontal="center" vertical="top"/>
    </xf>
    <xf numFmtId="0" fontId="5" fillId="0" borderId="0" xfId="0" applyNumberFormat="1" applyFont="1" applyAlignment="1">
      <alignment vertical="top"/>
    </xf>
    <xf numFmtId="0" fontId="9" fillId="0" borderId="0" xfId="0" applyFont="1" applyAlignment="1">
      <alignment horizontal="center" vertical="top"/>
    </xf>
    <xf numFmtId="0" fontId="3" fillId="2" borderId="16" xfId="0" applyFont="1" applyFill="1" applyBorder="1" applyAlignment="1">
      <alignment horizontal="left" vertical="top" wrapText="1"/>
    </xf>
    <xf numFmtId="0" fontId="3" fillId="0" borderId="31" xfId="0" applyFont="1" applyBorder="1" applyAlignment="1">
      <alignment vertical="top"/>
    </xf>
    <xf numFmtId="49" fontId="5" fillId="0" borderId="55" xfId="0" applyNumberFormat="1" applyFont="1" applyBorder="1" applyAlignment="1">
      <alignment horizontal="center" vertical="top"/>
    </xf>
    <xf numFmtId="0" fontId="3" fillId="0" borderId="76" xfId="0" applyFont="1" applyFill="1" applyBorder="1" applyAlignment="1">
      <alignment horizontal="center" vertical="top"/>
    </xf>
    <xf numFmtId="0" fontId="5" fillId="0" borderId="25" xfId="0" applyFont="1" applyBorder="1" applyAlignment="1">
      <alignment horizontal="center" vertical="center" wrapText="1"/>
    </xf>
    <xf numFmtId="165" fontId="3" fillId="0" borderId="19" xfId="0" applyNumberFormat="1" applyFont="1" applyFill="1" applyBorder="1" applyAlignment="1">
      <alignment horizontal="center" vertical="top" textRotation="90"/>
    </xf>
    <xf numFmtId="0" fontId="5" fillId="2" borderId="15" xfId="0" applyFont="1" applyFill="1" applyBorder="1" applyAlignment="1">
      <alignment vertical="top" wrapText="1"/>
    </xf>
    <xf numFmtId="0" fontId="3" fillId="0" borderId="78" xfId="0" applyFont="1" applyFill="1" applyBorder="1" applyAlignment="1">
      <alignment horizontal="center" vertical="top" textRotation="90" wrapText="1"/>
    </xf>
    <xf numFmtId="49" fontId="3" fillId="0" borderId="14" xfId="0" applyNumberFormat="1" applyFont="1" applyBorder="1" applyAlignment="1">
      <alignment horizontal="center" vertical="top" wrapText="1"/>
    </xf>
    <xf numFmtId="49" fontId="5" fillId="0" borderId="15" xfId="0" applyNumberFormat="1" applyFont="1" applyBorder="1" applyAlignment="1">
      <alignment horizontal="center" vertical="top"/>
    </xf>
    <xf numFmtId="0" fontId="3" fillId="0" borderId="98" xfId="0" applyFont="1" applyBorder="1" applyAlignment="1">
      <alignment horizontal="center" vertical="top"/>
    </xf>
    <xf numFmtId="3" fontId="3" fillId="6" borderId="18" xfId="1" applyNumberFormat="1" applyFont="1" applyFill="1" applyBorder="1" applyAlignment="1">
      <alignment horizontal="center" vertical="top"/>
    </xf>
    <xf numFmtId="49" fontId="5" fillId="10" borderId="62" xfId="0" applyNumberFormat="1" applyFont="1" applyFill="1" applyBorder="1" applyAlignment="1">
      <alignment horizontal="center" vertical="top"/>
    </xf>
    <xf numFmtId="49" fontId="5" fillId="10" borderId="67" xfId="0" applyNumberFormat="1" applyFont="1" applyFill="1" applyBorder="1" applyAlignment="1">
      <alignment vertical="top"/>
    </xf>
    <xf numFmtId="0" fontId="2" fillId="0" borderId="16" xfId="0" applyFont="1" applyFill="1" applyBorder="1" applyAlignment="1">
      <alignment horizontal="center" vertical="center" textRotation="90" wrapText="1" shrinkToFit="1"/>
    </xf>
    <xf numFmtId="3" fontId="3" fillId="0" borderId="39" xfId="0" applyNumberFormat="1" applyFont="1" applyBorder="1" applyAlignment="1">
      <alignment horizontal="center" vertical="top"/>
    </xf>
    <xf numFmtId="3" fontId="5" fillId="8" borderId="60" xfId="0" applyNumberFormat="1" applyFont="1" applyFill="1" applyBorder="1" applyAlignment="1">
      <alignment horizontal="center" vertical="top"/>
    </xf>
    <xf numFmtId="3" fontId="5" fillId="3" borderId="56" xfId="0" applyNumberFormat="1" applyFont="1" applyFill="1" applyBorder="1" applyAlignment="1">
      <alignment horizontal="center" vertical="top"/>
    </xf>
    <xf numFmtId="3" fontId="5" fillId="8" borderId="35" xfId="0" applyNumberFormat="1" applyFont="1" applyFill="1" applyBorder="1" applyAlignment="1">
      <alignment horizontal="center" vertical="top"/>
    </xf>
    <xf numFmtId="3" fontId="5" fillId="3" borderId="22" xfId="0" applyNumberFormat="1" applyFont="1" applyFill="1" applyBorder="1" applyAlignment="1">
      <alignment horizontal="center" vertical="top"/>
    </xf>
    <xf numFmtId="3" fontId="5" fillId="11" borderId="56" xfId="0" applyNumberFormat="1" applyFont="1" applyFill="1" applyBorder="1" applyAlignment="1">
      <alignment horizontal="center" vertical="top"/>
    </xf>
    <xf numFmtId="3" fontId="5" fillId="4" borderId="56" xfId="0" applyNumberFormat="1" applyFont="1" applyFill="1" applyBorder="1" applyAlignment="1">
      <alignment horizontal="center" vertical="top"/>
    </xf>
    <xf numFmtId="3" fontId="5" fillId="4" borderId="7" xfId="0" applyNumberFormat="1" applyFont="1" applyFill="1" applyBorder="1" applyAlignment="1">
      <alignment horizontal="center" vertical="top" wrapText="1"/>
    </xf>
    <xf numFmtId="3" fontId="3" fillId="0" borderId="23" xfId="0" applyNumberFormat="1" applyFont="1" applyBorder="1" applyAlignment="1">
      <alignment horizontal="center" vertical="top" wrapText="1"/>
    </xf>
    <xf numFmtId="3" fontId="5" fillId="4" borderId="23" xfId="0" applyNumberFormat="1" applyFont="1" applyFill="1" applyBorder="1" applyAlignment="1">
      <alignment horizontal="center" vertical="top" wrapText="1"/>
    </xf>
    <xf numFmtId="3" fontId="5" fillId="5" borderId="66" xfId="0" applyNumberFormat="1" applyFont="1" applyFill="1" applyBorder="1" applyAlignment="1">
      <alignment horizontal="center" vertical="top" wrapText="1"/>
    </xf>
    <xf numFmtId="3" fontId="3" fillId="0" borderId="33" xfId="0" applyNumberFormat="1" applyFont="1" applyFill="1" applyBorder="1" applyAlignment="1">
      <alignment horizontal="center" vertical="top" wrapText="1"/>
    </xf>
    <xf numFmtId="0" fontId="9" fillId="0" borderId="4" xfId="0" applyFont="1" applyBorder="1" applyAlignment="1">
      <alignment horizontal="center" vertical="center" textRotation="90" shrinkToFit="1"/>
    </xf>
    <xf numFmtId="49" fontId="3" fillId="6" borderId="0" xfId="0" applyNumberFormat="1" applyFont="1" applyFill="1" applyBorder="1" applyAlignment="1">
      <alignment horizontal="center" vertical="top" wrapText="1"/>
    </xf>
    <xf numFmtId="49" fontId="5" fillId="6" borderId="33" xfId="0" applyNumberFormat="1" applyFont="1" applyFill="1" applyBorder="1" applyAlignment="1">
      <alignment horizontal="center" vertical="top"/>
    </xf>
    <xf numFmtId="0" fontId="0" fillId="6" borderId="0" xfId="0" applyFill="1" applyBorder="1" applyAlignment="1">
      <alignment horizontal="center" vertical="top" wrapText="1"/>
    </xf>
    <xf numFmtId="49" fontId="5" fillId="6" borderId="21" xfId="0" applyNumberFormat="1" applyFont="1" applyFill="1" applyBorder="1" applyAlignment="1">
      <alignment horizontal="center" vertical="top"/>
    </xf>
    <xf numFmtId="49" fontId="3" fillId="6" borderId="17" xfId="0" applyNumberFormat="1" applyFont="1" applyFill="1" applyBorder="1" applyAlignment="1">
      <alignment horizontal="center" vertical="top"/>
    </xf>
    <xf numFmtId="0" fontId="3" fillId="6" borderId="45" xfId="0" applyFont="1" applyFill="1" applyBorder="1" applyAlignment="1">
      <alignment horizontal="center" vertical="center" textRotation="90" wrapText="1"/>
    </xf>
    <xf numFmtId="0" fontId="3" fillId="6" borderId="10" xfId="0" applyFont="1" applyFill="1" applyBorder="1" applyAlignment="1">
      <alignment horizontal="center" vertical="center" textRotation="90" wrapText="1"/>
    </xf>
    <xf numFmtId="49" fontId="5" fillId="6" borderId="1" xfId="0" applyNumberFormat="1" applyFont="1" applyFill="1" applyBorder="1" applyAlignment="1">
      <alignment horizontal="center" vertical="top"/>
    </xf>
    <xf numFmtId="49" fontId="3" fillId="6" borderId="0" xfId="0" applyNumberFormat="1" applyFont="1" applyFill="1" applyBorder="1" applyAlignment="1">
      <alignment horizontal="center" vertical="center" wrapText="1"/>
    </xf>
    <xf numFmtId="0" fontId="18" fillId="0" borderId="45" xfId="0" applyFont="1" applyFill="1" applyBorder="1" applyAlignment="1">
      <alignment horizontal="left" vertical="top" wrapText="1"/>
    </xf>
    <xf numFmtId="165" fontId="18" fillId="0" borderId="1" xfId="0" applyNumberFormat="1" applyFont="1" applyFill="1" applyBorder="1" applyAlignment="1">
      <alignment horizontal="center" vertical="top" wrapText="1"/>
    </xf>
    <xf numFmtId="0" fontId="5" fillId="10" borderId="61" xfId="0" applyFont="1" applyFill="1" applyBorder="1" applyAlignment="1">
      <alignment horizontal="center" vertical="top"/>
    </xf>
    <xf numFmtId="49" fontId="3" fillId="0" borderId="33" xfId="0" applyNumberFormat="1" applyFont="1" applyFill="1" applyBorder="1" applyAlignment="1">
      <alignment horizontal="center" vertical="top" wrapText="1"/>
    </xf>
    <xf numFmtId="0" fontId="5" fillId="10" borderId="66" xfId="0" applyFont="1" applyFill="1" applyBorder="1" applyAlignment="1">
      <alignment horizontal="center" vertical="top"/>
    </xf>
    <xf numFmtId="0" fontId="3" fillId="6" borderId="24" xfId="0" applyFont="1" applyFill="1" applyBorder="1" applyAlignment="1">
      <alignment horizontal="center" vertical="top" wrapText="1"/>
    </xf>
    <xf numFmtId="0" fontId="3" fillId="6" borderId="6" xfId="0" applyFont="1" applyFill="1" applyBorder="1" applyAlignment="1">
      <alignment horizontal="center" vertical="top" wrapText="1"/>
    </xf>
    <xf numFmtId="49" fontId="5" fillId="0" borderId="13" xfId="0" applyNumberFormat="1" applyFont="1" applyFill="1" applyBorder="1" applyAlignment="1">
      <alignment horizontal="center" vertical="top"/>
    </xf>
    <xf numFmtId="0" fontId="7" fillId="6" borderId="40" xfId="0" applyFont="1" applyFill="1" applyBorder="1" applyAlignment="1">
      <alignment horizontal="center" vertical="top" wrapText="1"/>
    </xf>
    <xf numFmtId="0" fontId="7" fillId="6" borderId="49" xfId="0" applyFont="1" applyFill="1" applyBorder="1" applyAlignment="1">
      <alignment horizontal="center" vertical="top" wrapText="1"/>
    </xf>
    <xf numFmtId="0" fontId="0" fillId="6" borderId="19" xfId="0" applyFill="1" applyBorder="1" applyAlignment="1">
      <alignment horizontal="center" vertical="top"/>
    </xf>
    <xf numFmtId="49" fontId="5" fillId="0" borderId="15" xfId="0" applyNumberFormat="1" applyFont="1" applyFill="1" applyBorder="1" applyAlignment="1">
      <alignment horizontal="center" vertical="top"/>
    </xf>
    <xf numFmtId="0" fontId="7" fillId="0" borderId="7" xfId="0" applyFont="1" applyBorder="1" applyAlignment="1">
      <alignment horizontal="center" vertical="top" wrapText="1"/>
    </xf>
    <xf numFmtId="49" fontId="3" fillId="0" borderId="7" xfId="0" applyNumberFormat="1" applyFont="1" applyBorder="1" applyAlignment="1">
      <alignment horizontal="center" vertical="center" wrapText="1"/>
    </xf>
    <xf numFmtId="0" fontId="3" fillId="0" borderId="111" xfId="0" applyFont="1" applyFill="1" applyBorder="1" applyAlignment="1">
      <alignment horizontal="center" vertical="top"/>
    </xf>
    <xf numFmtId="0" fontId="3" fillId="6" borderId="45" xfId="0" applyFont="1" applyFill="1" applyBorder="1" applyAlignment="1">
      <alignment horizontal="left" vertical="top" wrapText="1"/>
    </xf>
    <xf numFmtId="3" fontId="3" fillId="6" borderId="1" xfId="0" applyNumberFormat="1" applyFont="1" applyFill="1" applyBorder="1" applyAlignment="1">
      <alignment horizontal="center" vertical="top"/>
    </xf>
    <xf numFmtId="49" fontId="3" fillId="0" borderId="24" xfId="0" applyNumberFormat="1" applyFont="1" applyFill="1" applyBorder="1" applyAlignment="1">
      <alignment horizontal="center" vertical="top" wrapText="1"/>
    </xf>
    <xf numFmtId="0" fontId="3" fillId="6" borderId="46" xfId="0" applyFont="1" applyFill="1" applyBorder="1" applyAlignment="1">
      <alignment horizontal="center" vertical="top"/>
    </xf>
    <xf numFmtId="3" fontId="3" fillId="0" borderId="49" xfId="0" applyNumberFormat="1" applyFont="1" applyBorder="1" applyAlignment="1">
      <alignment horizontal="center" vertical="top"/>
    </xf>
    <xf numFmtId="0" fontId="3" fillId="6" borderId="46" xfId="0" applyFont="1" applyFill="1" applyBorder="1" applyAlignment="1">
      <alignment horizontal="center" vertical="top" wrapText="1"/>
    </xf>
    <xf numFmtId="3" fontId="3" fillId="6" borderId="54" xfId="0" applyNumberFormat="1" applyFont="1" applyFill="1" applyBorder="1" applyAlignment="1">
      <alignment horizontal="center" vertical="top"/>
    </xf>
    <xf numFmtId="0" fontId="3" fillId="6" borderId="40" xfId="0" applyFont="1" applyFill="1" applyBorder="1" applyAlignment="1">
      <alignment horizontal="center" vertical="top" textRotation="90" wrapText="1"/>
    </xf>
    <xf numFmtId="49" fontId="3" fillId="0" borderId="34" xfId="0" applyNumberFormat="1" applyFont="1" applyBorder="1" applyAlignment="1">
      <alignment horizontal="center" vertical="top" textRotation="90"/>
    </xf>
    <xf numFmtId="49" fontId="2" fillId="0" borderId="34" xfId="0" applyNumberFormat="1" applyFont="1" applyBorder="1" applyAlignment="1">
      <alignment horizontal="center" vertical="top" textRotation="90"/>
    </xf>
    <xf numFmtId="49" fontId="3" fillId="6" borderId="17" xfId="0" applyNumberFormat="1" applyFont="1" applyFill="1" applyBorder="1" applyAlignment="1">
      <alignment horizontal="center" vertical="top" textRotation="90"/>
    </xf>
    <xf numFmtId="49" fontId="2" fillId="10" borderId="30" xfId="0" applyNumberFormat="1" applyFont="1" applyFill="1" applyBorder="1" applyAlignment="1">
      <alignment horizontal="center" vertical="top" textRotation="90" wrapText="1"/>
    </xf>
    <xf numFmtId="49" fontId="2" fillId="0" borderId="13" xfId="0" applyNumberFormat="1" applyFont="1" applyFill="1" applyBorder="1" applyAlignment="1">
      <alignment horizontal="center" vertical="top" textRotation="90"/>
    </xf>
    <xf numFmtId="49" fontId="2" fillId="0" borderId="17" xfId="0" applyNumberFormat="1" applyFont="1" applyBorder="1" applyAlignment="1">
      <alignment horizontal="center" vertical="top" textRotation="90" wrapText="1"/>
    </xf>
    <xf numFmtId="49" fontId="2" fillId="0" borderId="2" xfId="0" applyNumberFormat="1" applyFont="1" applyBorder="1" applyAlignment="1">
      <alignment horizontal="center" vertical="top" textRotation="90" wrapText="1"/>
    </xf>
    <xf numFmtId="0" fontId="9" fillId="0" borderId="96" xfId="0" applyFont="1" applyBorder="1" applyAlignment="1">
      <alignment horizontal="center" textRotation="90"/>
    </xf>
    <xf numFmtId="0" fontId="0" fillId="6" borderId="33" xfId="0" applyFill="1" applyBorder="1" applyAlignment="1">
      <alignment horizontal="center" vertical="top"/>
    </xf>
    <xf numFmtId="0" fontId="3" fillId="6" borderId="70" xfId="0" applyFont="1" applyFill="1" applyBorder="1" applyAlignment="1">
      <alignment horizontal="center" vertical="top" textRotation="90" wrapText="1"/>
    </xf>
    <xf numFmtId="0" fontId="3" fillId="6" borderId="57" xfId="0" applyFont="1" applyFill="1" applyBorder="1" applyAlignment="1">
      <alignment horizontal="center" vertical="top" textRotation="90" wrapText="1"/>
    </xf>
    <xf numFmtId="49" fontId="2" fillId="0" borderId="48" xfId="0" applyNumberFormat="1" applyFont="1" applyBorder="1" applyAlignment="1">
      <alignment horizontal="center" vertical="top" textRotation="90" wrapText="1"/>
    </xf>
    <xf numFmtId="0" fontId="0" fillId="0" borderId="31" xfId="0" applyBorder="1" applyAlignment="1">
      <alignment horizontal="center" vertical="top" textRotation="90" wrapText="1"/>
    </xf>
    <xf numFmtId="0" fontId="0" fillId="0" borderId="33" xfId="0" applyBorder="1" applyAlignment="1">
      <alignment horizontal="center" vertical="top" wrapText="1"/>
    </xf>
    <xf numFmtId="0" fontId="24" fillId="0" borderId="1" xfId="0" applyFont="1" applyBorder="1" applyAlignment="1">
      <alignment horizontal="center" vertical="top"/>
    </xf>
    <xf numFmtId="0" fontId="0" fillId="0" borderId="45" xfId="0" applyBorder="1" applyAlignment="1">
      <alignment horizontal="center" vertical="top" textRotation="90" wrapText="1"/>
    </xf>
    <xf numFmtId="0" fontId="0" fillId="0" borderId="1" xfId="0" applyBorder="1" applyAlignment="1">
      <alignment horizontal="center" vertical="top" wrapText="1"/>
    </xf>
    <xf numFmtId="164" fontId="3" fillId="0" borderId="49" xfId="0" applyNumberFormat="1" applyFont="1" applyBorder="1" applyAlignment="1">
      <alignment horizontal="center" vertical="top"/>
    </xf>
    <xf numFmtId="3" fontId="18" fillId="6" borderId="53" xfId="0" applyNumberFormat="1" applyFont="1" applyFill="1" applyBorder="1" applyAlignment="1">
      <alignment horizontal="center" vertical="top"/>
    </xf>
    <xf numFmtId="3" fontId="18" fillId="0" borderId="49" xfId="0" applyNumberFormat="1" applyFont="1" applyBorder="1" applyAlignment="1">
      <alignment horizontal="center" vertical="top"/>
    </xf>
    <xf numFmtId="3" fontId="18" fillId="6" borderId="9" xfId="0" applyNumberFormat="1" applyFont="1" applyFill="1" applyBorder="1" applyAlignment="1">
      <alignment horizontal="center" vertical="top"/>
    </xf>
    <xf numFmtId="3" fontId="18" fillId="2" borderId="42" xfId="0" applyNumberFormat="1" applyFont="1" applyFill="1" applyBorder="1" applyAlignment="1">
      <alignment horizontal="center" vertical="top"/>
    </xf>
    <xf numFmtId="3" fontId="18" fillId="2" borderId="121" xfId="0" applyNumberFormat="1" applyFont="1" applyFill="1" applyBorder="1" applyAlignment="1">
      <alignment horizontal="center" vertical="top"/>
    </xf>
    <xf numFmtId="3" fontId="18" fillId="2" borderId="49" xfId="0" applyNumberFormat="1" applyFont="1" applyFill="1" applyBorder="1" applyAlignment="1">
      <alignment horizontal="center" vertical="top"/>
    </xf>
    <xf numFmtId="3" fontId="3" fillId="2" borderId="43" xfId="0" applyNumberFormat="1" applyFont="1" applyFill="1" applyBorder="1" applyAlignment="1">
      <alignment horizontal="center" vertical="top"/>
    </xf>
    <xf numFmtId="3" fontId="3" fillId="6" borderId="43" xfId="0" applyNumberFormat="1" applyFont="1" applyFill="1" applyBorder="1" applyAlignment="1">
      <alignment horizontal="center" vertical="top"/>
    </xf>
    <xf numFmtId="3" fontId="3" fillId="6" borderId="76" xfId="0" applyNumberFormat="1" applyFont="1" applyFill="1" applyBorder="1" applyAlignment="1">
      <alignment horizontal="center" vertical="top"/>
    </xf>
    <xf numFmtId="3" fontId="5" fillId="10" borderId="30" xfId="0" applyNumberFormat="1" applyFont="1" applyFill="1" applyBorder="1" applyAlignment="1">
      <alignment horizontal="center" vertical="top"/>
    </xf>
    <xf numFmtId="3" fontId="3" fillId="6" borderId="42" xfId="0" applyNumberFormat="1" applyFont="1" applyFill="1" applyBorder="1" applyAlignment="1">
      <alignment horizontal="center" vertical="top"/>
    </xf>
    <xf numFmtId="3" fontId="3" fillId="6" borderId="93" xfId="0" applyNumberFormat="1" applyFont="1" applyFill="1" applyBorder="1" applyAlignment="1">
      <alignment horizontal="center" vertical="top"/>
    </xf>
    <xf numFmtId="3" fontId="3" fillId="6" borderId="49" xfId="0" applyNumberFormat="1" applyFont="1" applyFill="1" applyBorder="1" applyAlignment="1">
      <alignment horizontal="center" vertical="top"/>
    </xf>
    <xf numFmtId="3" fontId="3" fillId="6" borderId="114" xfId="0" applyNumberFormat="1" applyFont="1" applyFill="1" applyBorder="1" applyAlignment="1">
      <alignment horizontal="center" vertical="top"/>
    </xf>
    <xf numFmtId="3" fontId="3" fillId="6" borderId="0" xfId="0" applyNumberFormat="1" applyFont="1" applyFill="1" applyBorder="1" applyAlignment="1">
      <alignment horizontal="center" vertical="top"/>
    </xf>
    <xf numFmtId="3" fontId="3" fillId="6" borderId="121" xfId="0" applyNumberFormat="1" applyFont="1" applyFill="1" applyBorder="1" applyAlignment="1">
      <alignment horizontal="center" vertical="top"/>
    </xf>
    <xf numFmtId="3" fontId="5" fillId="10" borderId="35" xfId="0" applyNumberFormat="1" applyFont="1" applyFill="1" applyBorder="1" applyAlignment="1">
      <alignment horizontal="center" vertical="top"/>
    </xf>
    <xf numFmtId="3" fontId="21" fillId="0" borderId="71" xfId="0" applyNumberFormat="1" applyFont="1" applyBorder="1" applyAlignment="1">
      <alignment horizontal="center" vertical="top"/>
    </xf>
    <xf numFmtId="3" fontId="3" fillId="0" borderId="93" xfId="0" applyNumberFormat="1" applyFont="1" applyFill="1" applyBorder="1" applyAlignment="1">
      <alignment horizontal="center" vertical="top"/>
    </xf>
    <xf numFmtId="3" fontId="3" fillId="0" borderId="49" xfId="0" applyNumberFormat="1" applyFont="1" applyFill="1" applyBorder="1" applyAlignment="1">
      <alignment horizontal="center" vertical="top"/>
    </xf>
    <xf numFmtId="3" fontId="3" fillId="0" borderId="71" xfId="0" applyNumberFormat="1" applyFont="1" applyBorder="1" applyAlignment="1">
      <alignment horizontal="center" vertical="top"/>
    </xf>
    <xf numFmtId="3" fontId="3" fillId="6" borderId="55" xfId="0" applyNumberFormat="1" applyFont="1" applyFill="1" applyBorder="1" applyAlignment="1">
      <alignment horizontal="center" vertical="top"/>
    </xf>
    <xf numFmtId="3" fontId="3" fillId="0" borderId="55" xfId="0" applyNumberFormat="1" applyFont="1" applyBorder="1" applyAlignment="1">
      <alignment horizontal="center" vertical="top"/>
    </xf>
    <xf numFmtId="3" fontId="3" fillId="6" borderId="41" xfId="0" applyNumberFormat="1" applyFont="1" applyFill="1" applyBorder="1" applyAlignment="1">
      <alignment horizontal="center" vertical="top"/>
    </xf>
    <xf numFmtId="3" fontId="3" fillId="6" borderId="53" xfId="0" applyNumberFormat="1" applyFont="1" applyFill="1" applyBorder="1" applyAlignment="1">
      <alignment horizontal="center" vertical="top"/>
    </xf>
    <xf numFmtId="3" fontId="3" fillId="0" borderId="41" xfId="0" applyNumberFormat="1" applyFont="1" applyBorder="1" applyAlignment="1">
      <alignment horizontal="center" vertical="top"/>
    </xf>
    <xf numFmtId="3" fontId="3" fillId="0" borderId="91" xfId="0" applyNumberFormat="1" applyFont="1" applyBorder="1" applyAlignment="1">
      <alignment horizontal="center" vertical="top"/>
    </xf>
    <xf numFmtId="3" fontId="3" fillId="0" borderId="0" xfId="0" applyNumberFormat="1" applyFont="1" applyBorder="1" applyAlignment="1">
      <alignment horizontal="center" vertical="top"/>
    </xf>
    <xf numFmtId="3" fontId="5" fillId="10" borderId="73" xfId="0" applyNumberFormat="1" applyFont="1" applyFill="1" applyBorder="1" applyAlignment="1">
      <alignment horizontal="center" vertical="top"/>
    </xf>
    <xf numFmtId="3" fontId="3" fillId="0" borderId="71" xfId="0" applyNumberFormat="1" applyFont="1" applyFill="1" applyBorder="1" applyAlignment="1">
      <alignment horizontal="center" vertical="top"/>
    </xf>
    <xf numFmtId="3" fontId="3" fillId="6" borderId="117" xfId="0" applyNumberFormat="1" applyFont="1" applyFill="1" applyBorder="1" applyAlignment="1">
      <alignment horizontal="center" vertical="top"/>
    </xf>
    <xf numFmtId="3" fontId="5" fillId="10" borderId="67" xfId="0" applyNumberFormat="1" applyFont="1" applyFill="1" applyBorder="1" applyAlignment="1">
      <alignment horizontal="center" vertical="top"/>
    </xf>
    <xf numFmtId="3" fontId="3" fillId="6" borderId="71" xfId="0" applyNumberFormat="1" applyFont="1" applyFill="1" applyBorder="1" applyAlignment="1">
      <alignment horizontal="center" vertical="top"/>
    </xf>
    <xf numFmtId="3" fontId="5" fillId="3" borderId="63" xfId="0" applyNumberFormat="1" applyFont="1" applyFill="1" applyBorder="1" applyAlignment="1">
      <alignment horizontal="center" vertical="top"/>
    </xf>
    <xf numFmtId="164" fontId="3" fillId="2" borderId="58" xfId="0" applyNumberFormat="1" applyFont="1" applyFill="1" applyBorder="1" applyAlignment="1">
      <alignment horizontal="center" vertical="top"/>
    </xf>
    <xf numFmtId="3" fontId="5" fillId="10" borderId="39"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3" fontId="3" fillId="0" borderId="26"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0" fontId="3" fillId="6" borderId="44" xfId="0" applyFont="1" applyFill="1" applyBorder="1" applyAlignment="1">
      <alignment horizontal="center" vertical="top"/>
    </xf>
    <xf numFmtId="3" fontId="3" fillId="0" borderId="27" xfId="0" applyNumberFormat="1" applyFont="1" applyFill="1" applyBorder="1" applyAlignment="1">
      <alignment horizontal="center" vertical="top"/>
    </xf>
    <xf numFmtId="3" fontId="3" fillId="0" borderId="29" xfId="0" applyNumberFormat="1" applyFont="1" applyFill="1" applyBorder="1" applyAlignment="1">
      <alignment horizontal="center" vertical="top"/>
    </xf>
    <xf numFmtId="3" fontId="3" fillId="0" borderId="0" xfId="0" applyNumberFormat="1" applyFont="1" applyBorder="1" applyAlignment="1">
      <alignment vertical="top"/>
    </xf>
    <xf numFmtId="0" fontId="3" fillId="6" borderId="86" xfId="0" applyFont="1" applyFill="1" applyBorder="1" applyAlignment="1">
      <alignment horizontal="center" vertical="top"/>
    </xf>
    <xf numFmtId="3" fontId="18" fillId="6" borderId="43" xfId="0" applyNumberFormat="1" applyFont="1" applyFill="1" applyBorder="1" applyAlignment="1">
      <alignment horizontal="center" vertical="top"/>
    </xf>
    <xf numFmtId="3" fontId="18" fillId="6" borderId="42" xfId="0" applyNumberFormat="1" applyFont="1" applyFill="1" applyBorder="1" applyAlignment="1">
      <alignment horizontal="center" vertical="top"/>
    </xf>
    <xf numFmtId="3" fontId="18" fillId="6" borderId="49" xfId="0" applyNumberFormat="1" applyFont="1" applyFill="1" applyBorder="1" applyAlignment="1">
      <alignment horizontal="center" vertical="top"/>
    </xf>
    <xf numFmtId="3" fontId="3" fillId="6" borderId="120" xfId="0" applyNumberFormat="1" applyFont="1" applyFill="1" applyBorder="1" applyAlignment="1">
      <alignment horizontal="center" vertical="top"/>
    </xf>
    <xf numFmtId="3" fontId="3" fillId="6" borderId="20" xfId="0" applyNumberFormat="1" applyFont="1" applyFill="1" applyBorder="1" applyAlignment="1">
      <alignment horizontal="center" vertical="top"/>
    </xf>
    <xf numFmtId="3" fontId="3" fillId="6" borderId="51" xfId="0" applyNumberFormat="1" applyFont="1" applyFill="1" applyBorder="1" applyAlignment="1">
      <alignment horizontal="center" vertical="top"/>
    </xf>
    <xf numFmtId="3" fontId="18" fillId="6" borderId="51" xfId="0" applyNumberFormat="1" applyFont="1" applyFill="1" applyBorder="1" applyAlignment="1">
      <alignment horizontal="center" vertical="top"/>
    </xf>
    <xf numFmtId="3" fontId="18" fillId="6" borderId="119" xfId="0" applyNumberFormat="1" applyFont="1" applyFill="1" applyBorder="1" applyAlignment="1">
      <alignment horizontal="center" vertical="top"/>
    </xf>
    <xf numFmtId="3" fontId="18" fillId="6" borderId="20" xfId="0" applyNumberFormat="1" applyFont="1" applyFill="1" applyBorder="1" applyAlignment="1">
      <alignment horizontal="center" vertical="top"/>
    </xf>
    <xf numFmtId="3" fontId="18" fillId="6" borderId="87" xfId="0" applyNumberFormat="1" applyFont="1" applyFill="1" applyBorder="1" applyAlignment="1">
      <alignment horizontal="center" vertical="top"/>
    </xf>
    <xf numFmtId="3" fontId="3" fillId="6" borderId="87" xfId="0" applyNumberFormat="1" applyFont="1" applyFill="1" applyBorder="1" applyAlignment="1">
      <alignment horizontal="center" vertical="top"/>
    </xf>
    <xf numFmtId="3" fontId="3" fillId="6" borderId="23" xfId="0" applyNumberFormat="1" applyFont="1" applyFill="1" applyBorder="1" applyAlignment="1">
      <alignment horizontal="center" vertical="top"/>
    </xf>
    <xf numFmtId="3" fontId="18" fillId="6" borderId="24" xfId="0" applyNumberFormat="1" applyFont="1" applyFill="1" applyBorder="1" applyAlignment="1">
      <alignment horizontal="center" vertical="top"/>
    </xf>
    <xf numFmtId="3" fontId="3" fillId="0" borderId="44" xfId="0" applyNumberFormat="1" applyFont="1" applyBorder="1" applyAlignment="1">
      <alignment horizontal="center" vertical="top"/>
    </xf>
    <xf numFmtId="3" fontId="5" fillId="8" borderId="11" xfId="0" applyNumberFormat="1" applyFont="1" applyFill="1" applyBorder="1" applyAlignment="1">
      <alignment horizontal="center" vertical="top"/>
    </xf>
    <xf numFmtId="0" fontId="3" fillId="0" borderId="8" xfId="0" applyFont="1" applyFill="1" applyBorder="1" applyAlignment="1">
      <alignment horizontal="left" vertical="center" wrapText="1"/>
    </xf>
    <xf numFmtId="0" fontId="0" fillId="0" borderId="11" xfId="0" applyBorder="1" applyAlignment="1">
      <alignment horizontal="left" vertical="center" wrapText="1"/>
    </xf>
    <xf numFmtId="3" fontId="3" fillId="0" borderId="19" xfId="0" applyNumberFormat="1" applyFont="1" applyFill="1" applyBorder="1" applyAlignment="1">
      <alignment horizontal="center" vertical="center"/>
    </xf>
    <xf numFmtId="3" fontId="3" fillId="6" borderId="38" xfId="0" applyNumberFormat="1" applyFont="1" applyFill="1" applyBorder="1" applyAlignment="1">
      <alignment horizontal="center" vertical="top"/>
    </xf>
    <xf numFmtId="3" fontId="3" fillId="0" borderId="114" xfId="0" applyNumberFormat="1" applyFont="1" applyBorder="1" applyAlignment="1">
      <alignment horizontal="center" vertical="top"/>
    </xf>
    <xf numFmtId="3" fontId="3" fillId="0" borderId="42" xfId="0" applyNumberFormat="1" applyFont="1" applyBorder="1" applyAlignment="1">
      <alignment horizontal="center" vertical="top"/>
    </xf>
    <xf numFmtId="0" fontId="3" fillId="0" borderId="16" xfId="0" applyFont="1" applyFill="1" applyBorder="1" applyAlignment="1">
      <alignment horizontal="center" vertical="top" wrapText="1"/>
    </xf>
    <xf numFmtId="49" fontId="33" fillId="6" borderId="122" xfId="3" applyNumberFormat="1" applyFont="1" applyFill="1" applyAlignment="1">
      <alignment horizontal="center" vertical="center" textRotation="90" wrapText="1"/>
    </xf>
    <xf numFmtId="49" fontId="2" fillId="0" borderId="17" xfId="0" applyNumberFormat="1" applyFont="1" applyBorder="1" applyAlignment="1">
      <alignment horizontal="center" vertical="center"/>
    </xf>
    <xf numFmtId="49" fontId="3" fillId="2" borderId="26" xfId="0" applyNumberFormat="1" applyFont="1" applyFill="1" applyBorder="1" applyAlignment="1">
      <alignment horizontal="center" vertical="top"/>
    </xf>
    <xf numFmtId="0" fontId="5" fillId="2" borderId="57" xfId="0" applyFont="1" applyFill="1" applyBorder="1" applyAlignment="1">
      <alignment horizontal="center" vertical="top" wrapText="1"/>
    </xf>
    <xf numFmtId="0" fontId="5" fillId="2" borderId="70" xfId="0" applyFont="1" applyFill="1" applyBorder="1" applyAlignment="1">
      <alignment horizontal="center" vertical="top" wrapText="1"/>
    </xf>
    <xf numFmtId="49" fontId="2" fillId="0" borderId="34" xfId="0" applyNumberFormat="1" applyFont="1" applyBorder="1" applyAlignment="1">
      <alignment horizontal="center" vertical="center"/>
    </xf>
    <xf numFmtId="0" fontId="5" fillId="2" borderId="76" xfId="0" applyFont="1" applyFill="1" applyBorder="1" applyAlignment="1">
      <alignment horizontal="center" vertical="top" wrapText="1"/>
    </xf>
    <xf numFmtId="49" fontId="2" fillId="0" borderId="2" xfId="0" applyNumberFormat="1" applyFont="1" applyBorder="1" applyAlignment="1">
      <alignment horizontal="center" vertical="center"/>
    </xf>
    <xf numFmtId="49" fontId="2" fillId="0" borderId="21" xfId="0" applyNumberFormat="1" applyFont="1" applyBorder="1" applyAlignment="1"/>
    <xf numFmtId="49" fontId="2" fillId="2" borderId="28" xfId="0" applyNumberFormat="1" applyFont="1" applyFill="1" applyBorder="1" applyAlignment="1">
      <alignment horizontal="center" vertical="center" wrapText="1"/>
    </xf>
    <xf numFmtId="0" fontId="3" fillId="0" borderId="0" xfId="0" applyFont="1" applyBorder="1" applyAlignment="1">
      <alignment vertical="center" wrapText="1"/>
    </xf>
    <xf numFmtId="3" fontId="5" fillId="8" borderId="24" xfId="0" applyNumberFormat="1" applyFont="1" applyFill="1" applyBorder="1" applyAlignment="1">
      <alignment horizontal="center" vertical="top" wrapText="1"/>
    </xf>
    <xf numFmtId="3" fontId="3" fillId="8" borderId="23" xfId="0" applyNumberFormat="1" applyFont="1" applyFill="1" applyBorder="1" applyAlignment="1">
      <alignment horizontal="center" vertical="top" wrapText="1"/>
    </xf>
    <xf numFmtId="49" fontId="5" fillId="0" borderId="48" xfId="0" applyNumberFormat="1" applyFont="1" applyBorder="1" applyAlignment="1">
      <alignment horizontal="center" vertical="top"/>
    </xf>
    <xf numFmtId="3" fontId="3" fillId="2" borderId="49" xfId="0" applyNumberFormat="1" applyFont="1" applyFill="1" applyBorder="1" applyAlignment="1">
      <alignment horizontal="center" vertical="top"/>
    </xf>
    <xf numFmtId="0" fontId="18" fillId="0" borderId="31" xfId="0" applyFont="1" applyFill="1" applyBorder="1" applyAlignment="1">
      <alignment horizontal="left" vertical="top" wrapText="1"/>
    </xf>
    <xf numFmtId="165" fontId="18" fillId="0" borderId="33" xfId="0" applyNumberFormat="1" applyFont="1" applyFill="1" applyBorder="1" applyAlignment="1">
      <alignment horizontal="center" vertical="top" wrapText="1"/>
    </xf>
    <xf numFmtId="3" fontId="3" fillId="2" borderId="93" xfId="0" applyNumberFormat="1" applyFont="1" applyFill="1" applyBorder="1" applyAlignment="1">
      <alignment horizontal="center" vertical="top"/>
    </xf>
    <xf numFmtId="0" fontId="3" fillId="6" borderId="82" xfId="0" applyFont="1" applyFill="1" applyBorder="1" applyAlignment="1">
      <alignment horizontal="center" vertical="top" wrapText="1"/>
    </xf>
    <xf numFmtId="0" fontId="3" fillId="0" borderId="10" xfId="0" applyFont="1" applyFill="1" applyBorder="1" applyAlignment="1">
      <alignment horizontal="left" vertical="top" wrapText="1"/>
    </xf>
    <xf numFmtId="49" fontId="5" fillId="11" borderId="8" xfId="0" applyNumberFormat="1" applyFont="1" applyFill="1" applyBorder="1" applyAlignment="1">
      <alignment horizontal="center" vertical="top"/>
    </xf>
    <xf numFmtId="49" fontId="5" fillId="11" borderId="10" xfId="0" applyNumberFormat="1" applyFont="1" applyFill="1" applyBorder="1" applyAlignment="1">
      <alignment horizontal="center" vertical="top"/>
    </xf>
    <xf numFmtId="49" fontId="5" fillId="3" borderId="17" xfId="0" applyNumberFormat="1" applyFont="1" applyFill="1" applyBorder="1" applyAlignment="1">
      <alignment horizontal="center" vertical="top"/>
    </xf>
    <xf numFmtId="49" fontId="5" fillId="6" borderId="17" xfId="0" applyNumberFormat="1" applyFont="1" applyFill="1" applyBorder="1" applyAlignment="1">
      <alignment horizontal="center" vertical="top"/>
    </xf>
    <xf numFmtId="0" fontId="3" fillId="0" borderId="8" xfId="0" applyFont="1" applyFill="1" applyBorder="1" applyAlignment="1">
      <alignment horizontal="center" vertical="center" textRotation="90" wrapText="1"/>
    </xf>
    <xf numFmtId="0" fontId="3" fillId="0" borderId="10" xfId="0" applyFont="1" applyFill="1" applyBorder="1" applyAlignment="1">
      <alignment horizontal="center" vertical="center" textRotation="90" wrapText="1"/>
    </xf>
    <xf numFmtId="49" fontId="5" fillId="0" borderId="29"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3" borderId="50" xfId="0" applyNumberFormat="1" applyFont="1" applyFill="1" applyBorder="1" applyAlignment="1">
      <alignment horizontal="center" vertical="top"/>
    </xf>
    <xf numFmtId="49" fontId="5" fillId="3" borderId="47" xfId="0" applyNumberFormat="1" applyFont="1" applyFill="1" applyBorder="1" applyAlignment="1">
      <alignment horizontal="center" vertical="top"/>
    </xf>
    <xf numFmtId="49" fontId="5" fillId="6" borderId="50" xfId="0" applyNumberFormat="1" applyFont="1" applyFill="1" applyBorder="1" applyAlignment="1">
      <alignment horizontal="center" vertical="top"/>
    </xf>
    <xf numFmtId="0" fontId="1" fillId="0" borderId="31" xfId="0" applyFont="1" applyBorder="1" applyAlignment="1">
      <alignment horizontal="center" vertical="center" textRotation="90" wrapText="1"/>
    </xf>
    <xf numFmtId="49" fontId="5" fillId="6" borderId="19" xfId="0" applyNumberFormat="1" applyFont="1" applyFill="1" applyBorder="1" applyAlignment="1">
      <alignment horizontal="center" vertical="top"/>
    </xf>
    <xf numFmtId="0" fontId="3" fillId="0" borderId="31" xfId="0" applyFont="1" applyFill="1" applyBorder="1" applyAlignment="1">
      <alignment horizontal="center" vertical="center" textRotation="90" wrapText="1"/>
    </xf>
    <xf numFmtId="49" fontId="5" fillId="0" borderId="33" xfId="0" applyNumberFormat="1" applyFont="1" applyBorder="1" applyAlignment="1">
      <alignment horizontal="center" vertical="top"/>
    </xf>
    <xf numFmtId="0" fontId="3" fillId="6" borderId="32" xfId="0" applyFont="1" applyFill="1" applyBorder="1" applyAlignment="1">
      <alignment horizontal="left" vertical="top" wrapText="1"/>
    </xf>
    <xf numFmtId="0" fontId="2" fillId="0" borderId="31" xfId="0" applyFont="1" applyFill="1" applyBorder="1" applyAlignment="1">
      <alignment horizontal="center" vertical="center" textRotation="90" wrapText="1" shrinkToFit="1"/>
    </xf>
    <xf numFmtId="0" fontId="3" fillId="6" borderId="37" xfId="0" applyFont="1" applyFill="1" applyBorder="1" applyAlignment="1">
      <alignment horizontal="left" vertical="top" wrapText="1"/>
    </xf>
    <xf numFmtId="49" fontId="5" fillId="0" borderId="1" xfId="0" applyNumberFormat="1" applyFont="1" applyBorder="1" applyAlignment="1">
      <alignment horizontal="center" vertical="top"/>
    </xf>
    <xf numFmtId="3" fontId="3" fillId="0" borderId="19" xfId="0" applyNumberFormat="1" applyFont="1" applyFill="1" applyBorder="1" applyAlignment="1">
      <alignment horizontal="center" vertical="top" wrapText="1"/>
    </xf>
    <xf numFmtId="49" fontId="5" fillId="11" borderId="11" xfId="0" applyNumberFormat="1" applyFont="1" applyFill="1" applyBorder="1" applyAlignment="1">
      <alignment horizontal="center" vertical="top"/>
    </xf>
    <xf numFmtId="49" fontId="5" fillId="3" borderId="62" xfId="0" applyNumberFormat="1" applyFont="1" applyFill="1" applyBorder="1" applyAlignment="1">
      <alignment horizontal="center" vertical="top"/>
    </xf>
    <xf numFmtId="49" fontId="5" fillId="0" borderId="50" xfId="0" applyNumberFormat="1" applyFont="1" applyBorder="1" applyAlignment="1">
      <alignment horizontal="center" vertical="top"/>
    </xf>
    <xf numFmtId="165" fontId="3" fillId="0" borderId="1" xfId="0" applyNumberFormat="1" applyFont="1" applyFill="1" applyBorder="1" applyAlignment="1">
      <alignment horizontal="center" vertical="top" wrapText="1"/>
    </xf>
    <xf numFmtId="0" fontId="3" fillId="0" borderId="45" xfId="0" applyFont="1" applyFill="1" applyBorder="1" applyAlignment="1">
      <alignment horizontal="left" vertical="top" wrapText="1"/>
    </xf>
    <xf numFmtId="0" fontId="3" fillId="0" borderId="31"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0" borderId="8" xfId="0" applyFont="1" applyFill="1" applyBorder="1" applyAlignment="1">
      <alignment vertical="top" wrapText="1"/>
    </xf>
    <xf numFmtId="0" fontId="3" fillId="0" borderId="77" xfId="0" applyFont="1" applyFill="1" applyBorder="1" applyAlignment="1">
      <alignment horizontal="center" vertical="center" textRotation="90" wrapText="1"/>
    </xf>
    <xf numFmtId="0" fontId="3" fillId="6" borderId="19" xfId="0" applyFont="1" applyFill="1" applyBorder="1" applyAlignment="1">
      <alignment horizontal="left" vertical="top" wrapText="1"/>
    </xf>
    <xf numFmtId="49" fontId="5" fillId="0" borderId="27" xfId="0" applyNumberFormat="1" applyFont="1" applyBorder="1" applyAlignment="1">
      <alignment horizontal="center" vertical="top"/>
    </xf>
    <xf numFmtId="0" fontId="3" fillId="0" borderId="8" xfId="0" applyFont="1" applyFill="1" applyBorder="1" applyAlignment="1">
      <alignment horizontal="left" vertical="top" wrapText="1"/>
    </xf>
    <xf numFmtId="0" fontId="3" fillId="0" borderId="11" xfId="0" applyFont="1" applyFill="1" applyBorder="1" applyAlignment="1">
      <alignment horizontal="left" vertical="top" wrapText="1"/>
    </xf>
    <xf numFmtId="49" fontId="5" fillId="3" borderId="26" xfId="0" applyNumberFormat="1" applyFont="1" applyFill="1" applyBorder="1" applyAlignment="1">
      <alignment horizontal="center" vertical="top"/>
    </xf>
    <xf numFmtId="49" fontId="5" fillId="0" borderId="17" xfId="0" applyNumberFormat="1" applyFont="1" applyBorder="1" applyAlignment="1">
      <alignment horizontal="center" vertical="top"/>
    </xf>
    <xf numFmtId="49" fontId="5" fillId="0" borderId="17" xfId="0" applyNumberFormat="1" applyFont="1" applyBorder="1" applyAlignment="1">
      <alignment horizontal="center" vertical="top" wrapText="1"/>
    </xf>
    <xf numFmtId="49" fontId="5" fillId="11" borderId="10" xfId="0" applyNumberFormat="1" applyFont="1" applyFill="1" applyBorder="1" applyAlignment="1">
      <alignment horizontal="center" vertical="top" wrapText="1"/>
    </xf>
    <xf numFmtId="49" fontId="5" fillId="3" borderId="17" xfId="0" applyNumberFormat="1" applyFont="1" applyFill="1" applyBorder="1" applyAlignment="1">
      <alignment horizontal="center" vertical="top" wrapText="1"/>
    </xf>
    <xf numFmtId="0" fontId="3" fillId="2" borderId="48" xfId="0" applyFont="1" applyFill="1" applyBorder="1" applyAlignment="1">
      <alignment horizontal="left" vertical="top" wrapText="1"/>
    </xf>
    <xf numFmtId="0" fontId="3" fillId="6" borderId="44" xfId="0" applyFont="1" applyFill="1" applyBorder="1" applyAlignment="1">
      <alignment horizontal="left" vertical="top" wrapText="1"/>
    </xf>
    <xf numFmtId="0" fontId="5" fillId="2" borderId="40" xfId="0" applyFont="1" applyFill="1" applyBorder="1" applyAlignment="1">
      <alignment horizontal="center" vertical="top" wrapText="1"/>
    </xf>
    <xf numFmtId="0" fontId="5" fillId="2" borderId="35" xfId="0" applyFont="1" applyFill="1" applyBorder="1" applyAlignment="1">
      <alignment horizontal="center" vertical="top" wrapText="1"/>
    </xf>
    <xf numFmtId="0" fontId="5" fillId="2" borderId="53" xfId="0" applyFont="1" applyFill="1" applyBorder="1" applyAlignment="1">
      <alignment horizontal="center" vertical="top" wrapText="1"/>
    </xf>
    <xf numFmtId="0" fontId="5" fillId="2" borderId="36" xfId="0" applyFont="1" applyFill="1" applyBorder="1" applyAlignment="1">
      <alignment horizontal="center" vertical="top" wrapText="1"/>
    </xf>
    <xf numFmtId="49" fontId="3" fillId="2" borderId="42" xfId="0" applyNumberFormat="1" applyFont="1" applyFill="1" applyBorder="1" applyAlignment="1">
      <alignment horizontal="center" vertical="top" wrapText="1"/>
    </xf>
    <xf numFmtId="49" fontId="5" fillId="0" borderId="72" xfId="0" applyNumberFormat="1" applyFont="1" applyBorder="1" applyAlignment="1">
      <alignment horizontal="center" vertical="top"/>
    </xf>
    <xf numFmtId="0" fontId="3" fillId="2" borderId="1" xfId="0" applyFont="1" applyFill="1" applyBorder="1" applyAlignment="1">
      <alignment vertical="top" wrapText="1"/>
    </xf>
    <xf numFmtId="49" fontId="2" fillId="0" borderId="21" xfId="0" applyNumberFormat="1" applyFont="1" applyBorder="1" applyAlignment="1">
      <alignment horizontal="center" vertical="top" textRotation="90" wrapText="1"/>
    </xf>
    <xf numFmtId="49" fontId="5" fillId="10" borderId="28" xfId="0" applyNumberFormat="1" applyFont="1" applyFill="1" applyBorder="1" applyAlignment="1">
      <alignment horizontal="center" vertical="top"/>
    </xf>
    <xf numFmtId="49" fontId="5" fillId="10" borderId="17" xfId="0" applyNumberFormat="1" applyFont="1" applyFill="1" applyBorder="1" applyAlignment="1">
      <alignment horizontal="center" vertical="top"/>
    </xf>
    <xf numFmtId="49" fontId="3" fillId="0" borderId="9" xfId="0" applyNumberFormat="1" applyFont="1" applyBorder="1" applyAlignment="1">
      <alignment horizontal="center" vertical="top" wrapText="1"/>
    </xf>
    <xf numFmtId="0" fontId="0" fillId="0" borderId="9" xfId="0" applyBorder="1" applyAlignment="1">
      <alignment horizontal="center" vertical="top" wrapText="1"/>
    </xf>
    <xf numFmtId="49" fontId="3" fillId="0" borderId="6" xfId="0" applyNumberFormat="1" applyFont="1" applyBorder="1" applyAlignment="1">
      <alignment horizontal="center" vertical="center" wrapText="1"/>
    </xf>
    <xf numFmtId="49" fontId="2" fillId="0" borderId="21" xfId="0" applyNumberFormat="1" applyFont="1" applyBorder="1" applyAlignment="1">
      <alignment horizontal="center" vertical="center" textRotation="90" wrapText="1"/>
    </xf>
    <xf numFmtId="49" fontId="3" fillId="6" borderId="9" xfId="0" applyNumberFormat="1" applyFont="1" applyFill="1" applyBorder="1" applyAlignment="1">
      <alignment horizontal="center" vertical="top" wrapText="1"/>
    </xf>
    <xf numFmtId="49" fontId="2" fillId="0" borderId="28" xfId="0" applyNumberFormat="1" applyFont="1" applyBorder="1" applyAlignment="1">
      <alignment horizontal="center" vertical="center" textRotation="90"/>
    </xf>
    <xf numFmtId="49" fontId="5" fillId="0" borderId="21" xfId="0" applyNumberFormat="1" applyFont="1" applyBorder="1" applyAlignment="1">
      <alignment horizontal="center" vertical="top"/>
    </xf>
    <xf numFmtId="49" fontId="5" fillId="0" borderId="34" xfId="0" applyNumberFormat="1" applyFont="1" applyBorder="1" applyAlignment="1">
      <alignment horizontal="center" vertical="top"/>
    </xf>
    <xf numFmtId="49" fontId="2" fillId="0" borderId="34" xfId="0" applyNumberFormat="1" applyFont="1" applyBorder="1" applyAlignment="1">
      <alignment horizontal="center" vertical="top" textRotation="90" wrapText="1"/>
    </xf>
    <xf numFmtId="0" fontId="3" fillId="6" borderId="33" xfId="0" applyFont="1" applyFill="1" applyBorder="1" applyAlignment="1">
      <alignment horizontal="left" vertical="top" wrapText="1"/>
    </xf>
    <xf numFmtId="0" fontId="3" fillId="6" borderId="92" xfId="0" applyFont="1" applyFill="1" applyBorder="1" applyAlignment="1">
      <alignment horizontal="left" vertical="top" wrapText="1"/>
    </xf>
    <xf numFmtId="49" fontId="3" fillId="0" borderId="0" xfId="0" applyNumberFormat="1" applyFont="1" applyFill="1" applyBorder="1" applyAlignment="1">
      <alignment horizontal="center" vertical="top" wrapText="1"/>
    </xf>
    <xf numFmtId="49" fontId="5" fillId="0" borderId="18" xfId="0" applyNumberFormat="1" applyFont="1" applyBorder="1" applyAlignment="1">
      <alignment horizontal="center" vertical="top"/>
    </xf>
    <xf numFmtId="49" fontId="5" fillId="0" borderId="2" xfId="0" applyNumberFormat="1" applyFont="1" applyBorder="1" applyAlignment="1">
      <alignment horizontal="center" vertical="top"/>
    </xf>
    <xf numFmtId="0" fontId="3" fillId="0" borderId="16" xfId="0" applyFont="1" applyFill="1" applyBorder="1" applyAlignment="1">
      <alignment horizontal="center" vertical="center" textRotation="90" wrapText="1"/>
    </xf>
    <xf numFmtId="0" fontId="0" fillId="0" borderId="0" xfId="0" applyAlignment="1">
      <alignment vertical="top" wrapText="1"/>
    </xf>
    <xf numFmtId="0" fontId="0" fillId="0" borderId="9" xfId="0" applyBorder="1" applyAlignment="1">
      <alignment horizontal="center" vertical="top"/>
    </xf>
    <xf numFmtId="0" fontId="3" fillId="0" borderId="30" xfId="0" applyFont="1" applyBorder="1" applyAlignment="1">
      <alignment horizontal="center" vertical="top"/>
    </xf>
    <xf numFmtId="49" fontId="5" fillId="3" borderId="21" xfId="0" applyNumberFormat="1" applyFont="1" applyFill="1" applyBorder="1" applyAlignment="1">
      <alignment horizontal="center" vertical="top"/>
    </xf>
    <xf numFmtId="0" fontId="5" fillId="0" borderId="49" xfId="0" applyFont="1" applyFill="1" applyBorder="1" applyAlignment="1">
      <alignment horizontal="left" vertical="top" wrapText="1"/>
    </xf>
    <xf numFmtId="0" fontId="3" fillId="0" borderId="70" xfId="0" applyFont="1" applyFill="1" applyBorder="1" applyAlignment="1">
      <alignment horizontal="center" vertical="center" textRotation="90" wrapText="1"/>
    </xf>
    <xf numFmtId="4" fontId="3" fillId="2" borderId="19" xfId="0" applyNumberFormat="1" applyFont="1" applyFill="1" applyBorder="1" applyAlignment="1">
      <alignment horizontal="center" vertical="top"/>
    </xf>
    <xf numFmtId="49" fontId="3" fillId="0" borderId="44" xfId="0" applyNumberFormat="1" applyFont="1" applyBorder="1" applyAlignment="1">
      <alignment horizontal="center" vertical="center" wrapText="1"/>
    </xf>
    <xf numFmtId="49" fontId="5" fillId="0" borderId="38" xfId="0" applyNumberFormat="1" applyFont="1" applyBorder="1" applyAlignment="1">
      <alignment horizontal="center" vertical="top"/>
    </xf>
    <xf numFmtId="0" fontId="3" fillId="2" borderId="37" xfId="0" applyFont="1" applyFill="1" applyBorder="1" applyAlignment="1">
      <alignment horizontal="left" vertical="top" wrapText="1"/>
    </xf>
    <xf numFmtId="49" fontId="3" fillId="0" borderId="72" xfId="0" applyNumberFormat="1" applyFont="1" applyBorder="1" applyAlignment="1">
      <alignment horizontal="center" vertical="top"/>
    </xf>
    <xf numFmtId="0" fontId="14" fillId="0" borderId="29" xfId="0" applyFont="1" applyFill="1" applyBorder="1" applyAlignment="1">
      <alignment horizontal="left" vertical="top" wrapText="1"/>
    </xf>
    <xf numFmtId="49" fontId="3" fillId="0" borderId="28" xfId="0" applyNumberFormat="1" applyFont="1" applyBorder="1" applyAlignment="1">
      <alignment horizontal="center" vertical="top"/>
    </xf>
    <xf numFmtId="3" fontId="3" fillId="0" borderId="29" xfId="0" applyNumberFormat="1" applyFont="1" applyFill="1" applyBorder="1" applyAlignment="1">
      <alignment horizontal="center" vertical="top" wrapText="1"/>
    </xf>
    <xf numFmtId="0" fontId="3" fillId="6" borderId="1" xfId="0" applyFont="1" applyFill="1" applyBorder="1" applyAlignment="1">
      <alignment vertical="top" wrapText="1"/>
    </xf>
    <xf numFmtId="0" fontId="5" fillId="0" borderId="31" xfId="0" applyFont="1" applyFill="1" applyBorder="1" applyAlignment="1">
      <alignment horizontal="center" vertical="top" wrapText="1"/>
    </xf>
    <xf numFmtId="0" fontId="3" fillId="0" borderId="45" xfId="0" applyFont="1" applyFill="1" applyBorder="1" applyAlignment="1">
      <alignment horizontal="center" vertical="top" textRotation="90" wrapText="1"/>
    </xf>
    <xf numFmtId="49" fontId="5" fillId="0" borderId="1" xfId="0" applyNumberFormat="1" applyFont="1" applyBorder="1" applyAlignment="1">
      <alignment horizontal="center" vertical="top" wrapText="1"/>
    </xf>
    <xf numFmtId="0" fontId="5" fillId="2" borderId="77" xfId="0" applyFont="1" applyFill="1" applyBorder="1" applyAlignment="1">
      <alignment horizontal="center" vertical="top" wrapText="1"/>
    </xf>
    <xf numFmtId="49" fontId="5" fillId="0" borderId="28" xfId="0" applyNumberFormat="1" applyFont="1" applyBorder="1" applyAlignment="1">
      <alignment horizontal="center" vertical="top" wrapText="1"/>
    </xf>
    <xf numFmtId="0" fontId="3" fillId="0" borderId="8" xfId="0" applyFont="1" applyFill="1" applyBorder="1" applyAlignment="1">
      <alignment vertical="top" wrapText="1"/>
    </xf>
    <xf numFmtId="3" fontId="7" fillId="6" borderId="0" xfId="0" applyNumberFormat="1" applyFont="1" applyFill="1" applyAlignment="1">
      <alignment horizontal="left" vertical="top"/>
    </xf>
    <xf numFmtId="0" fontId="5" fillId="0" borderId="15" xfId="0" applyFont="1" applyFill="1" applyBorder="1" applyAlignment="1">
      <alignment horizontal="left" vertical="top" wrapText="1"/>
    </xf>
    <xf numFmtId="3" fontId="26" fillId="0" borderId="71" xfId="0" applyNumberFormat="1" applyFont="1" applyBorder="1" applyAlignment="1">
      <alignment horizontal="center" vertical="top"/>
    </xf>
    <xf numFmtId="0" fontId="3" fillId="6" borderId="11" xfId="0" applyFont="1" applyFill="1" applyBorder="1" applyAlignment="1">
      <alignment horizontal="center" vertical="center" textRotation="90" wrapText="1"/>
    </xf>
    <xf numFmtId="0" fontId="3" fillId="0" borderId="66" xfId="0" applyFont="1" applyFill="1" applyBorder="1" applyAlignment="1">
      <alignment horizontal="center" vertical="top" wrapText="1"/>
    </xf>
    <xf numFmtId="3" fontId="3" fillId="6" borderId="30" xfId="0" applyNumberFormat="1" applyFont="1" applyFill="1" applyBorder="1" applyAlignment="1">
      <alignment horizontal="center" vertical="top"/>
    </xf>
    <xf numFmtId="3" fontId="3" fillId="0" borderId="110" xfId="0" applyNumberFormat="1" applyFont="1" applyFill="1" applyBorder="1" applyAlignment="1">
      <alignment horizontal="center" vertical="top" wrapText="1"/>
    </xf>
    <xf numFmtId="3" fontId="3" fillId="0" borderId="113" xfId="0" applyNumberFormat="1" applyFont="1" applyFill="1" applyBorder="1" applyAlignment="1">
      <alignment horizontal="center" vertical="top" wrapText="1"/>
    </xf>
    <xf numFmtId="3" fontId="3" fillId="0" borderId="26"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3" fontId="3" fillId="6" borderId="46" xfId="0" applyNumberFormat="1" applyFont="1" applyFill="1" applyBorder="1" applyAlignment="1">
      <alignment horizontal="right" vertical="top" wrapText="1"/>
    </xf>
    <xf numFmtId="3" fontId="3" fillId="2" borderId="54" xfId="0" applyNumberFormat="1" applyFont="1" applyFill="1" applyBorder="1" applyAlignment="1">
      <alignment horizontal="right" vertical="top" wrapText="1"/>
    </xf>
    <xf numFmtId="3" fontId="3" fillId="6" borderId="82" xfId="0" applyNumberFormat="1" applyFont="1" applyFill="1" applyBorder="1" applyAlignment="1">
      <alignment horizontal="right" vertical="top" wrapText="1"/>
    </xf>
    <xf numFmtId="3" fontId="3" fillId="6" borderId="9" xfId="0" applyNumberFormat="1" applyFont="1" applyFill="1" applyBorder="1" applyAlignment="1">
      <alignment horizontal="right" vertical="top" wrapText="1"/>
    </xf>
    <xf numFmtId="3" fontId="3" fillId="6" borderId="7" xfId="0" applyNumberFormat="1" applyFont="1" applyFill="1" applyBorder="1" applyAlignment="1">
      <alignment horizontal="right" vertical="top"/>
    </xf>
    <xf numFmtId="3" fontId="3" fillId="0" borderId="0" xfId="0" applyNumberFormat="1" applyFont="1" applyAlignment="1">
      <alignment horizontal="left" vertical="top"/>
    </xf>
    <xf numFmtId="3" fontId="3" fillId="0" borderId="0" xfId="0" applyNumberFormat="1" applyFont="1" applyAlignment="1">
      <alignment vertical="top"/>
    </xf>
    <xf numFmtId="3" fontId="3" fillId="0" borderId="0" xfId="0" applyNumberFormat="1" applyFont="1" applyAlignment="1">
      <alignment vertical="center"/>
    </xf>
    <xf numFmtId="3" fontId="5" fillId="0" borderId="0" xfId="0" applyNumberFormat="1" applyFont="1" applyAlignment="1">
      <alignment horizontal="center" vertical="top"/>
    </xf>
    <xf numFmtId="3" fontId="7" fillId="0" borderId="0" xfId="0" applyNumberFormat="1" applyFont="1"/>
    <xf numFmtId="3" fontId="5" fillId="11" borderId="16" xfId="0" applyNumberFormat="1" applyFont="1" applyFill="1" applyBorder="1" applyAlignment="1">
      <alignment horizontal="center" vertical="top" wrapText="1"/>
    </xf>
    <xf numFmtId="3" fontId="5" fillId="11" borderId="16" xfId="0" applyNumberFormat="1" applyFont="1" applyFill="1" applyBorder="1" applyAlignment="1">
      <alignment horizontal="center" vertical="top"/>
    </xf>
    <xf numFmtId="3" fontId="5" fillId="3" borderId="2" xfId="0" applyNumberFormat="1" applyFont="1" applyFill="1" applyBorder="1" applyAlignment="1">
      <alignment horizontal="center" vertical="top"/>
    </xf>
    <xf numFmtId="3" fontId="5" fillId="11" borderId="10" xfId="0" applyNumberFormat="1" applyFont="1" applyFill="1" applyBorder="1" applyAlignment="1">
      <alignment horizontal="center" vertical="top"/>
    </xf>
    <xf numFmtId="3" fontId="5" fillId="3" borderId="50" xfId="0" applyNumberFormat="1" applyFont="1" applyFill="1" applyBorder="1" applyAlignment="1">
      <alignment horizontal="center" vertical="top"/>
    </xf>
    <xf numFmtId="3" fontId="5" fillId="6" borderId="17" xfId="0" applyNumberFormat="1" applyFont="1" applyFill="1" applyBorder="1" applyAlignment="1">
      <alignment horizontal="center" vertical="top"/>
    </xf>
    <xf numFmtId="3" fontId="5" fillId="0" borderId="33" xfId="0" applyNumberFormat="1" applyFont="1" applyBorder="1" applyAlignment="1">
      <alignment horizontal="center" vertical="top"/>
    </xf>
    <xf numFmtId="3" fontId="3" fillId="0" borderId="70" xfId="0" applyNumberFormat="1" applyFont="1" applyBorder="1" applyAlignment="1">
      <alignment horizontal="center" vertical="top"/>
    </xf>
    <xf numFmtId="3" fontId="3" fillId="2" borderId="31" xfId="0" applyNumberFormat="1" applyFont="1" applyFill="1" applyBorder="1" applyAlignment="1">
      <alignment horizontal="left" vertical="top" wrapText="1"/>
    </xf>
    <xf numFmtId="3" fontId="3" fillId="2" borderId="17" xfId="0" applyNumberFormat="1" applyFont="1" applyFill="1" applyBorder="1" applyAlignment="1">
      <alignment horizontal="center" vertical="top"/>
    </xf>
    <xf numFmtId="3" fontId="3" fillId="2" borderId="19" xfId="0" applyNumberFormat="1" applyFont="1" applyFill="1" applyBorder="1" applyAlignment="1">
      <alignment horizontal="center" vertical="top"/>
    </xf>
    <xf numFmtId="3" fontId="5" fillId="0" borderId="19" xfId="0" applyNumberFormat="1" applyFont="1" applyBorder="1" applyAlignment="1">
      <alignment horizontal="center" vertical="top"/>
    </xf>
    <xf numFmtId="3" fontId="3" fillId="0" borderId="40" xfId="0" applyNumberFormat="1" applyFont="1" applyBorder="1" applyAlignment="1">
      <alignment horizontal="center" vertical="top"/>
    </xf>
    <xf numFmtId="3" fontId="3" fillId="2" borderId="10" xfId="0" applyNumberFormat="1" applyFont="1" applyFill="1" applyBorder="1" applyAlignment="1">
      <alignment horizontal="left" vertical="top" wrapText="1"/>
    </xf>
    <xf numFmtId="3" fontId="3" fillId="2" borderId="21" xfId="0" applyNumberFormat="1" applyFont="1" applyFill="1" applyBorder="1" applyAlignment="1">
      <alignment horizontal="center" vertical="top"/>
    </xf>
    <xf numFmtId="3" fontId="3" fillId="6" borderId="40" xfId="0" applyNumberFormat="1" applyFont="1" applyFill="1" applyBorder="1" applyAlignment="1">
      <alignment horizontal="center" vertical="top" wrapText="1"/>
    </xf>
    <xf numFmtId="3" fontId="3" fillId="0" borderId="103" xfId="0" applyNumberFormat="1" applyFont="1" applyFill="1" applyBorder="1" applyAlignment="1">
      <alignment horizontal="left" vertical="top" wrapText="1"/>
    </xf>
    <xf numFmtId="3" fontId="3" fillId="6" borderId="9" xfId="0" applyNumberFormat="1" applyFont="1" applyFill="1" applyBorder="1" applyAlignment="1">
      <alignment horizontal="center" vertical="top" wrapText="1"/>
    </xf>
    <xf numFmtId="3" fontId="3" fillId="0" borderId="83" xfId="0" applyNumberFormat="1" applyFont="1" applyFill="1" applyBorder="1" applyAlignment="1">
      <alignment horizontal="left" vertical="top" wrapText="1"/>
    </xf>
    <xf numFmtId="3" fontId="5" fillId="6" borderId="81" xfId="0" applyNumberFormat="1" applyFont="1" applyFill="1" applyBorder="1" applyAlignment="1">
      <alignment horizontal="center" vertical="top"/>
    </xf>
    <xf numFmtId="3" fontId="3" fillId="6" borderId="9" xfId="0" applyNumberFormat="1" applyFont="1" applyFill="1" applyBorder="1" applyAlignment="1">
      <alignment horizontal="right" vertical="top"/>
    </xf>
    <xf numFmtId="3" fontId="3" fillId="0" borderId="104" xfId="0" applyNumberFormat="1" applyFont="1" applyFill="1" applyBorder="1" applyAlignment="1">
      <alignment horizontal="left" vertical="top" wrapText="1"/>
    </xf>
    <xf numFmtId="3" fontId="3" fillId="0" borderId="10" xfId="0" applyNumberFormat="1" applyFont="1" applyFill="1" applyBorder="1" applyAlignment="1">
      <alignment horizontal="left" vertical="top" wrapText="1"/>
    </xf>
    <xf numFmtId="3" fontId="3" fillId="0" borderId="10" xfId="0" applyNumberFormat="1" applyFont="1" applyFill="1" applyBorder="1" applyAlignment="1">
      <alignment vertical="top" wrapText="1"/>
    </xf>
    <xf numFmtId="3" fontId="5" fillId="11" borderId="40" xfId="0" applyNumberFormat="1" applyFont="1" applyFill="1" applyBorder="1" applyAlignment="1">
      <alignment horizontal="center" vertical="top"/>
    </xf>
    <xf numFmtId="3" fontId="5" fillId="6" borderId="53" xfId="0" applyNumberFormat="1" applyFont="1" applyFill="1" applyBorder="1" applyAlignment="1">
      <alignment horizontal="center" vertical="top"/>
    </xf>
    <xf numFmtId="3" fontId="3" fillId="2" borderId="40" xfId="0" applyNumberFormat="1" applyFont="1" applyFill="1" applyBorder="1" applyAlignment="1">
      <alignment horizontal="center" vertical="top"/>
    </xf>
    <xf numFmtId="3" fontId="3" fillId="6" borderId="104" xfId="0" applyNumberFormat="1" applyFont="1" applyFill="1" applyBorder="1" applyAlignment="1">
      <alignment horizontal="left" vertical="top" wrapText="1"/>
    </xf>
    <xf numFmtId="3" fontId="3" fillId="0" borderId="83" xfId="0" applyNumberFormat="1" applyFont="1" applyFill="1" applyBorder="1" applyAlignment="1">
      <alignment vertical="top" wrapText="1"/>
    </xf>
    <xf numFmtId="3" fontId="3" fillId="2" borderId="24" xfId="0" applyNumberFormat="1" applyFont="1" applyFill="1" applyBorder="1" applyAlignment="1">
      <alignment horizontal="center" vertical="top"/>
    </xf>
    <xf numFmtId="3" fontId="3" fillId="0" borderId="50" xfId="0" applyNumberFormat="1" applyFont="1" applyBorder="1" applyAlignment="1">
      <alignment horizontal="center" vertical="top"/>
    </xf>
    <xf numFmtId="3" fontId="3" fillId="2" borderId="23" xfId="0" applyNumberFormat="1" applyFont="1" applyFill="1" applyBorder="1" applyAlignment="1">
      <alignment horizontal="center" vertical="top"/>
    </xf>
    <xf numFmtId="3" fontId="3" fillId="6" borderId="23" xfId="0" applyNumberFormat="1" applyFont="1" applyFill="1" applyBorder="1" applyAlignment="1">
      <alignment horizontal="right" vertical="top"/>
    </xf>
    <xf numFmtId="3" fontId="3" fillId="6" borderId="16" xfId="1" applyNumberFormat="1" applyFont="1" applyFill="1" applyBorder="1" applyAlignment="1">
      <alignment vertical="top" wrapText="1"/>
    </xf>
    <xf numFmtId="3" fontId="3" fillId="0" borderId="0" xfId="0" applyNumberFormat="1" applyFont="1" applyFill="1" applyBorder="1" applyAlignment="1">
      <alignment vertical="top"/>
    </xf>
    <xf numFmtId="3" fontId="5" fillId="6" borderId="50" xfId="0" applyNumberFormat="1" applyFont="1" applyFill="1" applyBorder="1" applyAlignment="1">
      <alignment horizontal="center" vertical="top"/>
    </xf>
    <xf numFmtId="3" fontId="3" fillId="0" borderId="82" xfId="0" applyNumberFormat="1" applyFont="1" applyFill="1" applyBorder="1" applyAlignment="1">
      <alignment horizontal="center" vertical="top" wrapText="1"/>
    </xf>
    <xf numFmtId="3" fontId="3" fillId="0" borderId="24" xfId="0" applyNumberFormat="1" applyFont="1" applyFill="1" applyBorder="1" applyAlignment="1">
      <alignment horizontal="center" vertical="top" wrapText="1"/>
    </xf>
    <xf numFmtId="3" fontId="5" fillId="11" borderId="35" xfId="0" applyNumberFormat="1" applyFont="1" applyFill="1" applyBorder="1" applyAlignment="1">
      <alignment horizontal="center" vertical="top"/>
    </xf>
    <xf numFmtId="3" fontId="5" fillId="3" borderId="62" xfId="0" applyNumberFormat="1" applyFont="1" applyFill="1" applyBorder="1" applyAlignment="1">
      <alignment horizontal="center" vertical="top"/>
    </xf>
    <xf numFmtId="3" fontId="5" fillId="6" borderId="62" xfId="0" applyNumberFormat="1" applyFont="1" applyFill="1" applyBorder="1" applyAlignment="1">
      <alignment horizontal="center" vertical="top"/>
    </xf>
    <xf numFmtId="3" fontId="0" fillId="0" borderId="27" xfId="0" applyNumberFormat="1" applyBorder="1" applyAlignment="1">
      <alignment horizontal="center"/>
    </xf>
    <xf numFmtId="3" fontId="5" fillId="8" borderId="61" xfId="0" applyNumberFormat="1" applyFont="1" applyFill="1" applyBorder="1" applyAlignment="1">
      <alignment horizontal="center" vertical="top"/>
    </xf>
    <xf numFmtId="3" fontId="5" fillId="8" borderId="67" xfId="0" applyNumberFormat="1" applyFont="1" applyFill="1" applyBorder="1" applyAlignment="1">
      <alignment horizontal="right" vertical="top"/>
    </xf>
    <xf numFmtId="3" fontId="5" fillId="8" borderId="66" xfId="0" applyNumberFormat="1" applyFont="1" applyFill="1" applyBorder="1" applyAlignment="1">
      <alignment horizontal="right" vertical="top"/>
    </xf>
    <xf numFmtId="3" fontId="5" fillId="8" borderId="30" xfId="0" applyNumberFormat="1" applyFont="1" applyFill="1" applyBorder="1" applyAlignment="1">
      <alignment horizontal="right" vertical="top"/>
    </xf>
    <xf numFmtId="3" fontId="3" fillId="0" borderId="7" xfId="0" applyNumberFormat="1" applyFont="1" applyFill="1" applyBorder="1" applyAlignment="1">
      <alignment horizontal="center" vertical="top" wrapText="1"/>
    </xf>
    <xf numFmtId="3" fontId="3" fillId="6" borderId="7" xfId="0" applyNumberFormat="1" applyFont="1" applyFill="1" applyBorder="1" applyAlignment="1">
      <alignment horizontal="right" vertical="top" wrapText="1"/>
    </xf>
    <xf numFmtId="3" fontId="3" fillId="6" borderId="71" xfId="0" applyNumberFormat="1" applyFont="1" applyFill="1" applyBorder="1" applyAlignment="1">
      <alignment horizontal="right" vertical="top" wrapText="1"/>
    </xf>
    <xf numFmtId="3" fontId="3" fillId="0" borderId="23" xfId="0" applyNumberFormat="1" applyFont="1" applyFill="1" applyBorder="1" applyAlignment="1">
      <alignment horizontal="center" vertical="top" wrapText="1"/>
    </xf>
    <xf numFmtId="3" fontId="3" fillId="0" borderId="31" xfId="0" applyNumberFormat="1" applyFont="1" applyFill="1" applyBorder="1" applyAlignment="1">
      <alignment vertical="top" wrapText="1"/>
    </xf>
    <xf numFmtId="3" fontId="3" fillId="0" borderId="9" xfId="0" applyNumberFormat="1" applyFont="1" applyFill="1" applyBorder="1" applyAlignment="1">
      <alignment horizontal="center" vertical="top" wrapText="1"/>
    </xf>
    <xf numFmtId="3" fontId="3" fillId="0" borderId="104" xfId="0" applyNumberFormat="1" applyFont="1" applyFill="1" applyBorder="1" applyAlignment="1">
      <alignment vertical="top" wrapText="1"/>
    </xf>
    <xf numFmtId="3" fontId="3" fillId="2" borderId="53" xfId="0" applyNumberFormat="1" applyFont="1" applyFill="1" applyBorder="1" applyAlignment="1">
      <alignment horizontal="right" vertical="top" wrapText="1"/>
    </xf>
    <xf numFmtId="3" fontId="3" fillId="6" borderId="53" xfId="0" applyNumberFormat="1" applyFont="1" applyFill="1" applyBorder="1" applyAlignment="1">
      <alignment horizontal="right" vertical="top" wrapText="1"/>
    </xf>
    <xf numFmtId="3" fontId="3" fillId="6" borderId="10" xfId="0" applyNumberFormat="1" applyFont="1" applyFill="1" applyBorder="1" applyAlignment="1">
      <alignment vertical="top" wrapText="1"/>
    </xf>
    <xf numFmtId="3" fontId="9" fillId="6" borderId="84" xfId="0" applyNumberFormat="1" applyFont="1" applyFill="1" applyBorder="1" applyAlignment="1">
      <alignment horizontal="center" vertical="top" wrapText="1"/>
    </xf>
    <xf numFmtId="3" fontId="5" fillId="0" borderId="27" xfId="0" applyNumberFormat="1" applyFont="1" applyBorder="1" applyAlignment="1">
      <alignment horizontal="center" vertical="top"/>
    </xf>
    <xf numFmtId="3" fontId="5" fillId="8" borderId="27" xfId="0" applyNumberFormat="1" applyFont="1" applyFill="1" applyBorder="1" applyAlignment="1">
      <alignment horizontal="center" vertical="top"/>
    </xf>
    <xf numFmtId="3" fontId="3" fillId="0" borderId="11" xfId="0" applyNumberFormat="1" applyFont="1" applyFill="1" applyBorder="1" applyAlignment="1">
      <alignment horizontal="left" vertical="top" wrapText="1"/>
    </xf>
    <xf numFmtId="3" fontId="3" fillId="0" borderId="8" xfId="0" applyNumberFormat="1" applyFont="1" applyFill="1" applyBorder="1" applyAlignment="1">
      <alignment vertical="top" wrapText="1"/>
    </xf>
    <xf numFmtId="3" fontId="3" fillId="6" borderId="40" xfId="0" applyNumberFormat="1" applyFont="1" applyFill="1" applyBorder="1" applyAlignment="1">
      <alignment horizontal="right" vertical="top" wrapText="1"/>
    </xf>
    <xf numFmtId="3" fontId="3" fillId="6" borderId="23" xfId="0" applyNumberFormat="1" applyFont="1" applyFill="1" applyBorder="1" applyAlignment="1">
      <alignment horizontal="right" vertical="top" wrapText="1"/>
    </xf>
    <xf numFmtId="3" fontId="5" fillId="3" borderId="17" xfId="0" applyNumberFormat="1" applyFont="1" applyFill="1" applyBorder="1" applyAlignment="1">
      <alignment horizontal="center" vertical="top"/>
    </xf>
    <xf numFmtId="3" fontId="5" fillId="6" borderId="19" xfId="0" applyNumberFormat="1" applyFont="1" applyFill="1" applyBorder="1" applyAlignment="1">
      <alignment horizontal="center" vertical="top"/>
    </xf>
    <xf numFmtId="3" fontId="3" fillId="6" borderId="9" xfId="0" applyNumberFormat="1" applyFont="1" applyFill="1" applyBorder="1" applyAlignment="1">
      <alignment horizontal="center" vertical="top"/>
    </xf>
    <xf numFmtId="3" fontId="5" fillId="6" borderId="9" xfId="0" applyNumberFormat="1" applyFont="1" applyFill="1" applyBorder="1" applyAlignment="1">
      <alignment horizontal="right" vertical="top"/>
    </xf>
    <xf numFmtId="3" fontId="5" fillId="6" borderId="40" xfId="0" applyNumberFormat="1" applyFont="1" applyFill="1" applyBorder="1" applyAlignment="1">
      <alignment horizontal="right" vertical="top"/>
    </xf>
    <xf numFmtId="3" fontId="3" fillId="6" borderId="104" xfId="0" applyNumberFormat="1" applyFont="1" applyFill="1" applyBorder="1" applyAlignment="1">
      <alignment vertical="top" wrapText="1"/>
    </xf>
    <xf numFmtId="3" fontId="5" fillId="6" borderId="33" xfId="0" applyNumberFormat="1" applyFont="1" applyFill="1" applyBorder="1" applyAlignment="1">
      <alignment horizontal="center" vertical="top"/>
    </xf>
    <xf numFmtId="3" fontId="3" fillId="6" borderId="24" xfId="0" applyNumberFormat="1" applyFont="1" applyFill="1" applyBorder="1" applyAlignment="1">
      <alignment horizontal="center" vertical="top" wrapText="1"/>
    </xf>
    <xf numFmtId="3" fontId="3" fillId="6" borderId="24" xfId="0" applyNumberFormat="1" applyFont="1" applyFill="1" applyBorder="1" applyAlignment="1">
      <alignment horizontal="right" vertical="top" wrapText="1"/>
    </xf>
    <xf numFmtId="3" fontId="3" fillId="0" borderId="84" xfId="0" applyNumberFormat="1" applyFont="1" applyBorder="1" applyAlignment="1">
      <alignment horizontal="center" vertical="top"/>
    </xf>
    <xf numFmtId="3" fontId="5" fillId="11" borderId="11" xfId="0" applyNumberFormat="1" applyFont="1" applyFill="1" applyBorder="1" applyAlignment="1">
      <alignment horizontal="center" vertical="top"/>
    </xf>
    <xf numFmtId="3" fontId="5" fillId="8" borderId="9" xfId="0" applyNumberFormat="1" applyFont="1" applyFill="1" applyBorder="1" applyAlignment="1">
      <alignment horizontal="center" vertical="top"/>
    </xf>
    <xf numFmtId="3" fontId="5" fillId="8" borderId="9" xfId="0" applyNumberFormat="1" applyFont="1" applyFill="1" applyBorder="1" applyAlignment="1">
      <alignment horizontal="right" vertical="top"/>
    </xf>
    <xf numFmtId="3" fontId="3" fillId="0" borderId="11" xfId="0" applyNumberFormat="1" applyFont="1" applyFill="1" applyBorder="1" applyAlignment="1">
      <alignment vertical="top" wrapText="1"/>
    </xf>
    <xf numFmtId="3" fontId="3" fillId="0" borderId="51" xfId="0" applyNumberFormat="1" applyFont="1" applyFill="1" applyBorder="1" applyAlignment="1">
      <alignment horizontal="left" vertical="top" wrapText="1"/>
    </xf>
    <xf numFmtId="3" fontId="5" fillId="3" borderId="0" xfId="0" applyNumberFormat="1" applyFont="1" applyFill="1" applyBorder="1" applyAlignment="1">
      <alignment horizontal="center" vertical="top"/>
    </xf>
    <xf numFmtId="3" fontId="3" fillId="0" borderId="84" xfId="0" applyNumberFormat="1" applyFont="1" applyBorder="1" applyAlignment="1">
      <alignment horizontal="center" vertical="center"/>
    </xf>
    <xf numFmtId="3" fontId="3" fillId="6" borderId="49" xfId="0" applyNumberFormat="1" applyFont="1" applyFill="1" applyBorder="1" applyAlignment="1">
      <alignment horizontal="right" vertical="top" wrapText="1"/>
    </xf>
    <xf numFmtId="3" fontId="3" fillId="6" borderId="70" xfId="0" applyNumberFormat="1" applyFont="1" applyFill="1" applyBorder="1" applyAlignment="1">
      <alignment horizontal="right" vertical="top" wrapText="1"/>
    </xf>
    <xf numFmtId="3" fontId="3" fillId="0" borderId="1" xfId="0" applyNumberFormat="1" applyFont="1" applyBorder="1" applyAlignment="1">
      <alignment horizontal="center" vertical="top"/>
    </xf>
    <xf numFmtId="3" fontId="5" fillId="6" borderId="26" xfId="0" applyNumberFormat="1" applyFont="1" applyFill="1" applyBorder="1" applyAlignment="1">
      <alignment horizontal="center" vertical="top"/>
    </xf>
    <xf numFmtId="3" fontId="5" fillId="8" borderId="61" xfId="0" applyNumberFormat="1" applyFont="1" applyFill="1" applyBorder="1" applyAlignment="1">
      <alignment horizontal="right" vertical="top"/>
    </xf>
    <xf numFmtId="3" fontId="5" fillId="8" borderId="73" xfId="0" applyNumberFormat="1" applyFont="1" applyFill="1" applyBorder="1" applyAlignment="1">
      <alignment horizontal="right" vertical="top"/>
    </xf>
    <xf numFmtId="3" fontId="3" fillId="0" borderId="46" xfId="0" applyNumberFormat="1" applyFont="1" applyFill="1" applyBorder="1" applyAlignment="1">
      <alignment horizontal="center" vertical="top" wrapText="1"/>
    </xf>
    <xf numFmtId="3" fontId="5" fillId="8" borderId="59" xfId="0" applyNumberFormat="1" applyFont="1" applyFill="1" applyBorder="1" applyAlignment="1">
      <alignment horizontal="right" vertical="top"/>
    </xf>
    <xf numFmtId="3" fontId="3" fillId="2" borderId="41" xfId="0" applyNumberFormat="1" applyFont="1" applyFill="1" applyBorder="1" applyAlignment="1">
      <alignment horizontal="right" vertical="top" wrapText="1"/>
    </xf>
    <xf numFmtId="3" fontId="3" fillId="2" borderId="91" xfId="0" applyNumberFormat="1" applyFont="1" applyFill="1" applyBorder="1" applyAlignment="1">
      <alignment horizontal="right" vertical="top" wrapText="1"/>
    </xf>
    <xf numFmtId="3" fontId="3" fillId="2" borderId="0" xfId="0" applyNumberFormat="1" applyFont="1" applyFill="1" applyBorder="1" applyAlignment="1">
      <alignment horizontal="right" vertical="top" wrapText="1"/>
    </xf>
    <xf numFmtId="3" fontId="3" fillId="0" borderId="0" xfId="0" applyNumberFormat="1" applyFont="1" applyBorder="1" applyAlignment="1">
      <alignment horizontal="left" vertical="top"/>
    </xf>
    <xf numFmtId="3" fontId="5" fillId="11" borderId="8" xfId="0" applyNumberFormat="1" applyFont="1" applyFill="1" applyBorder="1" applyAlignment="1">
      <alignment horizontal="center" vertical="top"/>
    </xf>
    <xf numFmtId="3" fontId="5" fillId="6" borderId="28" xfId="0" applyNumberFormat="1" applyFont="1" applyFill="1" applyBorder="1" applyAlignment="1">
      <alignment horizontal="center" vertical="top"/>
    </xf>
    <xf numFmtId="3" fontId="5" fillId="0" borderId="47" xfId="0" applyNumberFormat="1" applyFont="1" applyFill="1" applyBorder="1" applyAlignment="1">
      <alignment horizontal="center" vertical="top"/>
    </xf>
    <xf numFmtId="3" fontId="3" fillId="0" borderId="7" xfId="0" applyNumberFormat="1" applyFont="1" applyFill="1" applyBorder="1" applyAlignment="1">
      <alignment horizontal="center" vertical="top"/>
    </xf>
    <xf numFmtId="3" fontId="3" fillId="0" borderId="23" xfId="0" applyNumberFormat="1" applyFont="1" applyFill="1" applyBorder="1" applyAlignment="1">
      <alignment horizontal="center" vertical="top"/>
    </xf>
    <xf numFmtId="3" fontId="3" fillId="6" borderId="53" xfId="0" applyNumberFormat="1" applyFont="1" applyFill="1" applyBorder="1" applyAlignment="1">
      <alignment horizontal="right" vertical="top"/>
    </xf>
    <xf numFmtId="3" fontId="3" fillId="6" borderId="24" xfId="0" applyNumberFormat="1" applyFont="1" applyFill="1" applyBorder="1" applyAlignment="1">
      <alignment horizontal="center" vertical="top"/>
    </xf>
    <xf numFmtId="3" fontId="3" fillId="8" borderId="24" xfId="0" applyNumberFormat="1" applyFont="1" applyFill="1" applyBorder="1" applyAlignment="1">
      <alignment horizontal="right" vertical="top"/>
    </xf>
    <xf numFmtId="3" fontId="3" fillId="6" borderId="24" xfId="0" applyNumberFormat="1" applyFont="1" applyFill="1" applyBorder="1" applyAlignment="1">
      <alignment horizontal="right" vertical="top"/>
    </xf>
    <xf numFmtId="3" fontId="3" fillId="6" borderId="55" xfId="0" applyNumberFormat="1" applyFont="1" applyFill="1" applyBorder="1" applyAlignment="1">
      <alignment horizontal="right" vertical="top"/>
    </xf>
    <xf numFmtId="3" fontId="5" fillId="8" borderId="66" xfId="0" applyNumberFormat="1" applyFont="1" applyFill="1" applyBorder="1" applyAlignment="1">
      <alignment horizontal="center" vertical="top"/>
    </xf>
    <xf numFmtId="3" fontId="3" fillId="6" borderId="116" xfId="0" applyNumberFormat="1" applyFont="1" applyFill="1" applyBorder="1" applyAlignment="1">
      <alignment horizontal="center" vertical="top"/>
    </xf>
    <xf numFmtId="3" fontId="3" fillId="6" borderId="116" xfId="0" applyNumberFormat="1" applyFont="1" applyFill="1" applyBorder="1" applyAlignment="1">
      <alignment horizontal="right" vertical="top"/>
    </xf>
    <xf numFmtId="3" fontId="5" fillId="6" borderId="118" xfId="0" applyNumberFormat="1" applyFont="1" applyFill="1" applyBorder="1" applyAlignment="1">
      <alignment horizontal="right" vertical="top"/>
    </xf>
    <xf numFmtId="3" fontId="5" fillId="6" borderId="27" xfId="0" applyNumberFormat="1" applyFont="1" applyFill="1" applyBorder="1" applyAlignment="1">
      <alignment horizontal="center" vertical="top"/>
    </xf>
    <xf numFmtId="3" fontId="5" fillId="0" borderId="29" xfId="0" applyNumberFormat="1" applyFont="1" applyBorder="1" applyAlignment="1">
      <alignment horizontal="center" vertical="top"/>
    </xf>
    <xf numFmtId="3" fontId="5" fillId="3" borderId="5" xfId="0" applyNumberFormat="1" applyFont="1" applyFill="1" applyBorder="1" applyAlignment="1">
      <alignment horizontal="center" vertical="top"/>
    </xf>
    <xf numFmtId="3" fontId="5" fillId="3" borderId="25" xfId="0" applyNumberFormat="1" applyFont="1" applyFill="1" applyBorder="1" applyAlignment="1">
      <alignment horizontal="right" vertical="top"/>
    </xf>
    <xf numFmtId="3" fontId="3" fillId="3" borderId="35" xfId="0" applyNumberFormat="1" applyFont="1" applyFill="1" applyBorder="1" applyAlignment="1">
      <alignment horizontal="center" vertical="top" wrapText="1"/>
    </xf>
    <xf numFmtId="3" fontId="3" fillId="3" borderId="30" xfId="0" applyNumberFormat="1" applyFont="1" applyFill="1" applyBorder="1" applyAlignment="1">
      <alignment horizontal="center" vertical="top" wrapText="1"/>
    </xf>
    <xf numFmtId="3" fontId="3" fillId="3" borderId="36" xfId="0" applyNumberFormat="1" applyFont="1" applyFill="1" applyBorder="1" applyAlignment="1">
      <alignment horizontal="center" vertical="top" wrapText="1"/>
    </xf>
    <xf numFmtId="3" fontId="5" fillId="3" borderId="28" xfId="0" applyNumberFormat="1" applyFont="1" applyFill="1" applyBorder="1" applyAlignment="1">
      <alignment horizontal="center" vertical="top"/>
    </xf>
    <xf numFmtId="3" fontId="3" fillId="0" borderId="78" xfId="0" applyNumberFormat="1" applyFont="1" applyFill="1" applyBorder="1" applyAlignment="1">
      <alignment horizontal="center" vertical="top"/>
    </xf>
    <xf numFmtId="3" fontId="3" fillId="6" borderId="70" xfId="0" applyNumberFormat="1" applyFont="1" applyFill="1" applyBorder="1" applyAlignment="1">
      <alignment horizontal="center" vertical="top"/>
    </xf>
    <xf numFmtId="3" fontId="3" fillId="6" borderId="40" xfId="0" applyNumberFormat="1" applyFont="1" applyFill="1" applyBorder="1" applyAlignment="1">
      <alignment horizontal="center" vertical="top"/>
    </xf>
    <xf numFmtId="3" fontId="3" fillId="6" borderId="9" xfId="0" applyNumberFormat="1" applyFont="1" applyFill="1" applyBorder="1" applyAlignment="1">
      <alignment horizontal="right" wrapText="1"/>
    </xf>
    <xf numFmtId="3" fontId="3" fillId="0" borderId="100" xfId="0" applyNumberFormat="1" applyFont="1" applyFill="1" applyBorder="1" applyAlignment="1">
      <alignment horizontal="left" vertical="top" wrapText="1"/>
    </xf>
    <xf numFmtId="3" fontId="3" fillId="0" borderId="96" xfId="0" applyNumberFormat="1" applyFont="1" applyFill="1" applyBorder="1" applyAlignment="1">
      <alignment vertical="top" wrapText="1"/>
    </xf>
    <xf numFmtId="3" fontId="3" fillId="0" borderId="20" xfId="0" applyNumberFormat="1" applyFont="1" applyFill="1" applyBorder="1" applyAlignment="1">
      <alignment vertical="top" wrapText="1"/>
    </xf>
    <xf numFmtId="3" fontId="5" fillId="6" borderId="19" xfId="0" applyNumberFormat="1" applyFont="1" applyFill="1" applyBorder="1" applyAlignment="1">
      <alignment horizontal="center" vertical="top" wrapText="1"/>
    </xf>
    <xf numFmtId="3" fontId="5" fillId="0" borderId="19" xfId="0" applyNumberFormat="1" applyFont="1" applyBorder="1" applyAlignment="1">
      <alignment horizontal="center" vertical="top" wrapText="1"/>
    </xf>
    <xf numFmtId="3" fontId="3" fillId="0" borderId="70" xfId="0" applyNumberFormat="1" applyFont="1" applyFill="1" applyBorder="1" applyAlignment="1">
      <alignment horizontal="center" vertical="top"/>
    </xf>
    <xf numFmtId="3" fontId="5" fillId="11" borderId="63" xfId="0" applyNumberFormat="1" applyFont="1" applyFill="1" applyBorder="1" applyAlignment="1">
      <alignment horizontal="center" vertical="top"/>
    </xf>
    <xf numFmtId="3" fontId="5" fillId="9" borderId="68" xfId="0" applyNumberFormat="1" applyFont="1" applyFill="1" applyBorder="1" applyAlignment="1">
      <alignment horizontal="right" vertical="top"/>
    </xf>
    <xf numFmtId="3" fontId="3" fillId="6" borderId="46" xfId="0" applyNumberFormat="1" applyFont="1" applyFill="1" applyBorder="1" applyAlignment="1">
      <alignment horizontal="center" vertical="top"/>
    </xf>
    <xf numFmtId="3" fontId="5" fillId="8" borderId="61" xfId="0" applyNumberFormat="1" applyFont="1" applyFill="1" applyBorder="1" applyAlignment="1">
      <alignment vertical="center"/>
    </xf>
    <xf numFmtId="3" fontId="5" fillId="8" borderId="67" xfId="0" applyNumberFormat="1" applyFont="1" applyFill="1" applyBorder="1" applyAlignment="1">
      <alignment horizontal="right" vertical="center"/>
    </xf>
    <xf numFmtId="3" fontId="5" fillId="8" borderId="61" xfId="0" applyNumberFormat="1" applyFont="1" applyFill="1" applyBorder="1" applyAlignment="1">
      <alignment horizontal="right" vertical="center"/>
    </xf>
    <xf numFmtId="3" fontId="5" fillId="8" borderId="64" xfId="0" applyNumberFormat="1" applyFont="1" applyFill="1" applyBorder="1" applyAlignment="1">
      <alignment horizontal="right" vertical="center"/>
    </xf>
    <xf numFmtId="3" fontId="5" fillId="3" borderId="68" xfId="0" applyNumberFormat="1" applyFont="1" applyFill="1" applyBorder="1" applyAlignment="1">
      <alignment horizontal="right" vertical="center"/>
    </xf>
    <xf numFmtId="3" fontId="5" fillId="3" borderId="26" xfId="0" applyNumberFormat="1" applyFont="1" applyFill="1" applyBorder="1" applyAlignment="1">
      <alignment horizontal="center" vertical="top"/>
    </xf>
    <xf numFmtId="3" fontId="5" fillId="8" borderId="35" xfId="0" applyNumberFormat="1" applyFont="1" applyFill="1" applyBorder="1" applyAlignment="1">
      <alignment horizontal="right" vertical="top"/>
    </xf>
    <xf numFmtId="3" fontId="9" fillId="0" borderId="26" xfId="0" applyNumberFormat="1" applyFont="1" applyFill="1" applyBorder="1" applyAlignment="1">
      <alignment horizontal="center" vertical="top" wrapText="1"/>
    </xf>
    <xf numFmtId="3" fontId="5" fillId="11" borderId="11" xfId="0" applyNumberFormat="1" applyFont="1" applyFill="1" applyBorder="1" applyAlignment="1">
      <alignment horizontal="center" vertical="top" wrapText="1"/>
    </xf>
    <xf numFmtId="3" fontId="5" fillId="3" borderId="26" xfId="0" applyNumberFormat="1" applyFont="1" applyFill="1" applyBorder="1" applyAlignment="1">
      <alignment horizontal="center" vertical="top" wrapText="1"/>
    </xf>
    <xf numFmtId="3" fontId="5" fillId="0" borderId="27" xfId="0" applyNumberFormat="1" applyFont="1" applyBorder="1" applyAlignment="1">
      <alignment horizontal="center" vertical="top" wrapText="1"/>
    </xf>
    <xf numFmtId="3" fontId="5" fillId="8" borderId="64" xfId="0" applyNumberFormat="1" applyFont="1" applyFill="1" applyBorder="1" applyAlignment="1">
      <alignment horizontal="right" vertical="top"/>
    </xf>
    <xf numFmtId="3" fontId="3" fillId="0" borderId="11" xfId="0" applyNumberFormat="1" applyFont="1" applyBorder="1" applyAlignment="1">
      <alignment vertical="top" wrapText="1"/>
    </xf>
    <xf numFmtId="3" fontId="5" fillId="3" borderId="68" xfId="0" applyNumberFormat="1" applyFont="1" applyFill="1" applyBorder="1" applyAlignment="1">
      <alignment horizontal="right" vertical="top"/>
    </xf>
    <xf numFmtId="3" fontId="7" fillId="9" borderId="35" xfId="0" applyNumberFormat="1" applyFont="1" applyFill="1" applyBorder="1" applyAlignment="1">
      <alignment vertical="top" wrapText="1"/>
    </xf>
    <xf numFmtId="3" fontId="7" fillId="9" borderId="68" xfId="0" applyNumberFormat="1" applyFont="1" applyFill="1" applyBorder="1" applyAlignment="1">
      <alignment horizontal="center" vertical="top" wrapText="1"/>
    </xf>
    <xf numFmtId="3" fontId="16" fillId="9" borderId="68" xfId="0" applyNumberFormat="1" applyFont="1" applyFill="1" applyBorder="1" applyAlignment="1">
      <alignment horizontal="center" vertical="top"/>
    </xf>
    <xf numFmtId="3" fontId="16" fillId="9" borderId="69" xfId="0" applyNumberFormat="1" applyFont="1" applyFill="1" applyBorder="1" applyAlignment="1">
      <alignment horizontal="center" vertical="top"/>
    </xf>
    <xf numFmtId="3" fontId="5" fillId="11" borderId="10" xfId="0" applyNumberFormat="1" applyFont="1" applyFill="1" applyBorder="1" applyAlignment="1">
      <alignment horizontal="center" vertical="top" wrapText="1"/>
    </xf>
    <xf numFmtId="3" fontId="5" fillId="3" borderId="17" xfId="0" applyNumberFormat="1" applyFont="1" applyFill="1" applyBorder="1" applyAlignment="1">
      <alignment horizontal="center" vertical="top" wrapText="1"/>
    </xf>
    <xf numFmtId="3" fontId="5" fillId="0" borderId="17" xfId="0" applyNumberFormat="1" applyFont="1" applyBorder="1" applyAlignment="1">
      <alignment horizontal="center" vertical="top" wrapText="1"/>
    </xf>
    <xf numFmtId="3" fontId="3" fillId="0" borderId="46" xfId="0" applyNumberFormat="1" applyFont="1" applyBorder="1" applyAlignment="1">
      <alignment horizontal="center" vertical="top" wrapText="1"/>
    </xf>
    <xf numFmtId="3" fontId="3" fillId="6" borderId="77" xfId="0" applyNumberFormat="1" applyFont="1" applyFill="1" applyBorder="1" applyAlignment="1">
      <alignment horizontal="right" vertical="top" wrapText="1"/>
    </xf>
    <xf numFmtId="3" fontId="5" fillId="2" borderId="17" xfId="0" applyNumberFormat="1" applyFont="1" applyFill="1" applyBorder="1" applyAlignment="1">
      <alignment horizontal="center" vertical="top"/>
    </xf>
    <xf numFmtId="3" fontId="11" fillId="0" borderId="0" xfId="0" applyNumberFormat="1" applyFont="1" applyBorder="1" applyAlignment="1">
      <alignment vertical="top"/>
    </xf>
    <xf numFmtId="3" fontId="3" fillId="0" borderId="24" xfId="0" applyNumberFormat="1" applyFont="1" applyBorder="1" applyAlignment="1">
      <alignment horizontal="center" vertical="top" wrapText="1"/>
    </xf>
    <xf numFmtId="3" fontId="3" fillId="0" borderId="45" xfId="0" applyNumberFormat="1" applyFont="1" applyFill="1" applyBorder="1" applyAlignment="1">
      <alignment horizontal="left" vertical="top" wrapText="1"/>
    </xf>
    <xf numFmtId="3" fontId="5" fillId="8" borderId="36" xfId="0" applyNumberFormat="1" applyFont="1" applyFill="1" applyBorder="1" applyAlignment="1">
      <alignment horizontal="right" vertical="top"/>
    </xf>
    <xf numFmtId="3" fontId="5" fillId="11" borderId="25" xfId="0" applyNumberFormat="1" applyFont="1" applyFill="1" applyBorder="1" applyAlignment="1">
      <alignment horizontal="right" vertical="top"/>
    </xf>
    <xf numFmtId="3" fontId="5" fillId="4" borderId="25" xfId="0" applyNumberFormat="1" applyFont="1" applyFill="1" applyBorder="1" applyAlignment="1">
      <alignment horizontal="right" vertical="top"/>
    </xf>
    <xf numFmtId="3" fontId="3" fillId="0" borderId="0" xfId="0" applyNumberFormat="1" applyFont="1" applyFill="1" applyAlignment="1">
      <alignment vertical="top"/>
    </xf>
    <xf numFmtId="3" fontId="3" fillId="2" borderId="0" xfId="0" applyNumberFormat="1" applyFont="1" applyFill="1" applyAlignment="1">
      <alignment vertical="top"/>
    </xf>
    <xf numFmtId="3" fontId="5" fillId="0" borderId="0" xfId="0" applyNumberFormat="1" applyFont="1" applyFill="1" applyBorder="1" applyAlignment="1">
      <alignment horizontal="center" vertical="top"/>
    </xf>
    <xf numFmtId="3" fontId="5" fillId="0" borderId="0" xfId="0" applyNumberFormat="1" applyFont="1" applyFill="1" applyBorder="1" applyAlignment="1">
      <alignment vertical="top"/>
    </xf>
    <xf numFmtId="3" fontId="5" fillId="4" borderId="7" xfId="0" applyNumberFormat="1" applyFont="1" applyFill="1" applyBorder="1" applyAlignment="1">
      <alignment horizontal="right" vertical="top"/>
    </xf>
    <xf numFmtId="3" fontId="5" fillId="0" borderId="0" xfId="0" applyNumberFormat="1" applyFont="1" applyAlignment="1">
      <alignment horizontal="left" vertical="top"/>
    </xf>
    <xf numFmtId="3" fontId="5" fillId="8" borderId="24" xfId="0" applyNumberFormat="1" applyFont="1" applyFill="1" applyBorder="1" applyAlignment="1">
      <alignment horizontal="right" vertical="top"/>
    </xf>
    <xf numFmtId="3" fontId="3" fillId="0" borderId="24" xfId="0" applyNumberFormat="1" applyFont="1" applyBorder="1" applyAlignment="1">
      <alignment horizontal="right" vertical="top"/>
    </xf>
    <xf numFmtId="3" fontId="5" fillId="4" borderId="24" xfId="0" applyNumberFormat="1" applyFont="1" applyFill="1" applyBorder="1" applyAlignment="1">
      <alignment horizontal="right" vertical="top"/>
    </xf>
    <xf numFmtId="3" fontId="5" fillId="5" borderId="66" xfId="0" applyNumberFormat="1" applyFont="1" applyFill="1" applyBorder="1" applyAlignment="1">
      <alignment horizontal="right" vertical="top"/>
    </xf>
    <xf numFmtId="3" fontId="21" fillId="0" borderId="0" xfId="0" applyNumberFormat="1" applyFont="1" applyAlignment="1">
      <alignment vertical="top"/>
    </xf>
    <xf numFmtId="3" fontId="3" fillId="6" borderId="57" xfId="0" applyNumberFormat="1" applyFont="1" applyFill="1" applyBorder="1" applyAlignment="1">
      <alignment horizontal="right" vertical="top"/>
    </xf>
    <xf numFmtId="3" fontId="3" fillId="6" borderId="40" xfId="0" applyNumberFormat="1" applyFont="1" applyFill="1" applyBorder="1" applyAlignment="1">
      <alignment horizontal="right" vertical="top"/>
    </xf>
    <xf numFmtId="3" fontId="3" fillId="6" borderId="105" xfId="0" applyNumberFormat="1" applyFont="1" applyFill="1" applyBorder="1" applyAlignment="1">
      <alignment horizontal="right" vertical="top"/>
    </xf>
    <xf numFmtId="3" fontId="3" fillId="6" borderId="76" xfId="0" applyNumberFormat="1" applyFont="1" applyFill="1" applyBorder="1" applyAlignment="1">
      <alignment horizontal="right" vertical="top"/>
    </xf>
    <xf numFmtId="3" fontId="3" fillId="6" borderId="76" xfId="0" applyNumberFormat="1" applyFont="1" applyFill="1" applyBorder="1" applyAlignment="1">
      <alignment horizontal="right" vertical="top" wrapText="1"/>
    </xf>
    <xf numFmtId="3" fontId="3" fillId="6" borderId="6" xfId="0" applyNumberFormat="1" applyFont="1" applyFill="1" applyBorder="1" applyAlignment="1">
      <alignment horizontal="right" vertical="top" wrapText="1"/>
    </xf>
    <xf numFmtId="3" fontId="3" fillId="6" borderId="44" xfId="0" applyNumberFormat="1" applyFont="1" applyFill="1" applyBorder="1" applyAlignment="1">
      <alignment horizontal="right" vertical="top"/>
    </xf>
    <xf numFmtId="3" fontId="3" fillId="6" borderId="24" xfId="0" applyNumberFormat="1" applyFont="1" applyFill="1" applyBorder="1" applyAlignment="1">
      <alignment horizontal="right" vertical="center"/>
    </xf>
    <xf numFmtId="3" fontId="5" fillId="0" borderId="32" xfId="0" applyNumberFormat="1" applyFont="1" applyBorder="1" applyAlignment="1">
      <alignment horizontal="center" vertical="top"/>
    </xf>
    <xf numFmtId="3" fontId="3" fillId="6" borderId="9" xfId="0" applyNumberFormat="1" applyFont="1" applyFill="1" applyBorder="1" applyAlignment="1">
      <alignment horizontal="right"/>
    </xf>
    <xf numFmtId="3" fontId="5" fillId="6" borderId="24" xfId="0" applyNumberFormat="1" applyFont="1" applyFill="1" applyBorder="1" applyAlignment="1">
      <alignment horizontal="right" vertical="top"/>
    </xf>
    <xf numFmtId="3" fontId="3" fillId="0" borderId="32" xfId="0" applyNumberFormat="1" applyFont="1" applyFill="1" applyBorder="1" applyAlignment="1">
      <alignment horizontal="center" vertical="top" wrapText="1"/>
    </xf>
    <xf numFmtId="3" fontId="5" fillId="6" borderId="1" xfId="0" applyNumberFormat="1" applyFont="1" applyFill="1" applyBorder="1" applyAlignment="1">
      <alignment horizontal="center" vertical="top"/>
    </xf>
    <xf numFmtId="3" fontId="3" fillId="6" borderId="46" xfId="0" applyNumberFormat="1" applyFont="1" applyFill="1" applyBorder="1" applyAlignment="1">
      <alignment horizontal="right" vertical="top"/>
    </xf>
    <xf numFmtId="3" fontId="21" fillId="6" borderId="9" xfId="0" applyNumberFormat="1" applyFont="1" applyFill="1" applyBorder="1" applyAlignment="1">
      <alignment horizontal="right" vertical="top" wrapText="1"/>
    </xf>
    <xf numFmtId="3" fontId="5" fillId="11" borderId="10"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3" fontId="5" fillId="3" borderId="69" xfId="0" applyNumberFormat="1" applyFont="1" applyFill="1" applyBorder="1" applyAlignment="1">
      <alignment horizontal="right" vertical="top"/>
    </xf>
    <xf numFmtId="3" fontId="5" fillId="11" borderId="69" xfId="0" applyNumberFormat="1" applyFont="1" applyFill="1" applyBorder="1" applyAlignment="1">
      <alignment horizontal="right" vertical="top"/>
    </xf>
    <xf numFmtId="3" fontId="5" fillId="4" borderId="69" xfId="0" applyNumberFormat="1" applyFont="1" applyFill="1" applyBorder="1" applyAlignment="1">
      <alignment horizontal="right" vertical="top"/>
    </xf>
    <xf numFmtId="3" fontId="5" fillId="11" borderId="8" xfId="0" applyNumberFormat="1" applyFont="1" applyFill="1" applyBorder="1" applyAlignment="1">
      <alignment horizontal="center" vertical="top"/>
    </xf>
    <xf numFmtId="3" fontId="5" fillId="3" borderId="47" xfId="0" applyNumberFormat="1" applyFont="1" applyFill="1" applyBorder="1" applyAlignment="1">
      <alignment horizontal="center" vertical="top"/>
    </xf>
    <xf numFmtId="3" fontId="5" fillId="6" borderId="28" xfId="0" applyNumberFormat="1" applyFont="1" applyFill="1" applyBorder="1" applyAlignment="1">
      <alignment horizontal="center" vertical="top"/>
    </xf>
    <xf numFmtId="3" fontId="5" fillId="6" borderId="17" xfId="0" applyNumberFormat="1" applyFont="1" applyFill="1" applyBorder="1" applyAlignment="1">
      <alignment horizontal="center" vertical="top"/>
    </xf>
    <xf numFmtId="3" fontId="5" fillId="3" borderId="50" xfId="0" applyNumberFormat="1" applyFont="1" applyFill="1" applyBorder="1" applyAlignment="1">
      <alignment horizontal="center" vertical="top"/>
    </xf>
    <xf numFmtId="3" fontId="3" fillId="0" borderId="28" xfId="0" applyNumberFormat="1" applyFont="1" applyFill="1" applyBorder="1" applyAlignment="1">
      <alignment horizontal="center" vertical="top" wrapText="1"/>
    </xf>
    <xf numFmtId="3" fontId="3" fillId="0" borderId="34" xfId="0" applyNumberFormat="1" applyFont="1" applyFill="1" applyBorder="1" applyAlignment="1">
      <alignment horizontal="center" vertical="top" wrapText="1"/>
    </xf>
    <xf numFmtId="3" fontId="3" fillId="0" borderId="29" xfId="0" applyNumberFormat="1" applyFont="1" applyFill="1" applyBorder="1" applyAlignment="1">
      <alignment horizontal="center" vertical="top" wrapText="1"/>
    </xf>
    <xf numFmtId="3" fontId="3" fillId="0" borderId="33" xfId="0" applyNumberFormat="1" applyFont="1" applyFill="1" applyBorder="1" applyAlignment="1">
      <alignment horizontal="center" vertical="top" wrapText="1"/>
    </xf>
    <xf numFmtId="3" fontId="3" fillId="0" borderId="31" xfId="0" applyNumberFormat="1" applyFont="1" applyFill="1" applyBorder="1" applyAlignment="1">
      <alignment horizontal="left" vertical="top" wrapText="1"/>
    </xf>
    <xf numFmtId="3" fontId="5" fillId="0" borderId="33" xfId="0" applyNumberFormat="1" applyFont="1" applyBorder="1" applyAlignment="1">
      <alignment horizontal="center" vertical="top"/>
    </xf>
    <xf numFmtId="3" fontId="3" fillId="0" borderId="26" xfId="0" applyNumberFormat="1" applyFont="1" applyFill="1" applyBorder="1" applyAlignment="1">
      <alignment horizontal="center" vertical="top"/>
    </xf>
    <xf numFmtId="3" fontId="5" fillId="6" borderId="50" xfId="0" applyNumberFormat="1" applyFont="1" applyFill="1" applyBorder="1" applyAlignment="1">
      <alignment horizontal="center" vertical="top"/>
    </xf>
    <xf numFmtId="3" fontId="3" fillId="2" borderId="50" xfId="0" applyNumberFormat="1" applyFont="1" applyFill="1" applyBorder="1" applyAlignment="1">
      <alignment horizontal="center" vertical="top"/>
    </xf>
    <xf numFmtId="3" fontId="3" fillId="0" borderId="50" xfId="0" applyNumberFormat="1" applyFont="1" applyFill="1" applyBorder="1" applyAlignment="1">
      <alignment horizontal="center" vertical="top" wrapText="1"/>
    </xf>
    <xf numFmtId="3" fontId="3" fillId="6" borderId="50" xfId="0" applyNumberFormat="1" applyFont="1" applyFill="1" applyBorder="1" applyAlignment="1">
      <alignment horizontal="center" vertical="top" wrapText="1"/>
    </xf>
    <xf numFmtId="3" fontId="3" fillId="6" borderId="62" xfId="0" applyNumberFormat="1" applyFont="1" applyFill="1" applyBorder="1" applyAlignment="1">
      <alignment horizontal="center" vertical="top" wrapText="1"/>
    </xf>
    <xf numFmtId="3" fontId="3" fillId="0" borderId="47" xfId="0" applyNumberFormat="1" applyFont="1" applyFill="1" applyBorder="1" applyAlignment="1">
      <alignment horizontal="center" vertical="top" wrapText="1"/>
    </xf>
    <xf numFmtId="3" fontId="3" fillId="0" borderId="62" xfId="0" applyNumberFormat="1" applyFont="1" applyFill="1" applyBorder="1" applyAlignment="1">
      <alignment horizontal="center" vertical="top" wrapText="1"/>
    </xf>
    <xf numFmtId="3" fontId="3" fillId="2" borderId="47" xfId="0" applyNumberFormat="1" applyFont="1" applyFill="1" applyBorder="1" applyAlignment="1">
      <alignment horizontal="center" vertical="top"/>
    </xf>
    <xf numFmtId="3" fontId="3" fillId="2" borderId="110" xfId="0" applyNumberFormat="1" applyFont="1" applyFill="1" applyBorder="1" applyAlignment="1">
      <alignment horizontal="center" vertical="top"/>
    </xf>
    <xf numFmtId="3" fontId="3" fillId="0" borderId="62" xfId="0" applyNumberFormat="1" applyFont="1" applyFill="1" applyBorder="1" applyAlignment="1">
      <alignment horizontal="center" vertical="top"/>
    </xf>
    <xf numFmtId="3" fontId="5" fillId="0" borderId="47" xfId="0" applyNumberFormat="1" applyFont="1" applyFill="1" applyBorder="1" applyAlignment="1">
      <alignment horizontal="center" vertical="top" wrapText="1"/>
    </xf>
    <xf numFmtId="3" fontId="3" fillId="0" borderId="50" xfId="0" applyNumberFormat="1" applyFont="1" applyFill="1" applyBorder="1" applyAlignment="1">
      <alignment horizontal="center" vertical="top"/>
    </xf>
    <xf numFmtId="3" fontId="9" fillId="0" borderId="62" xfId="0" applyNumberFormat="1" applyFont="1" applyFill="1" applyBorder="1" applyAlignment="1">
      <alignment horizontal="center" vertical="top" wrapText="1"/>
    </xf>
    <xf numFmtId="0" fontId="11" fillId="0" borderId="0" xfId="0" applyFont="1" applyAlignment="1">
      <alignment vertical="top"/>
    </xf>
    <xf numFmtId="3" fontId="3" fillId="0" borderId="49" xfId="0" applyNumberFormat="1" applyFont="1" applyFill="1" applyBorder="1" applyAlignment="1">
      <alignment horizontal="center" vertical="center" textRotation="90" wrapText="1"/>
    </xf>
    <xf numFmtId="3" fontId="3" fillId="0" borderId="0" xfId="0" applyNumberFormat="1" applyFont="1" applyFill="1" applyBorder="1" applyAlignment="1">
      <alignment horizontal="center" vertical="center" textRotation="90" wrapText="1"/>
    </xf>
    <xf numFmtId="3" fontId="0" fillId="0" borderId="30" xfId="0" applyNumberFormat="1" applyBorder="1" applyAlignment="1">
      <alignment horizontal="center"/>
    </xf>
    <xf numFmtId="3" fontId="3" fillId="0" borderId="20" xfId="0" applyNumberFormat="1" applyFont="1" applyFill="1" applyBorder="1" applyAlignment="1">
      <alignment horizontal="center" vertical="center" textRotation="90" wrapText="1"/>
    </xf>
    <xf numFmtId="3" fontId="3" fillId="0" borderId="39" xfId="0" applyNumberFormat="1" applyFont="1" applyFill="1" applyBorder="1" applyAlignment="1">
      <alignment horizontal="center" vertical="center" textRotation="90" wrapText="1"/>
    </xf>
    <xf numFmtId="3" fontId="3" fillId="0" borderId="75" xfId="0" applyNumberFormat="1" applyFont="1" applyFill="1" applyBorder="1" applyAlignment="1">
      <alignment horizontal="center" vertical="center" textRotation="90" wrapText="1"/>
    </xf>
    <xf numFmtId="3" fontId="3" fillId="6" borderId="39" xfId="0" applyNumberFormat="1" applyFont="1" applyFill="1" applyBorder="1" applyAlignment="1">
      <alignment horizontal="center" vertical="center" textRotation="90" wrapText="1"/>
    </xf>
    <xf numFmtId="3" fontId="3" fillId="6" borderId="20" xfId="0" applyNumberFormat="1" applyFont="1" applyFill="1" applyBorder="1" applyAlignment="1">
      <alignment horizontal="center" vertical="center" textRotation="90" wrapText="1"/>
    </xf>
    <xf numFmtId="3" fontId="5" fillId="0" borderId="21" xfId="0" applyNumberFormat="1" applyFont="1" applyFill="1" applyBorder="1" applyAlignment="1">
      <alignment horizontal="left" vertical="top" wrapText="1"/>
    </xf>
    <xf numFmtId="3" fontId="3" fillId="2" borderId="21" xfId="0" applyNumberFormat="1" applyFont="1" applyFill="1" applyBorder="1" applyAlignment="1">
      <alignment horizontal="left" vertical="top" wrapText="1"/>
    </xf>
    <xf numFmtId="3" fontId="3" fillId="2" borderId="106" xfId="0" applyNumberFormat="1" applyFont="1" applyFill="1" applyBorder="1" applyAlignment="1">
      <alignment horizontal="left" vertical="top" wrapText="1"/>
    </xf>
    <xf numFmtId="3" fontId="3" fillId="6" borderId="2" xfId="0" applyNumberFormat="1" applyFont="1" applyFill="1" applyBorder="1" applyAlignment="1">
      <alignment horizontal="left" vertical="top" wrapText="1"/>
    </xf>
    <xf numFmtId="3" fontId="3" fillId="6" borderId="107" xfId="0" applyNumberFormat="1" applyFont="1" applyFill="1" applyBorder="1" applyAlignment="1">
      <alignment vertical="top" wrapText="1"/>
    </xf>
    <xf numFmtId="3" fontId="3" fillId="2" borderId="26" xfId="0" applyNumberFormat="1" applyFont="1" applyFill="1" applyBorder="1" applyAlignment="1">
      <alignment horizontal="left" vertical="top" wrapText="1"/>
    </xf>
    <xf numFmtId="3" fontId="3" fillId="2" borderId="84" xfId="0" applyNumberFormat="1" applyFont="1" applyFill="1" applyBorder="1" applyAlignment="1">
      <alignment horizontal="left" vertical="top" wrapText="1"/>
    </xf>
    <xf numFmtId="3" fontId="3" fillId="0" borderId="17" xfId="0" applyNumberFormat="1" applyFont="1" applyFill="1" applyBorder="1" applyAlignment="1">
      <alignment horizontal="left" vertical="top" wrapText="1"/>
    </xf>
    <xf numFmtId="3" fontId="18" fillId="6" borderId="28" xfId="0" applyNumberFormat="1" applyFont="1" applyFill="1" applyBorder="1" applyAlignment="1">
      <alignment horizontal="left" vertical="top" wrapText="1"/>
    </xf>
    <xf numFmtId="3" fontId="3" fillId="0" borderId="41" xfId="0" applyNumberFormat="1" applyFont="1" applyFill="1" applyBorder="1" applyAlignment="1">
      <alignment horizontal="center" vertical="top" textRotation="90" wrapText="1"/>
    </xf>
    <xf numFmtId="3" fontId="3" fillId="6" borderId="49" xfId="0" applyNumberFormat="1" applyFont="1" applyFill="1" applyBorder="1" applyAlignment="1">
      <alignment horizontal="center" vertical="top" textRotation="90" wrapText="1"/>
    </xf>
    <xf numFmtId="3" fontId="3" fillId="6" borderId="0" xfId="0" applyNumberFormat="1" applyFont="1" applyFill="1" applyBorder="1" applyAlignment="1">
      <alignment horizontal="center" vertical="top" textRotation="90" wrapText="1"/>
    </xf>
    <xf numFmtId="3" fontId="3" fillId="0" borderId="0" xfId="0" applyNumberFormat="1" applyFont="1" applyFill="1" applyBorder="1" applyAlignment="1">
      <alignment horizontal="center" vertical="top" textRotation="90" wrapText="1"/>
    </xf>
    <xf numFmtId="3" fontId="3" fillId="0" borderId="30" xfId="0" applyNumberFormat="1" applyFont="1" applyFill="1" applyBorder="1" applyAlignment="1">
      <alignment horizontal="center" vertical="top" textRotation="90" wrapText="1"/>
    </xf>
    <xf numFmtId="3" fontId="3" fillId="0" borderId="30" xfId="0" applyNumberFormat="1" applyFont="1" applyFill="1" applyBorder="1" applyAlignment="1">
      <alignment horizontal="center" vertical="center" textRotation="90" wrapText="1"/>
    </xf>
    <xf numFmtId="3" fontId="5" fillId="2" borderId="28" xfId="0" applyNumberFormat="1" applyFont="1" applyFill="1" applyBorder="1" applyAlignment="1">
      <alignment horizontal="left" vertical="top" wrapText="1"/>
    </xf>
    <xf numFmtId="3" fontId="3" fillId="0" borderId="46" xfId="0" applyNumberFormat="1" applyFont="1" applyBorder="1" applyAlignment="1">
      <alignment horizontal="center" vertical="center" wrapText="1"/>
    </xf>
    <xf numFmtId="3" fontId="3" fillId="0" borderId="41" xfId="0" applyNumberFormat="1" applyFont="1" applyBorder="1" applyAlignment="1">
      <alignment horizontal="center" vertical="center" wrapText="1"/>
    </xf>
    <xf numFmtId="3" fontId="3" fillId="6" borderId="54" xfId="0" applyNumberFormat="1" applyFont="1" applyFill="1" applyBorder="1" applyAlignment="1">
      <alignment horizontal="right" vertical="top" wrapText="1"/>
    </xf>
    <xf numFmtId="3" fontId="3" fillId="6" borderId="78" xfId="0" applyNumberFormat="1" applyFont="1" applyFill="1" applyBorder="1" applyAlignment="1">
      <alignment horizontal="right" vertical="top" wrapText="1"/>
    </xf>
    <xf numFmtId="3" fontId="3" fillId="6" borderId="0" xfId="0" applyNumberFormat="1" applyFont="1" applyFill="1" applyBorder="1" applyAlignment="1">
      <alignment vertical="top"/>
    </xf>
    <xf numFmtId="3" fontId="3" fillId="6" borderId="41" xfId="0" applyNumberFormat="1" applyFont="1" applyFill="1" applyBorder="1" applyAlignment="1">
      <alignment horizontal="right" vertical="top"/>
    </xf>
    <xf numFmtId="3" fontId="3" fillId="6" borderId="70" xfId="0" applyNumberFormat="1" applyFont="1" applyFill="1" applyBorder="1" applyAlignment="1">
      <alignment horizontal="right" vertical="center"/>
    </xf>
    <xf numFmtId="3" fontId="2" fillId="0" borderId="20" xfId="0" applyNumberFormat="1" applyFont="1" applyFill="1" applyBorder="1" applyAlignment="1">
      <alignment horizontal="center" vertical="center" textRotation="90" shrinkToFit="1"/>
    </xf>
    <xf numFmtId="3" fontId="5" fillId="6" borderId="111" xfId="0" applyNumberFormat="1" applyFont="1" applyFill="1" applyBorder="1" applyAlignment="1">
      <alignment horizontal="right" vertical="top"/>
    </xf>
    <xf numFmtId="3" fontId="3" fillId="6" borderId="55" xfId="0" applyNumberFormat="1" applyFont="1" applyFill="1" applyBorder="1" applyAlignment="1">
      <alignment horizontal="right" vertical="top" wrapText="1"/>
    </xf>
    <xf numFmtId="3" fontId="3" fillId="6" borderId="65" xfId="0" applyNumberFormat="1" applyFont="1" applyFill="1" applyBorder="1" applyAlignment="1">
      <alignment horizontal="right" vertical="top"/>
    </xf>
    <xf numFmtId="3" fontId="3" fillId="6" borderId="41" xfId="0" applyNumberFormat="1" applyFont="1" applyFill="1" applyBorder="1" applyAlignment="1">
      <alignment horizontal="right" vertical="top" wrapText="1"/>
    </xf>
    <xf numFmtId="3" fontId="3" fillId="6" borderId="94" xfId="0" applyNumberFormat="1" applyFont="1" applyFill="1" applyBorder="1" applyAlignment="1">
      <alignment horizontal="right" vertical="top" wrapText="1"/>
    </xf>
    <xf numFmtId="3" fontId="3" fillId="6" borderId="78" xfId="0" applyNumberFormat="1" applyFont="1" applyFill="1" applyBorder="1" applyAlignment="1">
      <alignment horizontal="right" vertical="top"/>
    </xf>
    <xf numFmtId="3" fontId="27" fillId="6" borderId="9" xfId="0" applyNumberFormat="1" applyFont="1" applyFill="1" applyBorder="1" applyAlignment="1">
      <alignment horizontal="right" vertical="top" wrapText="1"/>
    </xf>
    <xf numFmtId="3" fontId="27" fillId="6" borderId="24" xfId="0" applyNumberFormat="1" applyFont="1" applyFill="1" applyBorder="1" applyAlignment="1">
      <alignment horizontal="right" vertical="top" wrapText="1"/>
    </xf>
    <xf numFmtId="3" fontId="3" fillId="6" borderId="7" xfId="0" applyNumberFormat="1" applyFont="1" applyFill="1" applyBorder="1" applyAlignment="1">
      <alignment horizontal="right"/>
    </xf>
    <xf numFmtId="3" fontId="3" fillId="6" borderId="7" xfId="0" applyNumberFormat="1" applyFont="1" applyFill="1" applyBorder="1" applyAlignment="1">
      <alignment horizontal="right" wrapText="1"/>
    </xf>
    <xf numFmtId="3" fontId="3" fillId="6" borderId="24" xfId="0" applyNumberFormat="1" applyFont="1" applyFill="1" applyBorder="1" applyAlignment="1">
      <alignment horizontal="right"/>
    </xf>
    <xf numFmtId="49" fontId="3" fillId="0" borderId="0" xfId="0" applyNumberFormat="1" applyFont="1" applyFill="1" applyBorder="1" applyAlignment="1">
      <alignment horizontal="left" vertical="top"/>
    </xf>
    <xf numFmtId="3" fontId="3" fillId="6" borderId="75" xfId="0" applyNumberFormat="1" applyFont="1" applyFill="1" applyBorder="1" applyAlignment="1">
      <alignment horizontal="center" vertical="center" textRotation="90" wrapText="1"/>
    </xf>
    <xf numFmtId="3" fontId="5" fillId="0" borderId="53" xfId="0" applyNumberFormat="1" applyFont="1" applyBorder="1" applyAlignment="1">
      <alignment horizontal="center" vertical="top"/>
    </xf>
    <xf numFmtId="3" fontId="3" fillId="2" borderId="105" xfId="0" applyNumberFormat="1" applyFont="1" applyFill="1" applyBorder="1" applyAlignment="1">
      <alignment horizontal="center" vertical="top"/>
    </xf>
    <xf numFmtId="3" fontId="5" fillId="11" borderId="10" xfId="0" applyNumberFormat="1" applyFont="1" applyFill="1" applyBorder="1" applyAlignment="1">
      <alignment horizontal="center" vertical="top"/>
    </xf>
    <xf numFmtId="3" fontId="5" fillId="3" borderId="50" xfId="0" applyNumberFormat="1" applyFont="1" applyFill="1" applyBorder="1" applyAlignment="1">
      <alignment horizontal="center" vertical="top"/>
    </xf>
    <xf numFmtId="3" fontId="5" fillId="6" borderId="50" xfId="0" applyNumberFormat="1" applyFont="1" applyFill="1" applyBorder="1" applyAlignment="1">
      <alignment horizontal="center" vertical="top"/>
    </xf>
    <xf numFmtId="3" fontId="5" fillId="6" borderId="17" xfId="0" applyNumberFormat="1" applyFont="1" applyFill="1" applyBorder="1" applyAlignment="1">
      <alignment horizontal="center" vertical="top"/>
    </xf>
    <xf numFmtId="3" fontId="5" fillId="6" borderId="108" xfId="0" applyNumberFormat="1" applyFont="1" applyFill="1" applyBorder="1" applyAlignment="1">
      <alignment horizontal="center" vertical="top"/>
    </xf>
    <xf numFmtId="3" fontId="5" fillId="6" borderId="19" xfId="0" applyNumberFormat="1" applyFont="1" applyFill="1" applyBorder="1" applyAlignment="1">
      <alignment horizontal="center" vertical="top"/>
    </xf>
    <xf numFmtId="3" fontId="3" fillId="6" borderId="17" xfId="0" applyNumberFormat="1" applyFont="1" applyFill="1" applyBorder="1" applyAlignment="1">
      <alignment horizontal="left" vertical="top" wrapText="1"/>
    </xf>
    <xf numFmtId="3" fontId="3" fillId="6" borderId="84" xfId="0" applyNumberFormat="1" applyFont="1" applyFill="1" applyBorder="1" applyAlignment="1">
      <alignment horizontal="left" vertical="top" wrapText="1"/>
    </xf>
    <xf numFmtId="3" fontId="3" fillId="0" borderId="72" xfId="0" applyNumberFormat="1" applyFont="1" applyFill="1" applyBorder="1" applyAlignment="1">
      <alignment horizontal="center" vertical="center" textRotation="90" wrapText="1"/>
    </xf>
    <xf numFmtId="3" fontId="3" fillId="0" borderId="33" xfId="0" applyNumberFormat="1" applyFont="1" applyFill="1" applyBorder="1" applyAlignment="1">
      <alignment horizontal="center" vertical="top" wrapText="1"/>
    </xf>
    <xf numFmtId="3" fontId="3" fillId="0" borderId="20" xfId="0" applyNumberFormat="1" applyFont="1" applyFill="1" applyBorder="1" applyAlignment="1">
      <alignment horizontal="center" vertical="center" textRotation="90" wrapText="1"/>
    </xf>
    <xf numFmtId="3" fontId="3" fillId="6" borderId="88" xfId="0" applyNumberFormat="1" applyFont="1" applyFill="1" applyBorder="1" applyAlignment="1">
      <alignment horizontal="left" vertical="top" wrapText="1"/>
    </xf>
    <xf numFmtId="3" fontId="3" fillId="6" borderId="106" xfId="0" applyNumberFormat="1" applyFont="1" applyFill="1" applyBorder="1" applyAlignment="1">
      <alignment horizontal="left" vertical="top" wrapText="1"/>
    </xf>
    <xf numFmtId="3" fontId="1" fillId="0" borderId="20" xfId="0" applyNumberFormat="1" applyFont="1" applyBorder="1" applyAlignment="1">
      <alignment horizontal="center" vertical="center" textRotation="90" wrapText="1"/>
    </xf>
    <xf numFmtId="3" fontId="3" fillId="2" borderId="26" xfId="0" applyNumberFormat="1" applyFont="1" applyFill="1" applyBorder="1" applyAlignment="1">
      <alignment horizontal="left" vertical="top" wrapText="1"/>
    </xf>
    <xf numFmtId="3" fontId="3" fillId="0" borderId="10" xfId="0" applyNumberFormat="1" applyFont="1" applyFill="1" applyBorder="1" applyAlignment="1">
      <alignment horizontal="left" vertical="top" wrapText="1"/>
    </xf>
    <xf numFmtId="3" fontId="3" fillId="0" borderId="17" xfId="0" applyNumberFormat="1" applyFont="1" applyFill="1" applyBorder="1" applyAlignment="1">
      <alignment horizontal="center" vertical="top" wrapText="1"/>
    </xf>
    <xf numFmtId="3" fontId="3" fillId="0" borderId="19" xfId="0" applyNumberFormat="1" applyFont="1" applyFill="1" applyBorder="1" applyAlignment="1">
      <alignment horizontal="center" vertical="top" wrapText="1"/>
    </xf>
    <xf numFmtId="3" fontId="3" fillId="0" borderId="21" xfId="0" applyNumberFormat="1" applyFont="1" applyFill="1" applyBorder="1" applyAlignment="1">
      <alignment vertical="top" wrapText="1"/>
    </xf>
    <xf numFmtId="3" fontId="5" fillId="11" borderId="10"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3" fontId="5" fillId="0" borderId="19" xfId="0" applyNumberFormat="1" applyFont="1" applyBorder="1" applyAlignment="1">
      <alignment horizontal="center" vertical="top"/>
    </xf>
    <xf numFmtId="3" fontId="3" fillId="2" borderId="21" xfId="0" applyNumberFormat="1" applyFont="1" applyFill="1" applyBorder="1" applyAlignment="1">
      <alignment horizontal="left" vertical="top" wrapText="1"/>
    </xf>
    <xf numFmtId="3" fontId="5" fillId="0" borderId="29" xfId="0" applyNumberFormat="1" applyFont="1" applyBorder="1" applyAlignment="1">
      <alignment horizontal="center" vertical="top"/>
    </xf>
    <xf numFmtId="3" fontId="3" fillId="0" borderId="11" xfId="0" applyNumberFormat="1" applyFont="1" applyFill="1" applyBorder="1" applyAlignment="1">
      <alignment horizontal="left" vertical="top" wrapText="1"/>
    </xf>
    <xf numFmtId="3" fontId="5" fillId="11" borderId="8" xfId="0" applyNumberFormat="1" applyFont="1" applyFill="1" applyBorder="1" applyAlignment="1">
      <alignment horizontal="center" vertical="top"/>
    </xf>
    <xf numFmtId="3" fontId="5" fillId="3" borderId="28" xfId="0" applyNumberFormat="1" applyFont="1" applyFill="1" applyBorder="1" applyAlignment="1">
      <alignment horizontal="center" vertical="top"/>
    </xf>
    <xf numFmtId="3" fontId="3" fillId="0" borderId="41" xfId="0" applyNumberFormat="1" applyFont="1" applyFill="1" applyBorder="1" applyAlignment="1">
      <alignment horizontal="center" vertical="center" textRotation="90" wrapText="1"/>
    </xf>
    <xf numFmtId="3" fontId="5" fillId="3" borderId="62" xfId="0" applyNumberFormat="1" applyFont="1" applyFill="1" applyBorder="1" applyAlignment="1">
      <alignment horizontal="center" vertical="top"/>
    </xf>
    <xf numFmtId="3" fontId="3" fillId="0" borderId="26" xfId="0" applyNumberFormat="1" applyFont="1" applyFill="1" applyBorder="1" applyAlignment="1">
      <alignment horizontal="center" vertical="top"/>
    </xf>
    <xf numFmtId="3" fontId="5" fillId="6" borderId="47" xfId="0" applyNumberFormat="1" applyFont="1" applyFill="1" applyBorder="1" applyAlignment="1">
      <alignment horizontal="center" vertical="top"/>
    </xf>
    <xf numFmtId="3" fontId="5" fillId="6" borderId="50" xfId="0" applyNumberFormat="1" applyFont="1" applyFill="1" applyBorder="1" applyAlignment="1">
      <alignment horizontal="center" vertical="top"/>
    </xf>
    <xf numFmtId="3" fontId="5" fillId="0" borderId="33" xfId="0" applyNumberFormat="1" applyFont="1" applyBorder="1" applyAlignment="1">
      <alignment horizontal="center" vertical="top"/>
    </xf>
    <xf numFmtId="3" fontId="5" fillId="6" borderId="19" xfId="0" applyNumberFormat="1" applyFont="1" applyFill="1" applyBorder="1" applyAlignment="1">
      <alignment horizontal="center" vertical="top"/>
    </xf>
    <xf numFmtId="0" fontId="4" fillId="0" borderId="0" xfId="0" applyFont="1" applyAlignment="1">
      <alignment horizontal="center" vertical="top"/>
    </xf>
    <xf numFmtId="3" fontId="3" fillId="6" borderId="111" xfId="0" applyNumberFormat="1" applyFont="1" applyFill="1" applyBorder="1" applyAlignment="1">
      <alignment horizontal="right" vertical="top"/>
    </xf>
    <xf numFmtId="3" fontId="3" fillId="6" borderId="48" xfId="0" applyNumberFormat="1" applyFont="1" applyFill="1" applyBorder="1" applyAlignment="1">
      <alignment horizontal="center" vertical="top"/>
    </xf>
    <xf numFmtId="3" fontId="3" fillId="6" borderId="108" xfId="0" applyNumberFormat="1" applyFont="1" applyFill="1" applyBorder="1" applyAlignment="1">
      <alignment horizontal="center" vertical="top" wrapText="1"/>
    </xf>
    <xf numFmtId="3" fontId="3" fillId="6" borderId="81" xfId="0" applyNumberFormat="1" applyFont="1" applyFill="1" applyBorder="1" applyAlignment="1">
      <alignment horizontal="center" vertical="top" wrapText="1"/>
    </xf>
    <xf numFmtId="3" fontId="3" fillId="6" borderId="110" xfId="0" applyNumberFormat="1" applyFont="1" applyFill="1" applyBorder="1" applyAlignment="1">
      <alignment horizontal="left" vertical="top" wrapText="1"/>
    </xf>
    <xf numFmtId="3" fontId="3" fillId="6" borderId="32" xfId="0" applyNumberFormat="1" applyFont="1" applyFill="1" applyBorder="1" applyAlignment="1">
      <alignment horizontal="center" vertical="top"/>
    </xf>
    <xf numFmtId="3" fontId="3" fillId="6" borderId="10" xfId="0" applyNumberFormat="1" applyFont="1" applyFill="1" applyBorder="1" applyAlignment="1">
      <alignment horizontal="left" vertical="top" wrapText="1"/>
    </xf>
    <xf numFmtId="3" fontId="9" fillId="0" borderId="50" xfId="0" applyNumberFormat="1" applyFont="1" applyBorder="1" applyAlignment="1">
      <alignment horizontal="center" vertical="top" wrapText="1"/>
    </xf>
    <xf numFmtId="3" fontId="3" fillId="0" borderId="19" xfId="0" applyNumberFormat="1" applyFont="1" applyBorder="1" applyAlignment="1">
      <alignment horizontal="center" vertical="top"/>
    </xf>
    <xf numFmtId="3" fontId="9" fillId="0" borderId="17" xfId="0" applyNumberFormat="1" applyFont="1" applyFill="1" applyBorder="1" applyAlignment="1">
      <alignment horizontal="center" vertical="top"/>
    </xf>
    <xf numFmtId="3" fontId="9" fillId="0" borderId="106" xfId="0" applyNumberFormat="1" applyFont="1" applyFill="1" applyBorder="1" applyAlignment="1">
      <alignment horizontal="center" vertical="top"/>
    </xf>
    <xf numFmtId="3" fontId="5" fillId="0" borderId="49" xfId="0" applyNumberFormat="1" applyFont="1" applyBorder="1" applyAlignment="1">
      <alignment horizontal="center" vertical="top"/>
    </xf>
    <xf numFmtId="3" fontId="3" fillId="0" borderId="24" xfId="0" applyNumberFormat="1" applyFont="1" applyFill="1" applyBorder="1" applyAlignment="1">
      <alignment horizontal="right" vertical="top"/>
    </xf>
    <xf numFmtId="3" fontId="3" fillId="0" borderId="112" xfId="0" applyNumberFormat="1" applyFont="1" applyBorder="1" applyAlignment="1">
      <alignment vertical="top" wrapText="1"/>
    </xf>
    <xf numFmtId="3" fontId="3" fillId="0" borderId="102" xfId="0" applyNumberFormat="1" applyFont="1" applyBorder="1" applyAlignment="1">
      <alignment horizontal="center" vertical="top"/>
    </xf>
    <xf numFmtId="3" fontId="3" fillId="6" borderId="37" xfId="0" applyNumberFormat="1" applyFont="1" applyFill="1" applyBorder="1" applyAlignment="1">
      <alignment horizontal="left" vertical="top" wrapText="1"/>
    </xf>
    <xf numFmtId="3" fontId="3" fillId="0" borderId="50" xfId="1" applyNumberFormat="1" applyFont="1" applyFill="1" applyBorder="1" applyAlignment="1">
      <alignment horizontal="center" vertical="top"/>
    </xf>
    <xf numFmtId="3" fontId="3" fillId="13" borderId="39" xfId="1" applyNumberFormat="1" applyFont="1" applyFill="1" applyBorder="1" applyAlignment="1">
      <alignment vertical="top" wrapText="1"/>
    </xf>
    <xf numFmtId="3" fontId="3" fillId="13" borderId="50" xfId="1" applyNumberFormat="1" applyFont="1" applyFill="1" applyBorder="1" applyAlignment="1">
      <alignment horizontal="center" vertical="top"/>
    </xf>
    <xf numFmtId="3" fontId="3" fillId="13" borderId="17" xfId="0" applyNumberFormat="1" applyFont="1" applyFill="1" applyBorder="1" applyAlignment="1">
      <alignment horizontal="center" vertical="top" wrapText="1"/>
    </xf>
    <xf numFmtId="3" fontId="3" fillId="13" borderId="50" xfId="0" applyNumberFormat="1" applyFont="1" applyFill="1" applyBorder="1" applyAlignment="1">
      <alignment horizontal="center" vertical="top" wrapText="1"/>
    </xf>
    <xf numFmtId="3" fontId="0" fillId="13" borderId="11" xfId="0" applyNumberFormat="1" applyFill="1" applyBorder="1" applyAlignment="1">
      <alignment vertical="top" wrapText="1"/>
    </xf>
    <xf numFmtId="3" fontId="3" fillId="13" borderId="26" xfId="1" applyNumberFormat="1" applyFont="1" applyFill="1" applyBorder="1" applyAlignment="1">
      <alignment horizontal="center" vertical="top"/>
    </xf>
    <xf numFmtId="3" fontId="3" fillId="13" borderId="26" xfId="0" applyNumberFormat="1" applyFont="1" applyFill="1" applyBorder="1" applyAlignment="1">
      <alignment horizontal="center" vertical="top" wrapText="1"/>
    </xf>
    <xf numFmtId="3" fontId="3" fillId="13" borderId="62" xfId="0" applyNumberFormat="1" applyFont="1" applyFill="1" applyBorder="1" applyAlignment="1">
      <alignment horizontal="center" vertical="top" wrapText="1"/>
    </xf>
    <xf numFmtId="3" fontId="3" fillId="13" borderId="26" xfId="0" applyNumberFormat="1" applyFont="1" applyFill="1" applyBorder="1" applyAlignment="1">
      <alignment horizontal="left" vertical="top" wrapText="1"/>
    </xf>
    <xf numFmtId="3" fontId="3" fillId="0" borderId="44" xfId="0" applyNumberFormat="1" applyFont="1" applyFill="1" applyBorder="1" applyAlignment="1">
      <alignment horizontal="right" vertical="top" wrapText="1"/>
    </xf>
    <xf numFmtId="3" fontId="3" fillId="0" borderId="92" xfId="0" applyNumberFormat="1" applyFont="1" applyFill="1" applyBorder="1" applyAlignment="1">
      <alignment horizontal="left" vertical="top" wrapText="1"/>
    </xf>
    <xf numFmtId="3" fontId="9" fillId="6" borderId="8" xfId="0" applyNumberFormat="1" applyFont="1" applyFill="1" applyBorder="1" applyAlignment="1">
      <alignment vertical="top" wrapText="1"/>
    </xf>
    <xf numFmtId="3" fontId="3" fillId="6" borderId="47" xfId="0" applyNumberFormat="1" applyFont="1" applyFill="1" applyBorder="1" applyAlignment="1">
      <alignment horizontal="center" vertical="top" wrapText="1"/>
    </xf>
    <xf numFmtId="3" fontId="3" fillId="6" borderId="29" xfId="0" applyNumberFormat="1" applyFont="1" applyFill="1" applyBorder="1" applyAlignment="1">
      <alignment horizontal="center" vertical="top" wrapText="1"/>
    </xf>
    <xf numFmtId="3" fontId="3" fillId="0" borderId="85" xfId="0" applyNumberFormat="1" applyFont="1" applyFill="1" applyBorder="1" applyAlignment="1">
      <alignment horizontal="left" vertical="top" wrapText="1"/>
    </xf>
    <xf numFmtId="3" fontId="3" fillId="0" borderId="106" xfId="0" applyNumberFormat="1" applyFont="1" applyFill="1" applyBorder="1" applyAlignment="1">
      <alignment horizontal="left" vertical="top" wrapText="1"/>
    </xf>
    <xf numFmtId="49" fontId="3" fillId="6" borderId="37" xfId="1" applyNumberFormat="1" applyFont="1" applyFill="1" applyBorder="1" applyAlignment="1">
      <alignment horizontal="center" vertical="top"/>
    </xf>
    <xf numFmtId="0" fontId="9" fillId="0" borderId="106" xfId="0" applyNumberFormat="1" applyFont="1" applyFill="1" applyBorder="1" applyAlignment="1">
      <alignment horizontal="center" vertical="top" wrapText="1"/>
    </xf>
    <xf numFmtId="3" fontId="3" fillId="0" borderId="81" xfId="0" applyNumberFormat="1" applyFont="1" applyFill="1" applyBorder="1" applyAlignment="1">
      <alignment horizontal="left" vertical="top" wrapText="1"/>
    </xf>
    <xf numFmtId="3" fontId="3" fillId="6" borderId="85" xfId="0" applyNumberFormat="1" applyFont="1" applyFill="1" applyBorder="1" applyAlignment="1">
      <alignment horizontal="left" vertical="top" wrapText="1"/>
    </xf>
    <xf numFmtId="3" fontId="3" fillId="0" borderId="7" xfId="0" applyNumberFormat="1" applyFont="1" applyFill="1" applyBorder="1" applyAlignment="1">
      <alignment horizontal="right" vertical="top" wrapText="1"/>
    </xf>
    <xf numFmtId="3" fontId="3" fillId="0" borderId="40" xfId="0" applyNumberFormat="1" applyFont="1" applyFill="1" applyBorder="1" applyAlignment="1">
      <alignment horizontal="right" vertical="top" wrapText="1"/>
    </xf>
    <xf numFmtId="3" fontId="3" fillId="0" borderId="23" xfId="0" applyNumberFormat="1" applyFont="1" applyFill="1" applyBorder="1" applyAlignment="1">
      <alignment horizontal="right" vertical="top" wrapText="1"/>
    </xf>
    <xf numFmtId="3" fontId="3" fillId="0" borderId="70" xfId="0" applyNumberFormat="1" applyFont="1" applyFill="1" applyBorder="1" applyAlignment="1">
      <alignment horizontal="right" vertical="top" wrapText="1"/>
    </xf>
    <xf numFmtId="3" fontId="3" fillId="6" borderId="106" xfId="1" applyNumberFormat="1" applyFont="1" applyFill="1" applyBorder="1" applyAlignment="1">
      <alignment horizontal="center" vertical="top" wrapText="1"/>
    </xf>
    <xf numFmtId="3" fontId="3" fillId="0" borderId="50" xfId="1" applyNumberFormat="1" applyFont="1" applyBorder="1" applyAlignment="1">
      <alignment horizontal="center" vertical="top"/>
    </xf>
    <xf numFmtId="3" fontId="3" fillId="0" borderId="85" xfId="1" applyNumberFormat="1" applyFont="1" applyFill="1" applyBorder="1" applyAlignment="1">
      <alignment horizontal="center" vertical="top" wrapText="1"/>
    </xf>
    <xf numFmtId="3" fontId="3" fillId="6" borderId="21" xfId="0" applyNumberFormat="1" applyFont="1" applyFill="1" applyBorder="1" applyAlignment="1">
      <alignment horizontal="center" vertical="center" textRotation="90" wrapText="1"/>
    </xf>
    <xf numFmtId="3" fontId="3" fillId="6" borderId="103" xfId="0" applyNumberFormat="1" applyFont="1" applyFill="1" applyBorder="1" applyAlignment="1">
      <alignment vertical="top" wrapText="1"/>
    </xf>
    <xf numFmtId="3" fontId="3" fillId="6" borderId="107" xfId="0" applyNumberFormat="1" applyFont="1" applyFill="1" applyBorder="1" applyAlignment="1">
      <alignment horizontal="center" vertical="top" wrapText="1"/>
    </xf>
    <xf numFmtId="3" fontId="3" fillId="6" borderId="107" xfId="1" applyNumberFormat="1" applyFont="1" applyFill="1" applyBorder="1" applyAlignment="1">
      <alignment horizontal="center" vertical="top" wrapText="1"/>
    </xf>
    <xf numFmtId="49" fontId="3" fillId="6" borderId="106" xfId="0" applyNumberFormat="1" applyFont="1" applyFill="1" applyBorder="1" applyAlignment="1">
      <alignment horizontal="center" vertical="top" wrapText="1"/>
    </xf>
    <xf numFmtId="49" fontId="3" fillId="0" borderId="106" xfId="0" applyNumberFormat="1" applyFont="1" applyFill="1" applyBorder="1" applyAlignment="1">
      <alignment horizontal="center" vertical="top" wrapText="1"/>
    </xf>
    <xf numFmtId="49" fontId="3" fillId="6" borderId="107" xfId="0" applyNumberFormat="1" applyFont="1" applyFill="1" applyBorder="1" applyAlignment="1">
      <alignment horizontal="center" vertical="top" wrapText="1"/>
    </xf>
    <xf numFmtId="3" fontId="3" fillId="6" borderId="108" xfId="0" applyNumberFormat="1" applyFont="1" applyFill="1" applyBorder="1" applyAlignment="1">
      <alignment horizontal="left" vertical="top" wrapText="1"/>
    </xf>
    <xf numFmtId="3" fontId="3" fillId="6" borderId="81" xfId="0" applyNumberFormat="1" applyFont="1" applyFill="1" applyBorder="1" applyAlignment="1">
      <alignment horizontal="left" vertical="top" wrapText="1"/>
    </xf>
    <xf numFmtId="3" fontId="3" fillId="6" borderId="10" xfId="0" applyNumberFormat="1" applyFont="1" applyFill="1" applyBorder="1" applyAlignment="1">
      <alignment wrapText="1"/>
    </xf>
    <xf numFmtId="3" fontId="3" fillId="6" borderId="103" xfId="0" applyNumberFormat="1" applyFont="1" applyFill="1" applyBorder="1" applyAlignment="1">
      <alignment horizontal="left" vertical="top" wrapText="1"/>
    </xf>
    <xf numFmtId="3" fontId="3" fillId="6" borderId="113" xfId="0" applyNumberFormat="1" applyFont="1" applyFill="1" applyBorder="1" applyAlignment="1">
      <alignment horizontal="left" vertical="top" wrapText="1"/>
    </xf>
    <xf numFmtId="3" fontId="5" fillId="6" borderId="29" xfId="0" applyNumberFormat="1" applyFont="1" applyFill="1" applyBorder="1" applyAlignment="1">
      <alignment horizontal="center" vertical="top"/>
    </xf>
    <xf numFmtId="3" fontId="3" fillId="6" borderId="123" xfId="0" applyNumberFormat="1" applyFont="1" applyFill="1" applyBorder="1" applyAlignment="1">
      <alignment horizontal="center" vertical="center" textRotation="90" wrapText="1"/>
    </xf>
    <xf numFmtId="3" fontId="3" fillId="6" borderId="119" xfId="0" applyNumberFormat="1" applyFont="1" applyFill="1" applyBorder="1" applyAlignment="1">
      <alignment horizontal="center" vertical="center" textRotation="90" wrapText="1"/>
    </xf>
    <xf numFmtId="3" fontId="3" fillId="6" borderId="17" xfId="1" applyNumberFormat="1" applyFont="1" applyFill="1" applyBorder="1" applyAlignment="1">
      <alignment horizontal="center" vertical="top" wrapText="1"/>
    </xf>
    <xf numFmtId="3" fontId="3" fillId="6" borderId="45" xfId="0" applyNumberFormat="1" applyFont="1" applyFill="1" applyBorder="1" applyAlignment="1">
      <alignment horizontal="left" vertical="top" wrapText="1"/>
    </xf>
    <xf numFmtId="3" fontId="3" fillId="0" borderId="10" xfId="1" applyNumberFormat="1" applyFont="1" applyFill="1" applyBorder="1" applyAlignment="1">
      <alignment vertical="top" wrapText="1"/>
    </xf>
    <xf numFmtId="3" fontId="3" fillId="0" borderId="50" xfId="1" applyNumberFormat="1" applyFont="1" applyFill="1" applyBorder="1" applyAlignment="1">
      <alignment horizontal="center" vertical="top" wrapText="1"/>
    </xf>
    <xf numFmtId="3" fontId="3" fillId="0" borderId="50" xfId="1" applyNumberFormat="1" applyFont="1" applyFill="1" applyBorder="1" applyAlignment="1">
      <alignment horizontal="left" vertical="top" wrapText="1"/>
    </xf>
    <xf numFmtId="3" fontId="3" fillId="6" borderId="107" xfId="1" applyNumberFormat="1" applyFont="1" applyFill="1" applyBorder="1" applyAlignment="1">
      <alignment horizontal="left" vertical="top" wrapText="1"/>
    </xf>
    <xf numFmtId="3" fontId="3" fillId="6" borderId="106" xfId="1" applyNumberFormat="1" applyFont="1" applyFill="1" applyBorder="1" applyAlignment="1">
      <alignment horizontal="left" vertical="top" wrapText="1"/>
    </xf>
    <xf numFmtId="0" fontId="0" fillId="0" borderId="84" xfId="0" applyBorder="1" applyAlignment="1">
      <alignment horizontal="left" vertical="top" wrapText="1"/>
    </xf>
    <xf numFmtId="3" fontId="18" fillId="6" borderId="103" xfId="0" applyNumberFormat="1" applyFont="1" applyFill="1" applyBorder="1" applyAlignment="1">
      <alignment horizontal="left" vertical="top" wrapText="1"/>
    </xf>
    <xf numFmtId="3" fontId="18" fillId="6" borderId="113" xfId="0" applyNumberFormat="1" applyFont="1" applyFill="1" applyBorder="1" applyAlignment="1">
      <alignment horizontal="center" vertical="top" wrapText="1"/>
    </xf>
    <xf numFmtId="165" fontId="18" fillId="6" borderId="107" xfId="1" applyNumberFormat="1" applyFont="1" applyFill="1" applyBorder="1" applyAlignment="1">
      <alignment horizontal="center" vertical="top" wrapText="1"/>
    </xf>
    <xf numFmtId="3" fontId="18" fillId="6" borderId="108" xfId="0" applyNumberFormat="1" applyFont="1" applyFill="1" applyBorder="1" applyAlignment="1">
      <alignment horizontal="center" vertical="top" wrapText="1"/>
    </xf>
    <xf numFmtId="3" fontId="18" fillId="6" borderId="104" xfId="0" applyNumberFormat="1" applyFont="1" applyFill="1" applyBorder="1" applyAlignment="1">
      <alignment horizontal="left" vertical="top" wrapText="1"/>
    </xf>
    <xf numFmtId="3" fontId="18" fillId="6" borderId="110" xfId="0" applyNumberFormat="1" applyFont="1" applyFill="1" applyBorder="1" applyAlignment="1">
      <alignment horizontal="center" vertical="top" wrapText="1"/>
    </xf>
    <xf numFmtId="3" fontId="18" fillId="6" borderId="110" xfId="1" applyNumberFormat="1" applyFont="1" applyFill="1" applyBorder="1" applyAlignment="1">
      <alignment horizontal="center" vertical="top" wrapText="1"/>
    </xf>
    <xf numFmtId="3" fontId="18" fillId="6" borderId="81" xfId="0" applyNumberFormat="1" applyFont="1" applyFill="1" applyBorder="1" applyAlignment="1">
      <alignment horizontal="center" vertical="top" wrapText="1"/>
    </xf>
    <xf numFmtId="3" fontId="3" fillId="0" borderId="17" xfId="1" applyNumberFormat="1" applyFont="1" applyBorder="1" applyAlignment="1">
      <alignment horizontal="left" vertical="top" wrapText="1"/>
    </xf>
    <xf numFmtId="3" fontId="3" fillId="6" borderId="113" xfId="0" applyNumberFormat="1" applyFont="1" applyFill="1" applyBorder="1" applyAlignment="1">
      <alignment horizontal="center" vertical="top" wrapText="1"/>
    </xf>
    <xf numFmtId="3" fontId="3" fillId="6" borderId="110" xfId="0" applyNumberFormat="1" applyFont="1" applyFill="1" applyBorder="1" applyAlignment="1">
      <alignment horizontal="center" vertical="top" wrapText="1"/>
    </xf>
    <xf numFmtId="3" fontId="3" fillId="6" borderId="110" xfId="1" applyNumberFormat="1" applyFont="1" applyFill="1" applyBorder="1" applyAlignment="1">
      <alignment horizontal="center" vertical="top" wrapText="1"/>
    </xf>
    <xf numFmtId="3" fontId="3" fillId="6" borderId="11" xfId="0" applyNumberFormat="1" applyFont="1" applyFill="1" applyBorder="1" applyAlignment="1">
      <alignment vertical="top" wrapText="1"/>
    </xf>
    <xf numFmtId="3" fontId="3" fillId="6" borderId="109" xfId="0" applyNumberFormat="1" applyFont="1" applyFill="1" applyBorder="1" applyAlignment="1">
      <alignment horizontal="center" vertical="top" wrapText="1"/>
    </xf>
    <xf numFmtId="3" fontId="3" fillId="6" borderId="124" xfId="0" applyNumberFormat="1" applyFont="1" applyFill="1" applyBorder="1" applyAlignment="1">
      <alignment horizontal="right" vertical="top" wrapText="1"/>
    </xf>
    <xf numFmtId="3" fontId="3" fillId="6" borderId="109" xfId="0" applyNumberFormat="1" applyFont="1" applyFill="1" applyBorder="1" applyAlignment="1">
      <alignment horizontal="right" vertical="top" wrapText="1"/>
    </xf>
    <xf numFmtId="3" fontId="3" fillId="6" borderId="125" xfId="0" applyNumberFormat="1" applyFont="1" applyFill="1" applyBorder="1" applyAlignment="1">
      <alignment horizontal="right" vertical="top" wrapText="1"/>
    </xf>
    <xf numFmtId="3" fontId="3" fillId="6" borderId="111" xfId="0" applyNumberFormat="1" applyFont="1" applyFill="1" applyBorder="1" applyAlignment="1">
      <alignment horizontal="center" vertical="top" wrapText="1"/>
    </xf>
    <xf numFmtId="3" fontId="3" fillId="6" borderId="105" xfId="0" applyNumberFormat="1" applyFont="1" applyFill="1" applyBorder="1" applyAlignment="1">
      <alignment horizontal="right" vertical="top" wrapText="1"/>
    </xf>
    <xf numFmtId="3" fontId="3" fillId="6" borderId="111" xfId="0" applyNumberFormat="1" applyFont="1" applyFill="1" applyBorder="1" applyAlignment="1">
      <alignment horizontal="right" vertical="top" wrapText="1"/>
    </xf>
    <xf numFmtId="3" fontId="3" fillId="6" borderId="115" xfId="0" applyNumberFormat="1" applyFont="1" applyFill="1" applyBorder="1" applyAlignment="1">
      <alignment horizontal="right" vertical="top" wrapText="1"/>
    </xf>
    <xf numFmtId="3" fontId="3" fillId="6" borderId="107" xfId="0" applyNumberFormat="1" applyFont="1" applyFill="1" applyBorder="1" applyAlignment="1">
      <alignment horizontal="center" vertical="center" textRotation="90" wrapText="1"/>
    </xf>
    <xf numFmtId="3" fontId="3" fillId="6" borderId="106" xfId="0" applyNumberFormat="1" applyFont="1" applyFill="1" applyBorder="1" applyAlignment="1">
      <alignment horizontal="center" vertical="center" textRotation="90" wrapText="1"/>
    </xf>
    <xf numFmtId="3" fontId="3" fillId="6" borderId="84" xfId="0" applyNumberFormat="1" applyFont="1" applyFill="1" applyBorder="1" applyAlignment="1">
      <alignment horizontal="center" vertical="center" textRotation="90" wrapText="1"/>
    </xf>
    <xf numFmtId="3" fontId="5" fillId="6" borderId="92" xfId="0" applyNumberFormat="1" applyFont="1" applyFill="1" applyBorder="1" applyAlignment="1">
      <alignment horizontal="center" vertical="top"/>
    </xf>
    <xf numFmtId="3" fontId="3" fillId="6" borderId="82" xfId="0" applyNumberFormat="1" applyFont="1" applyFill="1" applyBorder="1" applyAlignment="1">
      <alignment horizontal="center" vertical="top" wrapText="1"/>
    </xf>
    <xf numFmtId="3" fontId="3" fillId="6" borderId="17" xfId="0" applyNumberFormat="1" applyFont="1" applyFill="1" applyBorder="1" applyAlignment="1">
      <alignment horizontal="center" vertical="center" textRotation="90" wrapText="1"/>
    </xf>
    <xf numFmtId="3" fontId="27" fillId="6" borderId="111" xfId="0" applyNumberFormat="1" applyFont="1" applyFill="1" applyBorder="1" applyAlignment="1">
      <alignment horizontal="right" vertical="top" wrapText="1"/>
    </xf>
    <xf numFmtId="3" fontId="3" fillId="0" borderId="100" xfId="0" applyNumberFormat="1" applyFont="1" applyFill="1" applyBorder="1" applyAlignment="1">
      <alignment horizontal="center" vertical="center" textRotation="90" wrapText="1"/>
    </xf>
    <xf numFmtId="3" fontId="5" fillId="0" borderId="85" xfId="0" applyNumberFormat="1" applyFont="1" applyBorder="1" applyAlignment="1">
      <alignment horizontal="center" vertical="top"/>
    </xf>
    <xf numFmtId="3" fontId="22" fillId="6" borderId="39" xfId="0" applyNumberFormat="1" applyFont="1" applyFill="1" applyBorder="1" applyAlignment="1">
      <alignment horizontal="center" vertical="center" textRotation="90" wrapText="1"/>
    </xf>
    <xf numFmtId="49" fontId="3" fillId="6" borderId="48" xfId="0" applyNumberFormat="1" applyFont="1" applyFill="1" applyBorder="1" applyAlignment="1">
      <alignment vertical="top" wrapText="1"/>
    </xf>
    <xf numFmtId="49" fontId="3" fillId="6" borderId="1" xfId="0" applyNumberFormat="1" applyFont="1" applyFill="1" applyBorder="1" applyAlignment="1">
      <alignment vertical="top"/>
    </xf>
    <xf numFmtId="3" fontId="3" fillId="6" borderId="50" xfId="0" applyNumberFormat="1" applyFont="1" applyFill="1" applyBorder="1" applyAlignment="1">
      <alignment horizontal="center" vertical="center" wrapText="1"/>
    </xf>
    <xf numFmtId="3" fontId="2" fillId="6" borderId="17" xfId="0" applyNumberFormat="1" applyFont="1" applyFill="1" applyBorder="1" applyAlignment="1">
      <alignment horizontal="center" vertical="center" wrapText="1"/>
    </xf>
    <xf numFmtId="3" fontId="2" fillId="6" borderId="50" xfId="0" applyNumberFormat="1" applyFont="1" applyFill="1" applyBorder="1" applyAlignment="1">
      <alignment horizontal="center" vertical="center" wrapText="1"/>
    </xf>
    <xf numFmtId="3" fontId="2" fillId="6" borderId="19" xfId="0" applyNumberFormat="1" applyFont="1" applyFill="1" applyBorder="1" applyAlignment="1">
      <alignment horizontal="center" vertical="center" wrapText="1"/>
    </xf>
    <xf numFmtId="49" fontId="3" fillId="6" borderId="48" xfId="0" applyNumberFormat="1" applyFont="1" applyFill="1" applyBorder="1" applyAlignment="1">
      <alignment horizontal="center" wrapText="1"/>
    </xf>
    <xf numFmtId="49" fontId="3" fillId="6" borderId="21" xfId="0" applyNumberFormat="1" applyFont="1" applyFill="1" applyBorder="1" applyAlignment="1">
      <alignment horizontal="center"/>
    </xf>
    <xf numFmtId="3" fontId="3" fillId="0" borderId="100" xfId="0" applyNumberFormat="1" applyFont="1" applyFill="1" applyBorder="1" applyAlignment="1">
      <alignment horizontal="center" vertical="top" wrapText="1"/>
    </xf>
    <xf numFmtId="3" fontId="3" fillId="0" borderId="84" xfId="0" applyNumberFormat="1" applyFont="1" applyFill="1" applyBorder="1" applyAlignment="1">
      <alignment horizontal="center" vertical="center" wrapText="1"/>
    </xf>
    <xf numFmtId="3" fontId="3" fillId="0" borderId="84" xfId="0" applyNumberFormat="1" applyFont="1" applyFill="1" applyBorder="1" applyAlignment="1">
      <alignment horizontal="left" vertical="top" wrapText="1"/>
    </xf>
    <xf numFmtId="3" fontId="3" fillId="13" borderId="104" xfId="0" applyNumberFormat="1" applyFont="1" applyFill="1" applyBorder="1" applyAlignment="1">
      <alignment vertical="center" wrapText="1"/>
    </xf>
    <xf numFmtId="3" fontId="3" fillId="13" borderId="110" xfId="0" applyNumberFormat="1" applyFont="1" applyFill="1" applyBorder="1" applyAlignment="1">
      <alignment horizontal="center" vertical="center"/>
    </xf>
    <xf numFmtId="3" fontId="3" fillId="13" borderId="106" xfId="0" applyNumberFormat="1" applyFont="1" applyFill="1" applyBorder="1" applyAlignment="1">
      <alignment horizontal="center" vertical="center" wrapText="1"/>
    </xf>
    <xf numFmtId="3" fontId="3" fillId="13" borderId="110" xfId="0" applyNumberFormat="1" applyFont="1" applyFill="1" applyBorder="1" applyAlignment="1">
      <alignment horizontal="center" vertical="top" wrapText="1"/>
    </xf>
    <xf numFmtId="3" fontId="3" fillId="13" borderId="81" xfId="0" applyNumberFormat="1" applyFont="1" applyFill="1" applyBorder="1" applyAlignment="1">
      <alignment horizontal="left" vertical="top" wrapText="1"/>
    </xf>
    <xf numFmtId="3" fontId="5" fillId="6" borderId="113" xfId="0" applyNumberFormat="1" applyFont="1" applyFill="1" applyBorder="1" applyAlignment="1">
      <alignment horizontal="center" vertical="top"/>
    </xf>
    <xf numFmtId="3" fontId="3" fillId="0" borderId="124" xfId="0" applyNumberFormat="1" applyFont="1" applyFill="1" applyBorder="1" applyAlignment="1">
      <alignment vertical="top" wrapText="1"/>
    </xf>
    <xf numFmtId="3" fontId="3" fillId="0" borderId="107" xfId="0" applyNumberFormat="1" applyFont="1" applyBorder="1" applyAlignment="1">
      <alignment horizontal="center" vertical="center"/>
    </xf>
    <xf numFmtId="3" fontId="3" fillId="0" borderId="107" xfId="0" applyNumberFormat="1" applyFont="1" applyFill="1" applyBorder="1" applyAlignment="1">
      <alignment horizontal="center" vertical="center" wrapText="1"/>
    </xf>
    <xf numFmtId="3" fontId="3" fillId="6" borderId="113" xfId="0" applyNumberFormat="1" applyFont="1" applyFill="1" applyBorder="1" applyAlignment="1">
      <alignment horizontal="center" vertical="top"/>
    </xf>
    <xf numFmtId="3" fontId="3" fillId="6" borderId="62" xfId="0" applyNumberFormat="1" applyFont="1" applyFill="1" applyBorder="1" applyAlignment="1">
      <alignment horizontal="center" vertical="top"/>
    </xf>
    <xf numFmtId="3" fontId="3" fillId="6" borderId="17" xfId="0" applyNumberFormat="1" applyFont="1" applyFill="1" applyBorder="1" applyAlignment="1">
      <alignment horizontal="center" vertical="center"/>
    </xf>
    <xf numFmtId="3" fontId="3" fillId="6" borderId="17" xfId="0" applyNumberFormat="1" applyFont="1" applyFill="1" applyBorder="1" applyAlignment="1">
      <alignment horizontal="center" vertical="center" wrapText="1"/>
    </xf>
    <xf numFmtId="3" fontId="3" fillId="6" borderId="27" xfId="0" applyNumberFormat="1" applyFont="1" applyFill="1" applyBorder="1" applyAlignment="1">
      <alignment horizontal="center" vertical="top"/>
    </xf>
    <xf numFmtId="3" fontId="5" fillId="0" borderId="32" xfId="0" applyNumberFormat="1" applyFont="1" applyFill="1" applyBorder="1" applyAlignment="1">
      <alignment horizontal="center" vertical="top"/>
    </xf>
    <xf numFmtId="3" fontId="3" fillId="0" borderId="17" xfId="0" applyNumberFormat="1" applyFont="1" applyBorder="1" applyAlignment="1">
      <alignment vertical="top" wrapText="1"/>
    </xf>
    <xf numFmtId="3" fontId="2" fillId="0" borderId="39" xfId="0" applyNumberFormat="1" applyFont="1" applyBorder="1" applyAlignment="1">
      <alignment vertical="center" textRotation="90" wrapText="1"/>
    </xf>
    <xf numFmtId="3" fontId="3" fillId="0" borderId="40" xfId="0" applyNumberFormat="1" applyFont="1" applyBorder="1" applyAlignment="1">
      <alignment vertical="top" wrapText="1"/>
    </xf>
    <xf numFmtId="3" fontId="3" fillId="0" borderId="48" xfId="0" applyNumberFormat="1" applyFont="1" applyBorder="1" applyAlignment="1">
      <alignment horizontal="center" vertical="top"/>
    </xf>
    <xf numFmtId="3" fontId="3" fillId="0" borderId="21" xfId="0" applyNumberFormat="1" applyFont="1" applyBorder="1" applyAlignment="1">
      <alignment horizontal="center" vertical="top"/>
    </xf>
    <xf numFmtId="3" fontId="3" fillId="0" borderId="84" xfId="0" applyNumberFormat="1" applyFont="1" applyBorder="1" applyAlignment="1">
      <alignment vertical="top" wrapText="1"/>
    </xf>
    <xf numFmtId="3" fontId="2" fillId="0" borderId="100" xfId="0" applyNumberFormat="1" applyFont="1" applyBorder="1" applyAlignment="1">
      <alignment textRotation="90"/>
    </xf>
    <xf numFmtId="3" fontId="3" fillId="0" borderId="94" xfId="0" applyNumberFormat="1" applyFont="1" applyBorder="1" applyAlignment="1">
      <alignment vertical="top" wrapText="1"/>
    </xf>
    <xf numFmtId="3" fontId="3" fillId="0" borderId="85" xfId="0" applyNumberFormat="1" applyFont="1" applyBorder="1" applyAlignment="1">
      <alignment horizontal="center" vertical="top"/>
    </xf>
    <xf numFmtId="3" fontId="3" fillId="0" borderId="92" xfId="0" applyNumberFormat="1" applyFont="1" applyBorder="1" applyAlignment="1">
      <alignment horizontal="center" vertical="top"/>
    </xf>
    <xf numFmtId="3" fontId="3" fillId="6" borderId="8" xfId="1" applyNumberFormat="1" applyFont="1" applyFill="1" applyBorder="1" applyAlignment="1">
      <alignment vertical="top" wrapText="1"/>
    </xf>
    <xf numFmtId="3" fontId="21" fillId="6" borderId="40" xfId="0" applyNumberFormat="1" applyFont="1" applyFill="1" applyBorder="1" applyAlignment="1">
      <alignment horizontal="right" vertical="top" wrapText="1"/>
    </xf>
    <xf numFmtId="3" fontId="3" fillId="6" borderId="78" xfId="0" applyNumberFormat="1" applyFont="1" applyFill="1" applyBorder="1" applyAlignment="1">
      <alignment horizontal="center" vertical="top" wrapText="1"/>
    </xf>
    <xf numFmtId="3" fontId="3" fillId="6" borderId="7" xfId="0" applyNumberFormat="1" applyFont="1" applyFill="1" applyBorder="1" applyAlignment="1">
      <alignment horizontal="center" vertical="top" wrapText="1"/>
    </xf>
    <xf numFmtId="3" fontId="3" fillId="6" borderId="70" xfId="0" applyNumberFormat="1" applyFont="1" applyFill="1" applyBorder="1" applyAlignment="1">
      <alignment horizontal="center" vertical="top" wrapText="1"/>
    </xf>
    <xf numFmtId="3" fontId="3" fillId="6" borderId="8" xfId="0" applyNumberFormat="1" applyFont="1" applyFill="1" applyBorder="1" applyAlignment="1">
      <alignment vertical="top" wrapText="1"/>
    </xf>
    <xf numFmtId="3" fontId="3" fillId="0" borderId="126" xfId="0" applyNumberFormat="1" applyFont="1" applyFill="1" applyBorder="1" applyAlignment="1">
      <alignment horizontal="left" vertical="top" wrapText="1"/>
    </xf>
    <xf numFmtId="3" fontId="3" fillId="0" borderId="127" xfId="0" applyNumberFormat="1" applyFont="1" applyFill="1" applyBorder="1" applyAlignment="1">
      <alignment horizontal="center" vertical="top" wrapText="1"/>
    </xf>
    <xf numFmtId="3" fontId="3" fillId="0" borderId="128" xfId="0" applyNumberFormat="1" applyFont="1" applyFill="1" applyBorder="1" applyAlignment="1">
      <alignment horizontal="center" vertical="top" wrapText="1"/>
    </xf>
    <xf numFmtId="3" fontId="3" fillId="0" borderId="129" xfId="0" applyNumberFormat="1" applyFont="1" applyFill="1" applyBorder="1" applyAlignment="1">
      <alignment horizontal="center" vertical="top" wrapText="1"/>
    </xf>
    <xf numFmtId="3" fontId="3" fillId="6" borderId="72" xfId="0" applyNumberFormat="1" applyFont="1" applyFill="1" applyBorder="1" applyAlignment="1">
      <alignment horizontal="left" vertical="top" wrapText="1"/>
    </xf>
    <xf numFmtId="3" fontId="3" fillId="6" borderId="28" xfId="0" applyNumberFormat="1" applyFont="1" applyFill="1" applyBorder="1" applyAlignment="1">
      <alignment horizontal="center" vertical="top"/>
    </xf>
    <xf numFmtId="3" fontId="3" fillId="6" borderId="47" xfId="0" applyNumberFormat="1" applyFont="1" applyFill="1" applyBorder="1" applyAlignment="1">
      <alignment horizontal="center" vertical="top"/>
    </xf>
    <xf numFmtId="3" fontId="3" fillId="6" borderId="29" xfId="0" applyNumberFormat="1" applyFont="1" applyFill="1" applyBorder="1" applyAlignment="1">
      <alignment horizontal="center" vertical="top"/>
    </xf>
    <xf numFmtId="3" fontId="3" fillId="6" borderId="39" xfId="0" applyNumberFormat="1" applyFont="1" applyFill="1" applyBorder="1" applyAlignment="1">
      <alignment horizontal="left" vertical="top" wrapText="1"/>
    </xf>
    <xf numFmtId="3" fontId="3" fillId="6" borderId="17" xfId="0" applyNumberFormat="1" applyFont="1" applyFill="1" applyBorder="1" applyAlignment="1">
      <alignment horizontal="center" vertical="top"/>
    </xf>
    <xf numFmtId="3" fontId="3" fillId="6" borderId="50" xfId="0" applyNumberFormat="1" applyFont="1" applyFill="1" applyBorder="1" applyAlignment="1">
      <alignment horizontal="center" vertical="top"/>
    </xf>
    <xf numFmtId="3" fontId="3" fillId="6" borderId="19" xfId="0" applyNumberFormat="1" applyFont="1" applyFill="1" applyBorder="1" applyAlignment="1">
      <alignment horizontal="center" vertical="top"/>
    </xf>
    <xf numFmtId="3" fontId="3" fillId="0" borderId="24" xfId="0" applyNumberFormat="1" applyFont="1" applyFill="1" applyBorder="1" applyAlignment="1">
      <alignment horizontal="right" wrapText="1"/>
    </xf>
    <xf numFmtId="3" fontId="3" fillId="6" borderId="51" xfId="0" applyNumberFormat="1" applyFont="1" applyFill="1" applyBorder="1" applyAlignment="1">
      <alignment vertical="top" wrapText="1"/>
    </xf>
    <xf numFmtId="3" fontId="3" fillId="6" borderId="21" xfId="0" applyNumberFormat="1" applyFont="1" applyFill="1" applyBorder="1" applyAlignment="1">
      <alignment horizontal="center" vertical="top"/>
    </xf>
    <xf numFmtId="3" fontId="3" fillId="6" borderId="20" xfId="0" applyNumberFormat="1" applyFont="1" applyFill="1" applyBorder="1" applyAlignment="1">
      <alignment vertical="top" wrapText="1"/>
    </xf>
    <xf numFmtId="3" fontId="3" fillId="6" borderId="34" xfId="0" applyNumberFormat="1" applyFont="1" applyFill="1" applyBorder="1" applyAlignment="1">
      <alignment horizontal="center" vertical="top"/>
    </xf>
    <xf numFmtId="3" fontId="3" fillId="6" borderId="33" xfId="0" applyNumberFormat="1" applyFont="1" applyFill="1" applyBorder="1" applyAlignment="1">
      <alignment horizontal="center" vertical="top"/>
    </xf>
    <xf numFmtId="3" fontId="3" fillId="6" borderId="21" xfId="0" applyNumberFormat="1" applyFont="1" applyFill="1" applyBorder="1" applyAlignment="1">
      <alignment vertical="top"/>
    </xf>
    <xf numFmtId="3" fontId="3" fillId="6" borderId="17" xfId="0" applyNumberFormat="1" applyFont="1" applyFill="1" applyBorder="1" applyAlignment="1">
      <alignment vertical="top" wrapText="1"/>
    </xf>
    <xf numFmtId="3" fontId="3" fillId="6" borderId="20" xfId="0" applyNumberFormat="1" applyFont="1" applyFill="1" applyBorder="1" applyAlignment="1">
      <alignment horizontal="left" vertical="top" wrapText="1"/>
    </xf>
    <xf numFmtId="3" fontId="3" fillId="6" borderId="17" xfId="0" applyNumberFormat="1" applyFont="1" applyFill="1" applyBorder="1" applyAlignment="1">
      <alignment horizontal="center" vertical="top" textRotation="90"/>
    </xf>
    <xf numFmtId="3" fontId="3" fillId="6" borderId="26" xfId="0" applyNumberFormat="1" applyFont="1" applyFill="1" applyBorder="1" applyAlignment="1">
      <alignment horizontal="center" vertical="top"/>
    </xf>
    <xf numFmtId="3" fontId="5" fillId="9" borderId="25" xfId="0" applyNumberFormat="1" applyFont="1" applyFill="1" applyBorder="1" applyAlignment="1">
      <alignment horizontal="right" vertical="top"/>
    </xf>
    <xf numFmtId="3" fontId="3" fillId="6" borderId="28" xfId="0" applyNumberFormat="1" applyFont="1" applyFill="1" applyBorder="1" applyAlignment="1">
      <alignment horizontal="left" vertical="top" wrapText="1"/>
    </xf>
    <xf numFmtId="3" fontId="3" fillId="6" borderId="72" xfId="0" applyNumberFormat="1" applyFont="1" applyFill="1" applyBorder="1" applyAlignment="1">
      <alignment horizontal="center" vertical="top" wrapText="1"/>
    </xf>
    <xf numFmtId="3" fontId="3" fillId="6" borderId="26" xfId="0" applyNumberFormat="1" applyFont="1" applyFill="1" applyBorder="1" applyAlignment="1">
      <alignment horizontal="left" vertical="top" wrapText="1"/>
    </xf>
    <xf numFmtId="3" fontId="3" fillId="6" borderId="30" xfId="0" applyNumberFormat="1" applyFont="1" applyFill="1" applyBorder="1" applyAlignment="1">
      <alignment horizontal="center" vertical="top" wrapText="1"/>
    </xf>
    <xf numFmtId="3" fontId="3" fillId="6" borderId="8" xfId="0" applyNumberFormat="1" applyFont="1" applyFill="1" applyBorder="1" applyAlignment="1">
      <alignment horizontal="left" vertical="top" wrapText="1"/>
    </xf>
    <xf numFmtId="3" fontId="9" fillId="6" borderId="28" xfId="0" applyNumberFormat="1" applyFont="1" applyFill="1" applyBorder="1" applyAlignment="1">
      <alignment horizontal="center" vertical="top" wrapText="1"/>
    </xf>
    <xf numFmtId="3" fontId="9" fillId="6" borderId="47" xfId="0" applyNumberFormat="1" applyFont="1" applyFill="1" applyBorder="1" applyAlignment="1">
      <alignment horizontal="center" vertical="top" wrapText="1"/>
    </xf>
    <xf numFmtId="3" fontId="5" fillId="6" borderId="62" xfId="0" applyNumberFormat="1" applyFont="1" applyFill="1" applyBorder="1" applyAlignment="1">
      <alignment horizontal="center" vertical="top" wrapText="1"/>
    </xf>
    <xf numFmtId="3" fontId="3" fillId="6" borderId="46" xfId="0" applyNumberFormat="1" applyFont="1" applyFill="1" applyBorder="1" applyAlignment="1">
      <alignment horizontal="center" vertical="top" wrapText="1"/>
    </xf>
    <xf numFmtId="3" fontId="9" fillId="0" borderId="127" xfId="0" applyNumberFormat="1" applyFont="1" applyFill="1" applyBorder="1" applyAlignment="1">
      <alignment horizontal="center" vertical="top" wrapText="1"/>
    </xf>
    <xf numFmtId="3" fontId="9" fillId="0" borderId="128" xfId="0" applyNumberFormat="1" applyFont="1" applyFill="1" applyBorder="1" applyAlignment="1">
      <alignment horizontal="center" vertical="top" wrapText="1"/>
    </xf>
    <xf numFmtId="3" fontId="3" fillId="6" borderId="0" xfId="0" applyNumberFormat="1" applyFont="1" applyFill="1" applyBorder="1" applyAlignment="1">
      <alignment horizontal="center" vertical="top" wrapText="1"/>
    </xf>
    <xf numFmtId="3" fontId="9" fillId="6" borderId="107" xfId="0" applyNumberFormat="1" applyFont="1" applyFill="1" applyBorder="1" applyAlignment="1">
      <alignment horizontal="center" vertical="top" wrapText="1"/>
    </xf>
    <xf numFmtId="3" fontId="3" fillId="6" borderId="107" xfId="0" applyNumberFormat="1" applyFont="1" applyFill="1" applyBorder="1" applyAlignment="1">
      <alignment horizontal="center" vertical="top"/>
    </xf>
    <xf numFmtId="3" fontId="3" fillId="6" borderId="31" xfId="0" applyNumberFormat="1" applyFont="1" applyFill="1" applyBorder="1" applyAlignment="1">
      <alignment horizontal="left" vertical="top" wrapText="1"/>
    </xf>
    <xf numFmtId="3" fontId="3" fillId="0" borderId="127" xfId="0" applyNumberFormat="1" applyFont="1" applyFill="1" applyBorder="1" applyAlignment="1">
      <alignment horizontal="left" vertical="top" wrapText="1"/>
    </xf>
    <xf numFmtId="3" fontId="0" fillId="6" borderId="19" xfId="0" applyNumberFormat="1" applyFill="1" applyBorder="1" applyAlignment="1">
      <alignment horizontal="center" vertical="top"/>
    </xf>
    <xf numFmtId="3" fontId="18" fillId="0" borderId="104" xfId="0" applyNumberFormat="1" applyFont="1" applyFill="1" applyBorder="1" applyAlignment="1">
      <alignment horizontal="left" vertical="top" wrapText="1"/>
    </xf>
    <xf numFmtId="3" fontId="18" fillId="0" borderId="110" xfId="0" applyNumberFormat="1" applyFont="1" applyFill="1" applyBorder="1" applyAlignment="1">
      <alignment horizontal="center" vertical="top" wrapText="1"/>
    </xf>
    <xf numFmtId="3" fontId="3" fillId="0" borderId="110" xfId="1" applyNumberFormat="1" applyFont="1" applyBorder="1" applyAlignment="1">
      <alignment horizontal="center" vertical="top"/>
    </xf>
    <xf numFmtId="3" fontId="5" fillId="11" borderId="104" xfId="0" applyNumberFormat="1" applyFont="1" applyFill="1" applyBorder="1" applyAlignment="1">
      <alignment horizontal="center" vertical="top"/>
    </xf>
    <xf numFmtId="3" fontId="5" fillId="6" borderId="106" xfId="0" applyNumberFormat="1" applyFont="1" applyFill="1" applyBorder="1" applyAlignment="1">
      <alignment horizontal="center" vertical="top"/>
    </xf>
    <xf numFmtId="3" fontId="3" fillId="0" borderId="106" xfId="0" applyNumberFormat="1" applyFont="1" applyBorder="1" applyAlignment="1">
      <alignment horizontal="center" vertical="top"/>
    </xf>
    <xf numFmtId="3" fontId="3" fillId="0" borderId="106" xfId="1" applyNumberFormat="1" applyFont="1" applyBorder="1" applyAlignment="1">
      <alignment horizontal="center" vertical="top"/>
    </xf>
    <xf numFmtId="3" fontId="3" fillId="6" borderId="81" xfId="0" applyNumberFormat="1" applyFont="1" applyFill="1" applyBorder="1" applyAlignment="1">
      <alignment vertical="top"/>
    </xf>
    <xf numFmtId="3" fontId="3" fillId="13" borderId="17" xfId="0" applyNumberFormat="1" applyFont="1" applyFill="1" applyBorder="1" applyAlignment="1">
      <alignment horizontal="left" vertical="top" wrapText="1"/>
    </xf>
    <xf numFmtId="3" fontId="2" fillId="0" borderId="39" xfId="0" applyNumberFormat="1" applyFont="1" applyFill="1" applyBorder="1" applyAlignment="1">
      <alignment horizontal="center" vertical="center" textRotation="90" wrapText="1" shrinkToFit="1"/>
    </xf>
    <xf numFmtId="3" fontId="3" fillId="0" borderId="104" xfId="0" applyNumberFormat="1" applyFont="1" applyBorder="1" applyAlignment="1">
      <alignment vertical="center" wrapText="1"/>
    </xf>
    <xf numFmtId="3" fontId="3" fillId="0" borderId="110" xfId="0" applyNumberFormat="1" applyFont="1" applyBorder="1" applyAlignment="1">
      <alignment horizontal="center" vertical="center"/>
    </xf>
    <xf numFmtId="3" fontId="3" fillId="0" borderId="106" xfId="0" applyNumberFormat="1" applyFont="1" applyFill="1" applyBorder="1" applyAlignment="1">
      <alignment horizontal="center" vertical="center" wrapText="1"/>
    </xf>
    <xf numFmtId="3" fontId="3" fillId="6" borderId="28" xfId="1" applyNumberFormat="1" applyFont="1" applyFill="1" applyBorder="1" applyAlignment="1">
      <alignment horizontal="center" vertical="top"/>
    </xf>
    <xf numFmtId="3" fontId="3" fillId="6" borderId="30" xfId="0" applyNumberFormat="1" applyFont="1" applyFill="1" applyBorder="1" applyAlignment="1">
      <alignment horizontal="center" vertical="center" textRotation="90" wrapText="1"/>
    </xf>
    <xf numFmtId="3" fontId="3" fillId="0" borderId="39" xfId="0" applyNumberFormat="1" applyFont="1" applyFill="1" applyBorder="1" applyAlignment="1">
      <alignment vertical="top" wrapText="1"/>
    </xf>
    <xf numFmtId="49" fontId="3" fillId="0" borderId="17"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3" fontId="3" fillId="0" borderId="19" xfId="0" applyNumberFormat="1" applyFont="1" applyFill="1" applyBorder="1" applyAlignment="1">
      <alignment horizontal="left" vertical="top" wrapText="1"/>
    </xf>
    <xf numFmtId="3" fontId="5" fillId="3" borderId="106" xfId="0" applyNumberFormat="1" applyFont="1" applyFill="1" applyBorder="1" applyAlignment="1">
      <alignment horizontal="center" vertical="top"/>
    </xf>
    <xf numFmtId="3" fontId="3" fillId="2" borderId="88" xfId="0" applyNumberFormat="1" applyFont="1" applyFill="1" applyBorder="1" applyAlignment="1">
      <alignment vertical="top" wrapText="1"/>
    </xf>
    <xf numFmtId="3" fontId="3" fillId="6" borderId="121" xfId="0" applyNumberFormat="1" applyFont="1" applyFill="1" applyBorder="1" applyAlignment="1">
      <alignment horizontal="center" vertical="top" textRotation="90" wrapText="1"/>
    </xf>
    <xf numFmtId="3" fontId="3" fillId="6" borderId="105" xfId="0" applyNumberFormat="1" applyFont="1" applyFill="1" applyBorder="1" applyAlignment="1">
      <alignment horizontal="center" vertical="top"/>
    </xf>
    <xf numFmtId="0" fontId="3" fillId="0" borderId="0" xfId="1" applyFont="1"/>
    <xf numFmtId="0" fontId="4" fillId="0" borderId="0" xfId="1" applyFont="1" applyAlignment="1">
      <alignment horizontal="right"/>
    </xf>
    <xf numFmtId="0" fontId="4" fillId="0" borderId="0" xfId="1" applyFont="1" applyAlignment="1">
      <alignment horizontal="right" vertical="top"/>
    </xf>
    <xf numFmtId="0" fontId="4" fillId="0" borderId="0" xfId="0" applyFont="1"/>
    <xf numFmtId="0" fontId="6" fillId="0" borderId="0" xfId="0" applyFont="1"/>
    <xf numFmtId="0" fontId="6" fillId="0" borderId="0" xfId="0" applyFont="1" applyAlignment="1">
      <alignment horizontal="center" vertical="top"/>
    </xf>
    <xf numFmtId="0" fontId="6" fillId="0" borderId="0" xfId="1" applyFont="1" applyAlignment="1">
      <alignment horizontal="center"/>
    </xf>
    <xf numFmtId="49" fontId="6" fillId="0" borderId="0" xfId="1" applyNumberFormat="1" applyFont="1" applyAlignment="1">
      <alignment horizontal="left" vertical="top" wrapText="1"/>
    </xf>
    <xf numFmtId="0" fontId="4" fillId="0" borderId="0" xfId="1" applyFont="1" applyAlignment="1">
      <alignment horizontal="left" vertical="top" wrapText="1"/>
    </xf>
    <xf numFmtId="0" fontId="4" fillId="0" borderId="0" xfId="0" applyFont="1" applyAlignment="1">
      <alignment horizontal="left" vertical="top"/>
    </xf>
    <xf numFmtId="0" fontId="36" fillId="0" borderId="0" xfId="0" applyFont="1" applyBorder="1" applyAlignment="1">
      <alignment horizontal="left" vertical="top" wrapText="1"/>
    </xf>
    <xf numFmtId="0" fontId="36" fillId="0" borderId="0" xfId="0" applyFont="1" applyAlignment="1">
      <alignment horizontal="left" vertical="center" wrapText="1"/>
    </xf>
    <xf numFmtId="3" fontId="3" fillId="6" borderId="87" xfId="0" applyNumberFormat="1" applyFont="1" applyFill="1" applyBorder="1" applyAlignment="1">
      <alignment horizontal="left" vertical="top" wrapText="1"/>
    </xf>
    <xf numFmtId="3" fontId="3" fillId="6" borderId="88" xfId="0" applyNumberFormat="1" applyFont="1" applyFill="1" applyBorder="1" applyAlignment="1">
      <alignment horizontal="center" vertical="top"/>
    </xf>
    <xf numFmtId="3" fontId="3" fillId="6" borderId="89" xfId="0" applyNumberFormat="1" applyFont="1" applyFill="1" applyBorder="1" applyAlignment="1">
      <alignment horizontal="center" vertical="top"/>
    </xf>
    <xf numFmtId="3" fontId="3" fillId="6" borderId="80" xfId="0" applyNumberFormat="1" applyFont="1" applyFill="1" applyBorder="1" applyAlignment="1">
      <alignment horizontal="left" vertical="top" wrapText="1"/>
    </xf>
    <xf numFmtId="3" fontId="3" fillId="6" borderId="17" xfId="0" applyNumberFormat="1" applyFont="1" applyFill="1" applyBorder="1" applyAlignment="1">
      <alignment horizontal="left" vertical="top" wrapText="1"/>
    </xf>
    <xf numFmtId="3" fontId="5" fillId="11" borderId="10" xfId="0" applyNumberFormat="1" applyFont="1" applyFill="1" applyBorder="1" applyAlignment="1">
      <alignment horizontal="center" vertical="top"/>
    </xf>
    <xf numFmtId="3" fontId="5" fillId="3" borderId="50" xfId="0" applyNumberFormat="1" applyFont="1" applyFill="1" applyBorder="1" applyAlignment="1">
      <alignment horizontal="center" vertical="top"/>
    </xf>
    <xf numFmtId="3" fontId="5" fillId="6" borderId="17" xfId="0" applyNumberFormat="1" applyFont="1" applyFill="1" applyBorder="1" applyAlignment="1">
      <alignment horizontal="center" vertical="top"/>
    </xf>
    <xf numFmtId="3" fontId="3" fillId="6" borderId="39" xfId="0" applyNumberFormat="1" applyFont="1" applyFill="1" applyBorder="1" applyAlignment="1">
      <alignment horizontal="center" vertical="center" textRotation="90" wrapText="1"/>
    </xf>
    <xf numFmtId="3" fontId="5" fillId="6" borderId="50" xfId="0" applyNumberFormat="1" applyFont="1" applyFill="1" applyBorder="1" applyAlignment="1">
      <alignment horizontal="center" vertical="top"/>
    </xf>
    <xf numFmtId="3" fontId="3" fillId="6" borderId="19" xfId="0" applyNumberFormat="1" applyFont="1" applyFill="1" applyBorder="1" applyAlignment="1">
      <alignment horizontal="center" vertical="top" wrapText="1"/>
    </xf>
    <xf numFmtId="0" fontId="3" fillId="0" borderId="0" xfId="0" applyFont="1"/>
    <xf numFmtId="49" fontId="5" fillId="13" borderId="16" xfId="0" applyNumberFormat="1" applyFont="1" applyFill="1" applyBorder="1" applyAlignment="1">
      <alignment horizontal="center" vertical="top"/>
    </xf>
    <xf numFmtId="0" fontId="3" fillId="13" borderId="37" xfId="0" applyFont="1" applyFill="1" applyBorder="1" applyAlignment="1">
      <alignment vertical="center" wrapText="1"/>
    </xf>
    <xf numFmtId="0" fontId="3" fillId="13" borderId="2" xfId="0" applyFont="1" applyFill="1" applyBorder="1" applyAlignment="1">
      <alignment horizontal="center" vertical="center" wrapText="1"/>
    </xf>
    <xf numFmtId="0" fontId="5" fillId="13" borderId="37" xfId="0" applyFont="1" applyFill="1" applyBorder="1" applyAlignment="1">
      <alignment horizontal="left" vertical="top"/>
    </xf>
    <xf numFmtId="0" fontId="0" fillId="13" borderId="43" xfId="0" applyFill="1" applyBorder="1" applyAlignment="1">
      <alignment horizontal="left" vertical="top"/>
    </xf>
    <xf numFmtId="0" fontId="5" fillId="13" borderId="34" xfId="0" applyFont="1" applyFill="1" applyBorder="1" applyAlignment="1">
      <alignment horizontal="left" vertical="top"/>
    </xf>
    <xf numFmtId="0" fontId="5" fillId="13" borderId="55" xfId="0" applyFont="1" applyFill="1" applyBorder="1" applyAlignment="1">
      <alignment horizontal="left" vertical="top"/>
    </xf>
    <xf numFmtId="0" fontId="5" fillId="13" borderId="17" xfId="0" applyFont="1" applyFill="1" applyBorder="1" applyAlignment="1">
      <alignment horizontal="left" vertical="top"/>
    </xf>
    <xf numFmtId="0" fontId="3" fillId="13" borderId="53" xfId="0" applyFont="1" applyFill="1" applyBorder="1" applyAlignment="1">
      <alignment horizontal="left" vertical="top" wrapText="1"/>
    </xf>
    <xf numFmtId="49" fontId="5" fillId="13" borderId="31" xfId="0" applyNumberFormat="1" applyFont="1" applyFill="1" applyBorder="1" applyAlignment="1">
      <alignment horizontal="center" vertical="top"/>
    </xf>
    <xf numFmtId="0" fontId="3" fillId="13" borderId="32" xfId="0" applyFont="1" applyFill="1" applyBorder="1" applyAlignment="1">
      <alignment vertical="center" wrapText="1"/>
    </xf>
    <xf numFmtId="0" fontId="3" fillId="13" borderId="34" xfId="0" applyFont="1" applyFill="1" applyBorder="1" applyAlignment="1">
      <alignment horizontal="center" vertical="center" wrapText="1"/>
    </xf>
    <xf numFmtId="3" fontId="5" fillId="11" borderId="103" xfId="0" applyNumberFormat="1" applyFont="1" applyFill="1" applyBorder="1" applyAlignment="1">
      <alignment horizontal="center" vertical="top"/>
    </xf>
    <xf numFmtId="3" fontId="5" fillId="3" borderId="113" xfId="0" applyNumberFormat="1" applyFont="1" applyFill="1" applyBorder="1" applyAlignment="1">
      <alignment horizontal="center" vertical="top"/>
    </xf>
    <xf numFmtId="3" fontId="5" fillId="6" borderId="107" xfId="0" applyNumberFormat="1" applyFont="1" applyFill="1" applyBorder="1" applyAlignment="1">
      <alignment horizontal="center" vertical="top"/>
    </xf>
    <xf numFmtId="3" fontId="3" fillId="0" borderId="105" xfId="0" applyNumberFormat="1" applyFont="1" applyFill="1" applyBorder="1" applyAlignment="1">
      <alignment horizontal="center" vertical="top" wrapText="1"/>
    </xf>
    <xf numFmtId="3" fontId="3" fillId="0" borderId="104" xfId="0" applyNumberFormat="1" applyFont="1" applyBorder="1" applyAlignment="1">
      <alignment vertical="top" wrapText="1"/>
    </xf>
    <xf numFmtId="3" fontId="3" fillId="6" borderId="110" xfId="0" applyNumberFormat="1" applyFont="1" applyFill="1" applyBorder="1" applyAlignment="1">
      <alignment horizontal="center" vertical="top"/>
    </xf>
    <xf numFmtId="3" fontId="5" fillId="11" borderId="10" xfId="0" applyNumberFormat="1" applyFont="1" applyFill="1" applyBorder="1" applyAlignment="1">
      <alignment horizontal="center" vertical="top"/>
    </xf>
    <xf numFmtId="3" fontId="5" fillId="3" borderId="50" xfId="0" applyNumberFormat="1" applyFont="1" applyFill="1" applyBorder="1" applyAlignment="1">
      <alignment horizontal="center" vertical="top"/>
    </xf>
    <xf numFmtId="3" fontId="5" fillId="6" borderId="50" xfId="0" applyNumberFormat="1" applyFont="1" applyFill="1" applyBorder="1" applyAlignment="1">
      <alignment horizontal="center" vertical="top"/>
    </xf>
    <xf numFmtId="3" fontId="5" fillId="6" borderId="17" xfId="0" applyNumberFormat="1" applyFont="1" applyFill="1" applyBorder="1" applyAlignment="1">
      <alignment horizontal="center" vertical="top"/>
    </xf>
    <xf numFmtId="3" fontId="5" fillId="6" borderId="108" xfId="0" applyNumberFormat="1" applyFont="1" applyFill="1" applyBorder="1" applyAlignment="1">
      <alignment horizontal="center" vertical="top"/>
    </xf>
    <xf numFmtId="3" fontId="5" fillId="6" borderId="19" xfId="0" applyNumberFormat="1" applyFont="1" applyFill="1" applyBorder="1" applyAlignment="1">
      <alignment horizontal="center" vertical="top"/>
    </xf>
    <xf numFmtId="3" fontId="3" fillId="0" borderId="111" xfId="0" applyNumberFormat="1" applyFont="1" applyFill="1" applyBorder="1" applyAlignment="1">
      <alignment horizontal="center" vertical="top" wrapText="1"/>
    </xf>
    <xf numFmtId="3" fontId="3" fillId="13" borderId="83" xfId="0" applyNumberFormat="1" applyFont="1" applyFill="1" applyBorder="1" applyAlignment="1">
      <alignment vertical="top" wrapText="1"/>
    </xf>
    <xf numFmtId="3" fontId="3" fillId="13" borderId="85" xfId="0" applyNumberFormat="1" applyFont="1" applyFill="1" applyBorder="1" applyAlignment="1">
      <alignment horizontal="center" vertical="center"/>
    </xf>
    <xf numFmtId="3" fontId="3" fillId="13" borderId="84" xfId="0" applyNumberFormat="1" applyFont="1" applyFill="1" applyBorder="1" applyAlignment="1">
      <alignment horizontal="center" vertical="center" wrapText="1"/>
    </xf>
    <xf numFmtId="3" fontId="3" fillId="13" borderId="85" xfId="0" applyNumberFormat="1" applyFont="1" applyFill="1" applyBorder="1" applyAlignment="1">
      <alignment horizontal="center" vertical="top" wrapText="1"/>
    </xf>
    <xf numFmtId="3" fontId="3" fillId="13" borderId="92" xfId="0" applyNumberFormat="1" applyFont="1" applyFill="1" applyBorder="1" applyAlignment="1">
      <alignment horizontal="left" vertical="top" wrapText="1"/>
    </xf>
    <xf numFmtId="3" fontId="3" fillId="6" borderId="19" xfId="0" applyNumberFormat="1" applyFont="1" applyFill="1" applyBorder="1" applyAlignment="1">
      <alignment horizontal="center" vertical="top" wrapText="1"/>
    </xf>
    <xf numFmtId="3" fontId="5" fillId="11" borderId="10" xfId="0" applyNumberFormat="1" applyFont="1" applyFill="1" applyBorder="1" applyAlignment="1">
      <alignment horizontal="center" vertical="top"/>
    </xf>
    <xf numFmtId="3" fontId="5" fillId="3" borderId="50" xfId="0" applyNumberFormat="1" applyFont="1" applyFill="1" applyBorder="1" applyAlignment="1">
      <alignment horizontal="center" vertical="top"/>
    </xf>
    <xf numFmtId="3" fontId="5" fillId="6" borderId="17" xfId="0" applyNumberFormat="1" applyFont="1" applyFill="1" applyBorder="1" applyAlignment="1">
      <alignment horizontal="center" vertical="top"/>
    </xf>
    <xf numFmtId="3" fontId="3" fillId="2" borderId="17" xfId="0" applyNumberFormat="1" applyFont="1" applyFill="1" applyBorder="1" applyAlignment="1">
      <alignment horizontal="left" vertical="top" wrapText="1"/>
    </xf>
    <xf numFmtId="3" fontId="5" fillId="6" borderId="108" xfId="0" applyNumberFormat="1" applyFont="1" applyFill="1" applyBorder="1" applyAlignment="1">
      <alignment horizontal="center" vertical="top"/>
    </xf>
    <xf numFmtId="3" fontId="5" fillId="6" borderId="19" xfId="0" applyNumberFormat="1" applyFont="1" applyFill="1" applyBorder="1" applyAlignment="1">
      <alignment horizontal="center" vertical="top"/>
    </xf>
    <xf numFmtId="3" fontId="5" fillId="11" borderId="104" xfId="0" applyNumberFormat="1" applyFont="1" applyFill="1" applyBorder="1" applyAlignment="1">
      <alignment horizontal="center" vertical="top"/>
    </xf>
    <xf numFmtId="3" fontId="5" fillId="3" borderId="110" xfId="0" applyNumberFormat="1" applyFont="1" applyFill="1" applyBorder="1" applyAlignment="1">
      <alignment horizontal="center" vertical="top"/>
    </xf>
    <xf numFmtId="3" fontId="3" fillId="6" borderId="39" xfId="0" applyNumberFormat="1" applyFont="1" applyFill="1" applyBorder="1" applyAlignment="1">
      <alignment horizontal="center" vertical="center" textRotation="90" wrapText="1"/>
    </xf>
    <xf numFmtId="3" fontId="3" fillId="0" borderId="17" xfId="0" applyNumberFormat="1" applyFont="1" applyFill="1" applyBorder="1" applyAlignment="1">
      <alignment horizontal="center" vertical="top" wrapText="1"/>
    </xf>
    <xf numFmtId="3" fontId="3" fillId="0" borderId="34" xfId="0" applyNumberFormat="1" applyFont="1" applyFill="1" applyBorder="1" applyAlignment="1">
      <alignment horizontal="center" vertical="top" wrapText="1"/>
    </xf>
    <xf numFmtId="3" fontId="3" fillId="0" borderId="19" xfId="0" applyNumberFormat="1" applyFont="1" applyFill="1" applyBorder="1" applyAlignment="1">
      <alignment horizontal="center" vertical="top" wrapText="1"/>
    </xf>
    <xf numFmtId="3" fontId="3" fillId="0" borderId="33" xfId="0" applyNumberFormat="1" applyFont="1" applyFill="1" applyBorder="1" applyAlignment="1">
      <alignment horizontal="center" vertical="top" wrapText="1"/>
    </xf>
    <xf numFmtId="3" fontId="5" fillId="11" borderId="11" xfId="0" applyNumberFormat="1" applyFont="1" applyFill="1" applyBorder="1" applyAlignment="1">
      <alignment horizontal="center" vertical="top"/>
    </xf>
    <xf numFmtId="3" fontId="5" fillId="3" borderId="62" xfId="0" applyNumberFormat="1" applyFont="1" applyFill="1" applyBorder="1" applyAlignment="1">
      <alignment horizontal="center" vertical="top"/>
    </xf>
    <xf numFmtId="3" fontId="5" fillId="6" borderId="26" xfId="0" applyNumberFormat="1" applyFont="1" applyFill="1" applyBorder="1" applyAlignment="1">
      <alignment horizontal="center" vertical="top"/>
    </xf>
    <xf numFmtId="3" fontId="5" fillId="6" borderId="106" xfId="0" applyNumberFormat="1" applyFont="1" applyFill="1" applyBorder="1" applyAlignment="1">
      <alignment horizontal="center" vertical="top"/>
    </xf>
    <xf numFmtId="3" fontId="0" fillId="0" borderId="106" xfId="0" applyNumberFormat="1" applyBorder="1" applyAlignment="1">
      <alignment horizontal="left" vertical="top" wrapText="1"/>
    </xf>
    <xf numFmtId="3" fontId="0" fillId="6" borderId="26" xfId="0" applyNumberFormat="1" applyFill="1" applyBorder="1" applyAlignment="1">
      <alignment horizontal="left" vertical="top" wrapText="1"/>
    </xf>
    <xf numFmtId="3" fontId="3" fillId="0" borderId="10" xfId="0" applyNumberFormat="1" applyFont="1" applyFill="1" applyBorder="1" applyAlignment="1">
      <alignment horizontal="left" vertical="top" wrapText="1"/>
    </xf>
    <xf numFmtId="3" fontId="5" fillId="6" borderId="109" xfId="0" applyNumberFormat="1" applyFont="1" applyFill="1" applyBorder="1" applyAlignment="1">
      <alignment horizontal="right" vertical="top"/>
    </xf>
    <xf numFmtId="3" fontId="5" fillId="6" borderId="95" xfId="0" applyNumberFormat="1" applyFont="1" applyFill="1" applyBorder="1" applyAlignment="1">
      <alignment horizontal="center" vertical="top"/>
    </xf>
    <xf numFmtId="3" fontId="5" fillId="6" borderId="117" xfId="0" applyNumberFormat="1" applyFont="1" applyFill="1" applyBorder="1" applyAlignment="1">
      <alignment horizontal="right" vertical="top"/>
    </xf>
    <xf numFmtId="3" fontId="5" fillId="6" borderId="130" xfId="0" applyNumberFormat="1" applyFont="1" applyFill="1" applyBorder="1" applyAlignment="1">
      <alignment horizontal="right" vertical="top"/>
    </xf>
    <xf numFmtId="3" fontId="0" fillId="6" borderId="107" xfId="0" applyNumberFormat="1" applyFill="1" applyBorder="1" applyAlignment="1">
      <alignment horizontal="left" vertical="top" wrapText="1"/>
    </xf>
    <xf numFmtId="3" fontId="5" fillId="8" borderId="25" xfId="0" applyNumberFormat="1" applyFont="1" applyFill="1" applyBorder="1" applyAlignment="1">
      <alignment horizontal="right" vertical="top"/>
    </xf>
    <xf numFmtId="3" fontId="9" fillId="6" borderId="26" xfId="0" applyNumberFormat="1" applyFont="1" applyFill="1" applyBorder="1" applyAlignment="1">
      <alignment horizontal="center" vertical="top" wrapText="1"/>
    </xf>
    <xf numFmtId="0" fontId="9" fillId="6" borderId="26" xfId="0" applyNumberFormat="1" applyFont="1" applyFill="1" applyBorder="1" applyAlignment="1">
      <alignment horizontal="center" vertical="top" wrapText="1"/>
    </xf>
    <xf numFmtId="3" fontId="3" fillId="6" borderId="62" xfId="0" applyNumberFormat="1" applyFont="1" applyFill="1" applyBorder="1" applyAlignment="1">
      <alignment horizontal="left" vertical="top" wrapText="1"/>
    </xf>
    <xf numFmtId="3" fontId="5" fillId="6" borderId="106" xfId="0" applyNumberFormat="1" applyFont="1" applyFill="1" applyBorder="1" applyAlignment="1">
      <alignment horizontal="center" vertical="top"/>
    </xf>
    <xf numFmtId="3" fontId="5" fillId="11" borderId="104" xfId="0" applyNumberFormat="1" applyFont="1" applyFill="1" applyBorder="1" applyAlignment="1">
      <alignment horizontal="center" vertical="top"/>
    </xf>
    <xf numFmtId="3" fontId="5" fillId="3" borderId="110" xfId="0" applyNumberFormat="1" applyFont="1" applyFill="1" applyBorder="1" applyAlignment="1">
      <alignment horizontal="center" vertical="top"/>
    </xf>
    <xf numFmtId="0" fontId="36" fillId="0" borderId="0" xfId="0" applyFont="1" applyAlignment="1">
      <alignment horizontal="left" vertical="center" wrapText="1"/>
    </xf>
    <xf numFmtId="0" fontId="0" fillId="0" borderId="0" xfId="0" applyAlignment="1">
      <alignment horizontal="left" wrapText="1"/>
    </xf>
    <xf numFmtId="0" fontId="6" fillId="0" borderId="0" xfId="1" applyFont="1" applyAlignment="1">
      <alignment horizontal="center" wrapText="1"/>
    </xf>
    <xf numFmtId="0" fontId="0" fillId="0" borderId="0" xfId="0" applyAlignment="1">
      <alignment wrapText="1"/>
    </xf>
    <xf numFmtId="49" fontId="6" fillId="0" borderId="0" xfId="1" applyNumberFormat="1" applyFont="1" applyAlignment="1">
      <alignment horizontal="left" vertical="top" wrapText="1"/>
    </xf>
    <xf numFmtId="0" fontId="4" fillId="0" borderId="0" xfId="1" applyFont="1" applyAlignment="1">
      <alignment horizontal="left" vertical="top" wrapText="1"/>
    </xf>
    <xf numFmtId="0" fontId="0" fillId="0" borderId="0" xfId="0" applyAlignment="1">
      <alignment horizontal="left" vertical="top" wrapText="1"/>
    </xf>
    <xf numFmtId="0" fontId="36" fillId="0" borderId="0" xfId="0" applyFont="1" applyBorder="1" applyAlignment="1">
      <alignment horizontal="left" vertical="top" wrapText="1"/>
    </xf>
    <xf numFmtId="0" fontId="4" fillId="0" borderId="0" xfId="1" applyFont="1" applyAlignment="1">
      <alignment horizontal="left"/>
    </xf>
    <xf numFmtId="0" fontId="6" fillId="0" borderId="0" xfId="0" applyFont="1" applyAlignment="1">
      <alignment horizontal="center" wrapText="1"/>
    </xf>
    <xf numFmtId="0" fontId="0" fillId="0" borderId="0" xfId="0" applyAlignment="1">
      <alignment horizontal="center" wrapText="1"/>
    </xf>
    <xf numFmtId="3" fontId="3" fillId="6" borderId="103" xfId="0" applyNumberFormat="1" applyFont="1" applyFill="1" applyBorder="1" applyAlignment="1">
      <alignment vertical="top" wrapText="1"/>
    </xf>
    <xf numFmtId="0" fontId="0" fillId="0" borderId="11" xfId="0" applyBorder="1" applyAlignment="1">
      <alignment vertical="top" wrapText="1"/>
    </xf>
    <xf numFmtId="3" fontId="18" fillId="6" borderId="107" xfId="1" applyNumberFormat="1" applyFont="1" applyFill="1" applyBorder="1" applyAlignment="1">
      <alignment horizontal="left" vertical="top" wrapText="1"/>
    </xf>
    <xf numFmtId="0" fontId="0" fillId="6" borderId="106" xfId="0" applyFill="1" applyBorder="1" applyAlignment="1">
      <alignment horizontal="left" vertical="top" wrapText="1"/>
    </xf>
    <xf numFmtId="3" fontId="3" fillId="6" borderId="107" xfId="1" applyNumberFormat="1" applyFont="1" applyFill="1" applyBorder="1" applyAlignment="1">
      <alignment horizontal="left" vertical="top" wrapText="1"/>
    </xf>
    <xf numFmtId="0" fontId="0" fillId="6" borderId="26" xfId="0" applyFill="1" applyBorder="1" applyAlignment="1">
      <alignment vertical="top" wrapText="1"/>
    </xf>
    <xf numFmtId="3" fontId="3" fillId="6" borderId="17" xfId="0" applyNumberFormat="1" applyFont="1" applyFill="1" applyBorder="1" applyAlignment="1">
      <alignment horizontal="left" vertical="top" wrapText="1"/>
    </xf>
    <xf numFmtId="3" fontId="3" fillId="0" borderId="28" xfId="0" applyNumberFormat="1" applyFont="1" applyFill="1" applyBorder="1" applyAlignment="1">
      <alignment horizontal="left" vertical="top" wrapText="1"/>
    </xf>
    <xf numFmtId="3" fontId="3" fillId="0" borderId="26" xfId="0" applyNumberFormat="1" applyFont="1" applyFill="1" applyBorder="1" applyAlignment="1">
      <alignment horizontal="left" vertical="top" wrapText="1"/>
    </xf>
    <xf numFmtId="3" fontId="3" fillId="0" borderId="29" xfId="0" applyNumberFormat="1" applyFont="1" applyFill="1" applyBorder="1" applyAlignment="1">
      <alignment horizontal="left" vertical="top" wrapText="1"/>
    </xf>
    <xf numFmtId="3" fontId="3" fillId="0" borderId="27" xfId="0" applyNumberFormat="1" applyFont="1" applyFill="1" applyBorder="1" applyAlignment="1">
      <alignment horizontal="left" vertical="top" wrapText="1"/>
    </xf>
    <xf numFmtId="3" fontId="3" fillId="6" borderId="107" xfId="0" applyNumberFormat="1" applyFont="1" applyFill="1" applyBorder="1" applyAlignment="1">
      <alignment horizontal="left" vertical="top" wrapText="1"/>
    </xf>
    <xf numFmtId="3" fontId="3" fillId="6" borderId="106" xfId="0" applyNumberFormat="1" applyFont="1" applyFill="1" applyBorder="1" applyAlignment="1">
      <alignment horizontal="left" vertical="top" wrapText="1"/>
    </xf>
    <xf numFmtId="3" fontId="3" fillId="6" borderId="108" xfId="0" applyNumberFormat="1" applyFont="1" applyFill="1" applyBorder="1" applyAlignment="1">
      <alignment horizontal="center" vertical="top" wrapText="1"/>
    </xf>
    <xf numFmtId="3" fontId="3" fillId="6" borderId="19" xfId="0" applyNumberFormat="1" applyFont="1" applyFill="1" applyBorder="1" applyAlignment="1">
      <alignment horizontal="center" vertical="top" wrapText="1"/>
    </xf>
    <xf numFmtId="3" fontId="3" fillId="6" borderId="19" xfId="0" applyNumberFormat="1" applyFont="1" applyFill="1" applyBorder="1" applyAlignment="1">
      <alignment horizontal="left" vertical="top" wrapText="1"/>
    </xf>
    <xf numFmtId="0" fontId="0" fillId="6" borderId="19" xfId="0" applyFill="1" applyBorder="1" applyAlignment="1">
      <alignment horizontal="left" vertical="top" wrapText="1"/>
    </xf>
    <xf numFmtId="0" fontId="0" fillId="6" borderId="19" xfId="0" applyFill="1" applyBorder="1" applyAlignment="1">
      <alignment vertical="top" wrapText="1"/>
    </xf>
    <xf numFmtId="0" fontId="0" fillId="6" borderId="81" xfId="0" applyFill="1" applyBorder="1" applyAlignment="1">
      <alignment vertical="top"/>
    </xf>
    <xf numFmtId="3" fontId="3" fillId="13" borderId="19" xfId="0" applyNumberFormat="1" applyFont="1" applyFill="1" applyBorder="1" applyAlignment="1">
      <alignment horizontal="left" vertical="top" wrapText="1"/>
    </xf>
    <xf numFmtId="0" fontId="0" fillId="0" borderId="27" xfId="0" applyBorder="1" applyAlignment="1">
      <alignment horizontal="left" vertical="top" wrapText="1"/>
    </xf>
    <xf numFmtId="0" fontId="0" fillId="6" borderId="106" xfId="0" applyFill="1" applyBorder="1" applyAlignment="1">
      <alignment vertical="top" wrapText="1"/>
    </xf>
    <xf numFmtId="3" fontId="3" fillId="0" borderId="107" xfId="0" applyNumberFormat="1" applyFont="1" applyFill="1" applyBorder="1" applyAlignment="1">
      <alignment horizontal="center" vertical="top"/>
    </xf>
    <xf numFmtId="3" fontId="3" fillId="0" borderId="26" xfId="0" applyNumberFormat="1" applyFont="1" applyFill="1" applyBorder="1" applyAlignment="1">
      <alignment horizontal="center" vertical="top"/>
    </xf>
    <xf numFmtId="3" fontId="3" fillId="6" borderId="108" xfId="0" applyNumberFormat="1" applyFont="1" applyFill="1" applyBorder="1" applyAlignment="1">
      <alignment horizontal="center" vertical="top"/>
    </xf>
    <xf numFmtId="3" fontId="3" fillId="6" borderId="27" xfId="0" applyNumberFormat="1" applyFont="1" applyFill="1" applyBorder="1" applyAlignment="1">
      <alignment horizontal="center" vertical="top"/>
    </xf>
    <xf numFmtId="3" fontId="3" fillId="6" borderId="108" xfId="0" applyNumberFormat="1" applyFont="1" applyFill="1" applyBorder="1" applyAlignment="1">
      <alignment horizontal="left" vertical="top" wrapText="1"/>
    </xf>
    <xf numFmtId="3" fontId="5" fillId="11" borderId="8" xfId="0" applyNumberFormat="1" applyFont="1" applyFill="1" applyBorder="1" applyAlignment="1">
      <alignment horizontal="center" vertical="top"/>
    </xf>
    <xf numFmtId="3" fontId="5" fillId="11" borderId="10" xfId="0" applyNumberFormat="1" applyFont="1" applyFill="1" applyBorder="1" applyAlignment="1">
      <alignment horizontal="center" vertical="top"/>
    </xf>
    <xf numFmtId="3" fontId="5" fillId="3" borderId="47" xfId="0" applyNumberFormat="1" applyFont="1" applyFill="1" applyBorder="1" applyAlignment="1">
      <alignment horizontal="center" vertical="top"/>
    </xf>
    <xf numFmtId="3" fontId="5" fillId="3" borderId="50" xfId="0" applyNumberFormat="1" applyFont="1" applyFill="1" applyBorder="1" applyAlignment="1">
      <alignment horizontal="center" vertical="top"/>
    </xf>
    <xf numFmtId="3" fontId="5" fillId="6" borderId="47" xfId="0" applyNumberFormat="1" applyFont="1" applyFill="1" applyBorder="1" applyAlignment="1">
      <alignment horizontal="center" vertical="top"/>
    </xf>
    <xf numFmtId="3" fontId="5" fillId="6" borderId="50" xfId="0" applyNumberFormat="1" applyFont="1" applyFill="1" applyBorder="1" applyAlignment="1">
      <alignment horizontal="center" vertical="top"/>
    </xf>
    <xf numFmtId="3" fontId="5" fillId="0" borderId="47" xfId="0" applyNumberFormat="1" applyFont="1" applyBorder="1" applyAlignment="1">
      <alignment horizontal="center" vertical="top"/>
    </xf>
    <xf numFmtId="3" fontId="5" fillId="0" borderId="50" xfId="0" applyNumberFormat="1" applyFont="1" applyBorder="1" applyAlignment="1">
      <alignment horizontal="center" vertical="top"/>
    </xf>
    <xf numFmtId="3" fontId="5" fillId="0" borderId="32" xfId="0" applyNumberFormat="1" applyFont="1" applyBorder="1" applyAlignment="1">
      <alignment horizontal="center" vertical="top"/>
    </xf>
    <xf numFmtId="3" fontId="5" fillId="7" borderId="78" xfId="0" applyNumberFormat="1" applyFont="1" applyFill="1" applyBorder="1" applyAlignment="1">
      <alignment horizontal="left" vertical="top" wrapText="1"/>
    </xf>
    <xf numFmtId="3" fontId="5" fillId="7" borderId="71" xfId="0" applyNumberFormat="1" applyFont="1" applyFill="1" applyBorder="1" applyAlignment="1">
      <alignment horizontal="left" vertical="top" wrapText="1"/>
    </xf>
    <xf numFmtId="3" fontId="5" fillId="7" borderId="65" xfId="0" applyNumberFormat="1" applyFont="1" applyFill="1" applyBorder="1" applyAlignment="1">
      <alignment horizontal="left" vertical="top" wrapText="1"/>
    </xf>
    <xf numFmtId="0" fontId="11" fillId="0" borderId="29" xfId="0" applyNumberFormat="1" applyFont="1" applyBorder="1" applyAlignment="1">
      <alignment horizontal="center" vertical="center" textRotation="90" wrapText="1"/>
    </xf>
    <xf numFmtId="0" fontId="11" fillId="0" borderId="19" xfId="0" applyNumberFormat="1" applyFont="1" applyBorder="1" applyAlignment="1">
      <alignment horizontal="center" vertical="center" textRotation="90" wrapText="1"/>
    </xf>
    <xf numFmtId="0" fontId="11" fillId="0" borderId="27" xfId="0" applyNumberFormat="1" applyFont="1" applyBorder="1" applyAlignment="1">
      <alignment horizontal="center" vertical="center" textRotation="90" wrapText="1"/>
    </xf>
    <xf numFmtId="0" fontId="3" fillId="0" borderId="46"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66" xfId="0" applyFont="1" applyBorder="1" applyAlignment="1">
      <alignment horizontal="center" vertical="center" textRotation="90" wrapText="1"/>
    </xf>
    <xf numFmtId="3" fontId="5" fillId="4" borderId="76" xfId="0" applyNumberFormat="1" applyFont="1" applyFill="1" applyBorder="1" applyAlignment="1">
      <alignment horizontal="left" vertical="top" wrapText="1"/>
    </xf>
    <xf numFmtId="3" fontId="5" fillId="4" borderId="43" xfId="0" applyNumberFormat="1" applyFont="1" applyFill="1" applyBorder="1" applyAlignment="1">
      <alignment horizontal="left" vertical="top" wrapText="1"/>
    </xf>
    <xf numFmtId="3" fontId="5" fillId="4" borderId="44" xfId="0" applyNumberFormat="1" applyFont="1" applyFill="1" applyBorder="1" applyAlignment="1">
      <alignment horizontal="left" vertical="top" wrapText="1"/>
    </xf>
    <xf numFmtId="3" fontId="5" fillId="11" borderId="37" xfId="0" applyNumberFormat="1" applyFont="1" applyFill="1" applyBorder="1" applyAlignment="1">
      <alignment horizontal="left" vertical="top"/>
    </xf>
    <xf numFmtId="3" fontId="5" fillId="11" borderId="43" xfId="0" applyNumberFormat="1" applyFont="1" applyFill="1" applyBorder="1" applyAlignment="1">
      <alignment horizontal="left" vertical="top"/>
    </xf>
    <xf numFmtId="3" fontId="5" fillId="11" borderId="44" xfId="0" applyNumberFormat="1" applyFont="1" applyFill="1" applyBorder="1" applyAlignment="1">
      <alignment horizontal="left" vertical="top"/>
    </xf>
    <xf numFmtId="3" fontId="16" fillId="0" borderId="77" xfId="0" applyNumberFormat="1" applyFont="1" applyBorder="1" applyAlignment="1">
      <alignment horizontal="center" vertical="center" wrapText="1"/>
    </xf>
    <xf numFmtId="3" fontId="16" fillId="0" borderId="41" xfId="0" applyNumberFormat="1" applyFont="1" applyBorder="1" applyAlignment="1">
      <alignment horizontal="center" vertical="center" wrapText="1"/>
    </xf>
    <xf numFmtId="3" fontId="16" fillId="0" borderId="54" xfId="0" applyNumberFormat="1" applyFont="1" applyBorder="1" applyAlignment="1">
      <alignment horizontal="center" vertical="center" wrapText="1"/>
    </xf>
    <xf numFmtId="0" fontId="11" fillId="0" borderId="77" xfId="0" applyFont="1" applyBorder="1" applyAlignment="1">
      <alignment horizontal="center" vertical="center" wrapText="1"/>
    </xf>
    <xf numFmtId="0" fontId="11" fillId="0" borderId="4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62" xfId="0" applyFont="1" applyBorder="1" applyAlignment="1">
      <alignment horizontal="center" vertical="center" wrapText="1"/>
    </xf>
    <xf numFmtId="3" fontId="5" fillId="6" borderId="17" xfId="0" applyNumberFormat="1" applyFont="1" applyFill="1" applyBorder="1" applyAlignment="1">
      <alignment horizontal="center" vertical="top"/>
    </xf>
    <xf numFmtId="3" fontId="3" fillId="2" borderId="107" xfId="0" applyNumberFormat="1" applyFont="1" applyFill="1" applyBorder="1" applyAlignment="1">
      <alignment horizontal="left" vertical="top" wrapText="1"/>
    </xf>
    <xf numFmtId="3" fontId="3" fillId="2" borderId="17" xfId="0" applyNumberFormat="1" applyFont="1" applyFill="1" applyBorder="1" applyAlignment="1">
      <alignment horizontal="left" vertical="top" wrapText="1"/>
    </xf>
    <xf numFmtId="3" fontId="5" fillId="0" borderId="19" xfId="0" applyNumberFormat="1" applyFont="1" applyBorder="1" applyAlignment="1">
      <alignment horizontal="center" vertical="top"/>
    </xf>
    <xf numFmtId="3" fontId="5" fillId="0" borderId="81" xfId="0" applyNumberFormat="1" applyFont="1" applyBorder="1" applyAlignment="1">
      <alignment horizontal="center" vertical="top"/>
    </xf>
    <xf numFmtId="3" fontId="3" fillId="0" borderId="123" xfId="0" applyNumberFormat="1" applyFont="1" applyFill="1" applyBorder="1" applyAlignment="1">
      <alignment horizontal="center" vertical="center" textRotation="90" wrapText="1"/>
    </xf>
    <xf numFmtId="3" fontId="3" fillId="0" borderId="39" xfId="0" applyNumberFormat="1" applyFont="1" applyFill="1" applyBorder="1" applyAlignment="1">
      <alignment horizontal="center" vertical="center" textRotation="90" wrapText="1"/>
    </xf>
    <xf numFmtId="3" fontId="0" fillId="0" borderId="119" xfId="0" applyNumberFormat="1" applyBorder="1" applyAlignment="1">
      <alignment horizontal="center" vertical="center" textRotation="90" wrapText="1"/>
    </xf>
    <xf numFmtId="3" fontId="5" fillId="6" borderId="108" xfId="0" applyNumberFormat="1" applyFont="1" applyFill="1" applyBorder="1" applyAlignment="1">
      <alignment horizontal="center" vertical="top"/>
    </xf>
    <xf numFmtId="3" fontId="5" fillId="6" borderId="19" xfId="0" applyNumberFormat="1" applyFont="1" applyFill="1" applyBorder="1" applyAlignment="1">
      <alignment horizontal="center" vertical="top"/>
    </xf>
    <xf numFmtId="3" fontId="5" fillId="11" borderId="104" xfId="0" applyNumberFormat="1" applyFont="1" applyFill="1" applyBorder="1" applyAlignment="1">
      <alignment horizontal="center" vertical="top"/>
    </xf>
    <xf numFmtId="3" fontId="5" fillId="3" borderId="37" xfId="0" applyNumberFormat="1" applyFont="1" applyFill="1" applyBorder="1" applyAlignment="1">
      <alignment horizontal="left" vertical="top" wrapText="1"/>
    </xf>
    <xf numFmtId="3" fontId="5" fillId="3" borderId="43" xfId="0" applyNumberFormat="1" applyFont="1" applyFill="1" applyBorder="1" applyAlignment="1">
      <alignment horizontal="left" vertical="top" wrapText="1"/>
    </xf>
    <xf numFmtId="3" fontId="5" fillId="3" borderId="44" xfId="0" applyNumberFormat="1" applyFont="1" applyFill="1" applyBorder="1" applyAlignment="1">
      <alignment horizontal="left" vertical="top" wrapText="1"/>
    </xf>
    <xf numFmtId="3" fontId="3" fillId="6" borderId="34" xfId="0" applyNumberFormat="1" applyFont="1" applyFill="1" applyBorder="1" applyAlignment="1">
      <alignment horizontal="left" vertical="top" wrapText="1"/>
    </xf>
    <xf numFmtId="3" fontId="8" fillId="0" borderId="39" xfId="0" applyNumberFormat="1" applyFont="1" applyFill="1" applyBorder="1" applyAlignment="1">
      <alignment horizontal="center" vertical="top" wrapText="1"/>
    </xf>
    <xf numFmtId="3" fontId="0" fillId="0" borderId="39" xfId="0" applyNumberFormat="1" applyBorder="1" applyAlignment="1">
      <alignment horizontal="center" vertical="top" wrapText="1"/>
    </xf>
    <xf numFmtId="3" fontId="5" fillId="3" borderId="110" xfId="0" applyNumberFormat="1" applyFont="1" applyFill="1" applyBorder="1" applyAlignment="1">
      <alignment horizontal="center" vertical="top"/>
    </xf>
    <xf numFmtId="3" fontId="5" fillId="3" borderId="28"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3" fontId="5" fillId="6" borderId="28" xfId="0" applyNumberFormat="1" applyFont="1" applyFill="1" applyBorder="1" applyAlignment="1">
      <alignment horizontal="center" vertical="top"/>
    </xf>
    <xf numFmtId="3" fontId="3" fillId="6" borderId="72" xfId="0" applyNumberFormat="1" applyFont="1" applyFill="1" applyBorder="1" applyAlignment="1">
      <alignment horizontal="center" vertical="center" textRotation="90" wrapText="1"/>
    </xf>
    <xf numFmtId="3" fontId="3" fillId="6" borderId="39" xfId="0" applyNumberFormat="1" applyFont="1" applyFill="1" applyBorder="1" applyAlignment="1">
      <alignment horizontal="center" vertical="center" textRotation="90" wrapText="1"/>
    </xf>
    <xf numFmtId="3" fontId="5" fillId="6" borderId="29" xfId="0" applyNumberFormat="1" applyFont="1" applyFill="1" applyBorder="1" applyAlignment="1">
      <alignment horizontal="center" vertical="top"/>
    </xf>
    <xf numFmtId="3" fontId="5" fillId="0" borderId="28" xfId="0" applyNumberFormat="1" applyFont="1" applyFill="1" applyBorder="1" applyAlignment="1">
      <alignment horizontal="left" vertical="top" wrapText="1"/>
    </xf>
    <xf numFmtId="3" fontId="5" fillId="0" borderId="17" xfId="0" applyNumberFormat="1" applyFont="1" applyFill="1" applyBorder="1" applyAlignment="1">
      <alignment horizontal="left" vertical="top" wrapText="1"/>
    </xf>
    <xf numFmtId="3" fontId="5" fillId="0" borderId="34" xfId="0" applyNumberFormat="1" applyFont="1" applyFill="1" applyBorder="1" applyAlignment="1">
      <alignment horizontal="left" vertical="top" wrapText="1"/>
    </xf>
    <xf numFmtId="3" fontId="3" fillId="0" borderId="107" xfId="0" applyNumberFormat="1" applyFont="1" applyFill="1" applyBorder="1" applyAlignment="1">
      <alignment horizontal="left" vertical="top" wrapText="1"/>
    </xf>
    <xf numFmtId="3" fontId="3" fillId="0" borderId="17" xfId="0" applyNumberFormat="1" applyFont="1" applyFill="1" applyBorder="1" applyAlignment="1">
      <alignment horizontal="left" vertical="top" wrapText="1"/>
    </xf>
    <xf numFmtId="3" fontId="3" fillId="2" borderId="103" xfId="0" applyNumberFormat="1" applyFont="1" applyFill="1" applyBorder="1" applyAlignment="1">
      <alignment horizontal="left" vertical="top" wrapText="1"/>
    </xf>
    <xf numFmtId="3" fontId="3" fillId="2" borderId="11" xfId="0" applyNumberFormat="1" applyFont="1" applyFill="1" applyBorder="1" applyAlignment="1">
      <alignment horizontal="left" vertical="top" wrapText="1"/>
    </xf>
    <xf numFmtId="3" fontId="3" fillId="0" borderId="28" xfId="0" applyNumberFormat="1" applyFont="1" applyFill="1" applyBorder="1" applyAlignment="1">
      <alignment horizontal="center" vertical="top" wrapText="1"/>
    </xf>
    <xf numFmtId="3" fontId="3" fillId="0" borderId="17" xfId="0" applyNumberFormat="1" applyFont="1" applyFill="1" applyBorder="1" applyAlignment="1">
      <alignment horizontal="center" vertical="top" wrapText="1"/>
    </xf>
    <xf numFmtId="3" fontId="3" fillId="0" borderId="34" xfId="0" applyNumberFormat="1" applyFont="1" applyFill="1" applyBorder="1" applyAlignment="1">
      <alignment horizontal="center" vertical="top" wrapText="1"/>
    </xf>
    <xf numFmtId="3" fontId="3" fillId="0" borderId="29" xfId="0" applyNumberFormat="1" applyFont="1" applyFill="1" applyBorder="1" applyAlignment="1">
      <alignment horizontal="center" vertical="top" wrapText="1"/>
    </xf>
    <xf numFmtId="3" fontId="3" fillId="0" borderId="19" xfId="0" applyNumberFormat="1" applyFont="1" applyFill="1" applyBorder="1" applyAlignment="1">
      <alignment horizontal="center" vertical="top" wrapText="1"/>
    </xf>
    <xf numFmtId="3" fontId="3" fillId="0" borderId="33" xfId="0" applyNumberFormat="1" applyFont="1" applyFill="1" applyBorder="1" applyAlignment="1">
      <alignment horizontal="center" vertical="top" wrapText="1"/>
    </xf>
    <xf numFmtId="3" fontId="14" fillId="0" borderId="28" xfId="0" applyNumberFormat="1" applyFont="1" applyFill="1" applyBorder="1" applyAlignment="1">
      <alignment horizontal="left" vertical="top" wrapText="1"/>
    </xf>
    <xf numFmtId="3" fontId="14" fillId="0" borderId="17" xfId="0" applyNumberFormat="1" applyFont="1" applyFill="1" applyBorder="1" applyAlignment="1">
      <alignment horizontal="left" vertical="top" wrapText="1"/>
    </xf>
    <xf numFmtId="3" fontId="13" fillId="0" borderId="34" xfId="0" applyNumberFormat="1" applyFont="1" applyFill="1" applyBorder="1" applyAlignment="1">
      <alignment horizontal="left" vertical="top" wrapText="1"/>
    </xf>
    <xf numFmtId="3" fontId="5" fillId="11" borderId="11" xfId="0" applyNumberFormat="1" applyFont="1" applyFill="1" applyBorder="1" applyAlignment="1">
      <alignment horizontal="center" vertical="top"/>
    </xf>
    <xf numFmtId="3" fontId="5" fillId="3" borderId="62" xfId="0" applyNumberFormat="1" applyFont="1" applyFill="1" applyBorder="1" applyAlignment="1">
      <alignment horizontal="center" vertical="top"/>
    </xf>
    <xf numFmtId="3" fontId="5" fillId="6" borderId="26" xfId="0" applyNumberFormat="1" applyFont="1" applyFill="1" applyBorder="1" applyAlignment="1">
      <alignment horizontal="center" vertical="top"/>
    </xf>
    <xf numFmtId="3" fontId="5" fillId="2" borderId="28" xfId="0" applyNumberFormat="1" applyFont="1" applyFill="1" applyBorder="1" applyAlignment="1">
      <alignment horizontal="left" vertical="top" wrapText="1"/>
    </xf>
    <xf numFmtId="3" fontId="5" fillId="2" borderId="17" xfId="0" applyNumberFormat="1" applyFont="1" applyFill="1" applyBorder="1" applyAlignment="1">
      <alignment horizontal="left" vertical="top" wrapText="1"/>
    </xf>
    <xf numFmtId="3" fontId="5" fillId="2" borderId="26" xfId="0" applyNumberFormat="1" applyFont="1" applyFill="1" applyBorder="1" applyAlignment="1">
      <alignment horizontal="left" vertical="top" wrapText="1"/>
    </xf>
    <xf numFmtId="3" fontId="3" fillId="2" borderId="72" xfId="0" applyNumberFormat="1" applyFont="1" applyFill="1" applyBorder="1" applyAlignment="1">
      <alignment horizontal="center" vertical="center" textRotation="90" wrapText="1"/>
    </xf>
    <xf numFmtId="3" fontId="3" fillId="2" borderId="39" xfId="0" applyNumberFormat="1" applyFont="1" applyFill="1" applyBorder="1" applyAlignment="1">
      <alignment horizontal="center" vertical="center" textRotation="90" wrapText="1"/>
    </xf>
    <xf numFmtId="3" fontId="3" fillId="2" borderId="75" xfId="0" applyNumberFormat="1" applyFont="1" applyFill="1" applyBorder="1" applyAlignment="1">
      <alignment horizontal="center" vertical="center" textRotation="90" wrapText="1"/>
    </xf>
    <xf numFmtId="3" fontId="5" fillId="0" borderId="62" xfId="0" applyNumberFormat="1" applyFont="1" applyBorder="1" applyAlignment="1">
      <alignment horizontal="center" vertical="top"/>
    </xf>
    <xf numFmtId="3" fontId="22" fillId="0" borderId="72" xfId="0" applyNumberFormat="1" applyFont="1" applyFill="1" applyBorder="1" applyAlignment="1">
      <alignment horizontal="center" vertical="center" textRotation="90" wrapText="1"/>
    </xf>
    <xf numFmtId="3" fontId="22" fillId="0" borderId="39" xfId="0" applyNumberFormat="1" applyFont="1" applyFill="1" applyBorder="1" applyAlignment="1">
      <alignment horizontal="center" vertical="center" textRotation="90" wrapText="1"/>
    </xf>
    <xf numFmtId="3" fontId="22" fillId="0" borderId="20" xfId="0" applyNumberFormat="1" applyFont="1" applyFill="1" applyBorder="1" applyAlignment="1">
      <alignment horizontal="center" vertical="center" textRotation="90" wrapText="1"/>
    </xf>
    <xf numFmtId="3" fontId="3" fillId="0" borderId="72" xfId="0" applyNumberFormat="1" applyFont="1" applyFill="1" applyBorder="1" applyAlignment="1">
      <alignment horizontal="center" vertical="center" textRotation="90" wrapText="1"/>
    </xf>
    <xf numFmtId="3" fontId="3" fillId="0" borderId="75" xfId="0" applyNumberFormat="1" applyFont="1" applyFill="1" applyBorder="1" applyAlignment="1">
      <alignment horizontal="center" vertical="center" textRotation="90" wrapText="1"/>
    </xf>
    <xf numFmtId="3" fontId="18" fillId="6" borderId="107" xfId="0" applyNumberFormat="1" applyFont="1" applyFill="1" applyBorder="1" applyAlignment="1">
      <alignment horizontal="left" vertical="top" wrapText="1"/>
    </xf>
    <xf numFmtId="3" fontId="0" fillId="0" borderId="26" xfId="0" applyNumberFormat="1" applyBorder="1" applyAlignment="1">
      <alignment horizontal="left" vertical="top" wrapText="1"/>
    </xf>
    <xf numFmtId="3" fontId="3" fillId="0" borderId="21" xfId="0" applyNumberFormat="1" applyFont="1" applyFill="1" applyBorder="1" applyAlignment="1">
      <alignment horizontal="left" vertical="top" wrapText="1"/>
    </xf>
    <xf numFmtId="0" fontId="0" fillId="0" borderId="17" xfId="0" applyBorder="1" applyAlignment="1">
      <alignment horizontal="left" vertical="top" wrapText="1"/>
    </xf>
    <xf numFmtId="0" fontId="34" fillId="0" borderId="0" xfId="0" applyFont="1" applyAlignment="1">
      <alignment horizontal="center" vertical="top"/>
    </xf>
    <xf numFmtId="3" fontId="35" fillId="0" borderId="0" xfId="0" applyNumberFormat="1" applyFont="1" applyAlignment="1">
      <alignment horizontal="center" vertical="top" wrapText="1"/>
    </xf>
    <xf numFmtId="3" fontId="3" fillId="0" borderId="30" xfId="0" applyNumberFormat="1" applyFont="1" applyBorder="1" applyAlignment="1">
      <alignment horizontal="right" vertical="top"/>
    </xf>
    <xf numFmtId="0" fontId="11" fillId="0" borderId="12" xfId="0" applyFont="1" applyBorder="1" applyAlignment="1">
      <alignment horizontal="center" vertical="center" textRotation="90" wrapText="1"/>
    </xf>
    <xf numFmtId="0" fontId="11" fillId="0" borderId="16" xfId="0" applyFont="1" applyBorder="1" applyAlignment="1">
      <alignment horizontal="center" vertical="center" textRotation="90" wrapText="1"/>
    </xf>
    <xf numFmtId="0" fontId="11" fillId="0" borderId="60" xfId="0" applyFont="1" applyBorder="1" applyAlignment="1">
      <alignment horizontal="center" vertical="center" textRotation="90" wrapText="1"/>
    </xf>
    <xf numFmtId="0" fontId="11" fillId="0" borderId="13" xfId="0" applyFont="1" applyBorder="1" applyAlignment="1">
      <alignment horizontal="center" vertical="center" textRotation="90"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2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47" xfId="0" applyFont="1" applyBorder="1" applyAlignment="1">
      <alignment horizontal="center" vertical="center" textRotation="90" wrapText="1"/>
    </xf>
    <xf numFmtId="0" fontId="11" fillId="0" borderId="50" xfId="0" applyFont="1" applyBorder="1" applyAlignment="1">
      <alignment horizontal="center" vertical="center" textRotation="90" wrapText="1"/>
    </xf>
    <xf numFmtId="0" fontId="11" fillId="0" borderId="62" xfId="0" applyFont="1" applyBorder="1" applyAlignment="1">
      <alignment horizontal="center" vertical="center" textRotation="90" wrapText="1"/>
    </xf>
    <xf numFmtId="0" fontId="11" fillId="0" borderId="6"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7" xfId="0" applyFont="1" applyBorder="1" applyAlignment="1">
      <alignment horizontal="center" vertical="center" wrapText="1"/>
    </xf>
    <xf numFmtId="3" fontId="11" fillId="0" borderId="45"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3" fontId="3" fillId="0" borderId="66" xfId="0" applyNumberFormat="1" applyFont="1" applyBorder="1" applyAlignment="1">
      <alignment horizontal="center" vertical="center" wrapText="1"/>
    </xf>
    <xf numFmtId="0" fontId="3" fillId="0" borderId="57" xfId="0" applyFont="1" applyBorder="1" applyAlignment="1">
      <alignment horizontal="center" vertical="center" textRotation="90"/>
    </xf>
    <xf numFmtId="0" fontId="3" fillId="0" borderId="35" xfId="0" applyFont="1" applyBorder="1" applyAlignment="1">
      <alignment horizontal="center" vertical="center" textRotation="90"/>
    </xf>
    <xf numFmtId="0" fontId="3" fillId="0" borderId="21" xfId="0" applyFont="1" applyBorder="1" applyAlignment="1">
      <alignment horizontal="center" vertical="center" textRotation="90"/>
    </xf>
    <xf numFmtId="0" fontId="3" fillId="0" borderId="26" xfId="0" applyFont="1" applyBorder="1" applyAlignment="1">
      <alignment horizontal="center" vertical="center" textRotation="90"/>
    </xf>
    <xf numFmtId="3" fontId="5" fillId="6" borderId="106" xfId="0" applyNumberFormat="1" applyFont="1" applyFill="1" applyBorder="1" applyAlignment="1">
      <alignment horizontal="center" vertical="top"/>
    </xf>
    <xf numFmtId="3" fontId="3" fillId="2" borderId="106" xfId="0" applyNumberFormat="1" applyFont="1" applyFill="1" applyBorder="1" applyAlignment="1">
      <alignment horizontal="left" vertical="top" wrapText="1"/>
    </xf>
    <xf numFmtId="3" fontId="3" fillId="0" borderId="119" xfId="0" applyNumberFormat="1" applyFont="1" applyFill="1" applyBorder="1" applyAlignment="1">
      <alignment horizontal="center" vertical="center" textRotation="90" wrapText="1"/>
    </xf>
    <xf numFmtId="3" fontId="3" fillId="6" borderId="21" xfId="0" applyNumberFormat="1" applyFont="1" applyFill="1" applyBorder="1" applyAlignment="1">
      <alignment horizontal="left" vertical="top" wrapText="1"/>
    </xf>
    <xf numFmtId="3" fontId="0" fillId="0" borderId="106" xfId="0" applyNumberFormat="1" applyBorder="1" applyAlignment="1">
      <alignment horizontal="left" vertical="top" wrapText="1"/>
    </xf>
    <xf numFmtId="3" fontId="5" fillId="0" borderId="29" xfId="0" applyNumberFormat="1" applyFont="1" applyBorder="1" applyAlignment="1">
      <alignment horizontal="center" vertical="top"/>
    </xf>
    <xf numFmtId="3" fontId="14" fillId="0" borderId="13" xfId="0" applyNumberFormat="1" applyFont="1" applyFill="1" applyBorder="1" applyAlignment="1">
      <alignment horizontal="left" vertical="top" wrapText="1"/>
    </xf>
    <xf numFmtId="3" fontId="14" fillId="0" borderId="34" xfId="0" applyNumberFormat="1" applyFont="1" applyFill="1" applyBorder="1" applyAlignment="1">
      <alignment horizontal="left" vertical="top" wrapText="1"/>
    </xf>
    <xf numFmtId="3" fontId="13" fillId="0" borderId="2" xfId="0" applyNumberFormat="1" applyFont="1" applyFill="1" applyBorder="1" applyAlignment="1">
      <alignment horizontal="left" vertical="top" wrapText="1"/>
    </xf>
    <xf numFmtId="3" fontId="0" fillId="0" borderId="2" xfId="0" applyNumberFormat="1" applyBorder="1" applyAlignment="1">
      <alignment horizontal="left" vertical="top" wrapText="1"/>
    </xf>
    <xf numFmtId="3" fontId="2" fillId="0" borderId="72" xfId="0" applyNumberFormat="1" applyFont="1" applyFill="1" applyBorder="1" applyAlignment="1">
      <alignment horizontal="center" vertical="center" textRotation="90" wrapText="1"/>
    </xf>
    <xf numFmtId="3" fontId="2" fillId="0" borderId="39" xfId="0" applyNumberFormat="1" applyFont="1" applyFill="1" applyBorder="1" applyAlignment="1">
      <alignment horizontal="center" vertical="center" textRotation="90" wrapText="1"/>
    </xf>
    <xf numFmtId="3" fontId="1" fillId="0" borderId="20" xfId="0" applyNumberFormat="1" applyFont="1" applyBorder="1" applyAlignment="1">
      <alignment horizontal="center" vertical="center" textRotation="90" wrapText="1"/>
    </xf>
    <xf numFmtId="3" fontId="3" fillId="2" borderId="28" xfId="0" applyNumberFormat="1" applyFont="1" applyFill="1" applyBorder="1" applyAlignment="1">
      <alignment horizontal="left" vertical="top" wrapText="1"/>
    </xf>
    <xf numFmtId="3" fontId="3" fillId="2" borderId="26" xfId="0" applyNumberFormat="1" applyFont="1" applyFill="1" applyBorder="1" applyAlignment="1">
      <alignment horizontal="left" vertical="top" wrapText="1"/>
    </xf>
    <xf numFmtId="3" fontId="3" fillId="0" borderId="41" xfId="0" applyNumberFormat="1" applyFont="1" applyFill="1" applyBorder="1" applyAlignment="1">
      <alignment horizontal="center" vertical="center" textRotation="90" wrapText="1"/>
    </xf>
    <xf numFmtId="3" fontId="3" fillId="0" borderId="30" xfId="0" applyNumberFormat="1" applyFont="1" applyFill="1" applyBorder="1" applyAlignment="1">
      <alignment horizontal="center" vertical="center" textRotation="90" wrapText="1"/>
    </xf>
    <xf numFmtId="3" fontId="3" fillId="0" borderId="1" xfId="0" applyNumberFormat="1" applyFont="1" applyFill="1" applyBorder="1" applyAlignment="1">
      <alignment horizontal="left" vertical="top" wrapText="1"/>
    </xf>
    <xf numFmtId="3" fontId="3" fillId="0" borderId="19" xfId="0" applyNumberFormat="1" applyFont="1" applyFill="1" applyBorder="1" applyAlignment="1">
      <alignment horizontal="left" vertical="top" wrapText="1"/>
    </xf>
    <xf numFmtId="3" fontId="3" fillId="0" borderId="33" xfId="0" applyNumberFormat="1" applyFont="1" applyFill="1" applyBorder="1" applyAlignment="1">
      <alignment horizontal="left" vertical="top" wrapText="1"/>
    </xf>
    <xf numFmtId="3" fontId="3" fillId="6" borderId="28" xfId="0" applyNumberFormat="1" applyFont="1" applyFill="1" applyBorder="1" applyAlignment="1">
      <alignment horizontal="left" vertical="top" wrapText="1"/>
    </xf>
    <xf numFmtId="3" fontId="0" fillId="6" borderId="26" xfId="0" applyNumberFormat="1" applyFill="1" applyBorder="1" applyAlignment="1">
      <alignment horizontal="left" vertical="top" wrapText="1"/>
    </xf>
    <xf numFmtId="3" fontId="5" fillId="0" borderId="0" xfId="0" applyNumberFormat="1" applyFont="1" applyFill="1" applyBorder="1" applyAlignment="1">
      <alignment horizontal="center" vertical="top" wrapText="1"/>
    </xf>
    <xf numFmtId="3" fontId="5" fillId="3" borderId="62" xfId="0" applyNumberFormat="1" applyFont="1" applyFill="1" applyBorder="1" applyAlignment="1">
      <alignment horizontal="right" vertical="top"/>
    </xf>
    <xf numFmtId="3" fontId="5" fillId="3" borderId="30" xfId="0" applyNumberFormat="1" applyFont="1" applyFill="1" applyBorder="1" applyAlignment="1">
      <alignment horizontal="right" vertical="top"/>
    </xf>
    <xf numFmtId="3" fontId="5" fillId="3" borderId="69" xfId="0" applyNumberFormat="1" applyFont="1" applyFill="1" applyBorder="1" applyAlignment="1">
      <alignment horizontal="right" vertical="top"/>
    </xf>
    <xf numFmtId="3" fontId="3" fillId="6" borderId="26" xfId="0" applyNumberFormat="1" applyFont="1" applyFill="1" applyBorder="1" applyAlignment="1">
      <alignment horizontal="left" vertical="top" wrapText="1"/>
    </xf>
    <xf numFmtId="0" fontId="0" fillId="6" borderId="26" xfId="0" applyFill="1" applyBorder="1" applyAlignment="1">
      <alignment horizontal="left" vertical="top" wrapText="1"/>
    </xf>
    <xf numFmtId="3" fontId="3" fillId="3" borderId="63" xfId="0" applyNumberFormat="1" applyFont="1" applyFill="1" applyBorder="1" applyAlignment="1">
      <alignment horizontal="center" vertical="top" wrapText="1"/>
    </xf>
    <xf numFmtId="3" fontId="3" fillId="3" borderId="68" xfId="0" applyNumberFormat="1" applyFont="1" applyFill="1" applyBorder="1" applyAlignment="1">
      <alignment horizontal="center" vertical="top" wrapText="1"/>
    </xf>
    <xf numFmtId="3" fontId="3" fillId="3" borderId="69" xfId="0" applyNumberFormat="1" applyFont="1" applyFill="1" applyBorder="1" applyAlignment="1">
      <alignment horizontal="center" vertical="top" wrapText="1"/>
    </xf>
    <xf numFmtId="3" fontId="5" fillId="5" borderId="35" xfId="0" applyNumberFormat="1" applyFont="1" applyFill="1" applyBorder="1" applyAlignment="1">
      <alignment horizontal="right" vertical="top" wrapText="1"/>
    </xf>
    <xf numFmtId="3" fontId="5" fillId="5" borderId="30" xfId="0" applyNumberFormat="1" applyFont="1" applyFill="1" applyBorder="1" applyAlignment="1">
      <alignment horizontal="right" vertical="top" wrapText="1"/>
    </xf>
    <xf numFmtId="3" fontId="5" fillId="5" borderId="36" xfId="0" applyNumberFormat="1" applyFont="1" applyFill="1" applyBorder="1" applyAlignment="1">
      <alignment horizontal="right" vertical="top" wrapText="1"/>
    </xf>
    <xf numFmtId="3" fontId="3" fillId="0" borderId="76" xfId="0" applyNumberFormat="1" applyFont="1" applyBorder="1" applyAlignment="1">
      <alignment horizontal="left" vertical="top" wrapText="1"/>
    </xf>
    <xf numFmtId="3" fontId="3" fillId="0" borderId="43" xfId="0" applyNumberFormat="1" applyFont="1" applyBorder="1" applyAlignment="1">
      <alignment horizontal="left" vertical="top" wrapText="1"/>
    </xf>
    <xf numFmtId="3" fontId="3" fillId="0" borderId="44" xfId="0" applyNumberFormat="1" applyFont="1" applyBorder="1" applyAlignment="1">
      <alignment horizontal="left" vertical="top" wrapText="1"/>
    </xf>
    <xf numFmtId="3" fontId="3" fillId="2" borderId="70" xfId="0" applyNumberFormat="1" applyFont="1" applyFill="1" applyBorder="1" applyAlignment="1">
      <alignment horizontal="left" vertical="top" wrapText="1"/>
    </xf>
    <xf numFmtId="3" fontId="3" fillId="2" borderId="49" xfId="0" applyNumberFormat="1" applyFont="1" applyFill="1" applyBorder="1" applyAlignment="1">
      <alignment horizontal="left" vertical="top" wrapText="1"/>
    </xf>
    <xf numFmtId="3" fontId="3" fillId="2" borderId="55" xfId="0" applyNumberFormat="1" applyFont="1" applyFill="1" applyBorder="1" applyAlignment="1">
      <alignment horizontal="left" vertical="top" wrapText="1"/>
    </xf>
    <xf numFmtId="3" fontId="5" fillId="4" borderId="76" xfId="0" applyNumberFormat="1" applyFont="1" applyFill="1" applyBorder="1" applyAlignment="1">
      <alignment horizontal="right" vertical="top" wrapText="1"/>
    </xf>
    <xf numFmtId="3" fontId="5" fillId="4" borderId="43" xfId="0" applyNumberFormat="1" applyFont="1" applyFill="1" applyBorder="1" applyAlignment="1">
      <alignment horizontal="right" vertical="top" wrapText="1"/>
    </xf>
    <xf numFmtId="3" fontId="5" fillId="4" borderId="44" xfId="0" applyNumberFormat="1" applyFont="1" applyFill="1" applyBorder="1" applyAlignment="1">
      <alignment horizontal="right" vertical="top" wrapText="1"/>
    </xf>
    <xf numFmtId="3" fontId="3" fillId="6" borderId="76" xfId="0" applyNumberFormat="1" applyFont="1" applyFill="1" applyBorder="1" applyAlignment="1">
      <alignment horizontal="left" vertical="top" wrapText="1"/>
    </xf>
    <xf numFmtId="3" fontId="3" fillId="6" borderId="43" xfId="0" applyNumberFormat="1" applyFont="1" applyFill="1" applyBorder="1" applyAlignment="1">
      <alignment horizontal="left" vertical="top" wrapText="1"/>
    </xf>
    <xf numFmtId="3" fontId="3" fillId="6" borderId="44" xfId="0" applyNumberFormat="1" applyFont="1" applyFill="1" applyBorder="1" applyAlignment="1">
      <alignment horizontal="left" vertical="top" wrapText="1"/>
    </xf>
    <xf numFmtId="3" fontId="5" fillId="4" borderId="78" xfId="0" applyNumberFormat="1" applyFont="1" applyFill="1" applyBorder="1" applyAlignment="1">
      <alignment horizontal="right" vertical="top" wrapText="1"/>
    </xf>
    <xf numFmtId="3" fontId="5" fillId="4" borderId="71" xfId="0" applyNumberFormat="1" applyFont="1" applyFill="1" applyBorder="1" applyAlignment="1">
      <alignment horizontal="right" vertical="top" wrapText="1"/>
    </xf>
    <xf numFmtId="3" fontId="5" fillId="4" borderId="65" xfId="0" applyNumberFormat="1" applyFont="1" applyFill="1" applyBorder="1" applyAlignment="1">
      <alignment horizontal="right" vertical="top" wrapText="1"/>
    </xf>
    <xf numFmtId="3" fontId="3" fillId="0" borderId="70" xfId="0" applyNumberFormat="1" applyFont="1" applyBorder="1" applyAlignment="1">
      <alignment horizontal="left" vertical="top" wrapText="1"/>
    </xf>
    <xf numFmtId="3" fontId="3" fillId="0" borderId="49" xfId="0" applyNumberFormat="1" applyFont="1" applyBorder="1" applyAlignment="1">
      <alignment horizontal="left" vertical="top" wrapText="1"/>
    </xf>
    <xf numFmtId="3" fontId="3" fillId="0" borderId="55" xfId="0" applyNumberFormat="1" applyFont="1" applyBorder="1" applyAlignment="1">
      <alignment horizontal="left" vertical="top" wrapText="1"/>
    </xf>
    <xf numFmtId="3" fontId="3" fillId="8" borderId="76" xfId="0" applyNumberFormat="1" applyFont="1" applyFill="1" applyBorder="1" applyAlignment="1">
      <alignment horizontal="left" vertical="top" wrapText="1"/>
    </xf>
    <xf numFmtId="3" fontId="3" fillId="8" borderId="43" xfId="0" applyNumberFormat="1" applyFont="1" applyFill="1" applyBorder="1" applyAlignment="1">
      <alignment horizontal="left" vertical="top" wrapText="1"/>
    </xf>
    <xf numFmtId="3" fontId="3" fillId="8" borderId="44" xfId="0" applyNumberFormat="1" applyFont="1" applyFill="1" applyBorder="1" applyAlignment="1">
      <alignment horizontal="left" vertical="top" wrapText="1"/>
    </xf>
    <xf numFmtId="3" fontId="0" fillId="0" borderId="43" xfId="0" applyNumberFormat="1" applyBorder="1" applyAlignment="1">
      <alignment horizontal="left" vertical="top" wrapText="1"/>
    </xf>
    <xf numFmtId="3" fontId="0" fillId="0" borderId="44" xfId="0" applyNumberFormat="1" applyBorder="1" applyAlignment="1">
      <alignment horizontal="left" vertical="top" wrapText="1"/>
    </xf>
    <xf numFmtId="3" fontId="5" fillId="8" borderId="76" xfId="0" applyNumberFormat="1" applyFont="1" applyFill="1" applyBorder="1" applyAlignment="1">
      <alignment horizontal="right" vertical="top" wrapText="1"/>
    </xf>
    <xf numFmtId="3" fontId="0" fillId="8" borderId="43" xfId="0" applyNumberFormat="1" applyFill="1" applyBorder="1" applyAlignment="1">
      <alignment horizontal="right" vertical="top" wrapText="1"/>
    </xf>
    <xf numFmtId="3" fontId="0" fillId="8" borderId="44" xfId="0" applyNumberFormat="1" applyFill="1" applyBorder="1" applyAlignment="1">
      <alignment horizontal="right" vertical="top" wrapText="1"/>
    </xf>
    <xf numFmtId="3" fontId="0" fillId="8" borderId="43" xfId="0" applyNumberFormat="1" applyFill="1" applyBorder="1" applyAlignment="1">
      <alignment horizontal="left" vertical="top" wrapText="1"/>
    </xf>
    <xf numFmtId="3" fontId="0" fillId="8" borderId="44" xfId="0" applyNumberFormat="1" applyFill="1" applyBorder="1" applyAlignment="1">
      <alignment horizontal="left" vertical="top" wrapText="1"/>
    </xf>
    <xf numFmtId="3" fontId="3" fillId="0" borderId="0" xfId="0" applyNumberFormat="1" applyFont="1" applyFill="1" applyBorder="1" applyAlignment="1">
      <alignment horizontal="center" vertical="center" textRotation="90" wrapText="1"/>
    </xf>
    <xf numFmtId="3" fontId="5" fillId="3" borderId="26" xfId="0" applyNumberFormat="1" applyFont="1" applyFill="1" applyBorder="1" applyAlignment="1">
      <alignment horizontal="center" vertical="top"/>
    </xf>
    <xf numFmtId="3" fontId="5" fillId="0" borderId="28" xfId="0" applyNumberFormat="1" applyFont="1" applyBorder="1" applyAlignment="1">
      <alignment horizontal="center" vertical="top"/>
    </xf>
    <xf numFmtId="3" fontId="5" fillId="0" borderId="17" xfId="0" applyNumberFormat="1" applyFont="1" applyBorder="1" applyAlignment="1">
      <alignment horizontal="center" vertical="top"/>
    </xf>
    <xf numFmtId="3" fontId="5" fillId="0" borderId="26" xfId="0" applyNumberFormat="1" applyFont="1" applyBorder="1" applyAlignment="1">
      <alignment horizontal="center" vertical="top"/>
    </xf>
    <xf numFmtId="3" fontId="3" fillId="2" borderId="28" xfId="0" applyNumberFormat="1" applyFont="1" applyFill="1" applyBorder="1" applyAlignment="1">
      <alignment vertical="top" wrapText="1"/>
    </xf>
    <xf numFmtId="3" fontId="3" fillId="2" borderId="17" xfId="0" applyNumberFormat="1" applyFont="1" applyFill="1" applyBorder="1" applyAlignment="1">
      <alignment vertical="top" wrapText="1"/>
    </xf>
    <xf numFmtId="3" fontId="3" fillId="2" borderId="26" xfId="0" applyNumberFormat="1" applyFont="1" applyFill="1" applyBorder="1" applyAlignment="1">
      <alignment vertical="top" wrapText="1"/>
    </xf>
    <xf numFmtId="3" fontId="5" fillId="0" borderId="27" xfId="0" applyNumberFormat="1" applyFont="1" applyBorder="1" applyAlignment="1">
      <alignment horizontal="center" vertical="top"/>
    </xf>
    <xf numFmtId="3" fontId="3" fillId="0" borderId="8" xfId="0" applyNumberFormat="1" applyFont="1" applyFill="1" applyBorder="1" applyAlignment="1">
      <alignment horizontal="left" vertical="top" wrapText="1"/>
    </xf>
    <xf numFmtId="3" fontId="3" fillId="0" borderId="10" xfId="0" applyNumberFormat="1" applyFont="1" applyFill="1" applyBorder="1" applyAlignment="1">
      <alignment horizontal="left" vertical="top" wrapText="1"/>
    </xf>
    <xf numFmtId="3" fontId="3" fillId="0" borderId="11" xfId="0" applyNumberFormat="1" applyFont="1" applyFill="1" applyBorder="1" applyAlignment="1">
      <alignment horizontal="left" vertical="top" wrapText="1"/>
    </xf>
    <xf numFmtId="3" fontId="5" fillId="0" borderId="63" xfId="0" applyNumberFormat="1" applyFont="1" applyBorder="1" applyAlignment="1">
      <alignment horizontal="center" vertical="center" wrapText="1"/>
    </xf>
    <xf numFmtId="3" fontId="5" fillId="0" borderId="68" xfId="0" applyNumberFormat="1" applyFont="1" applyBorder="1" applyAlignment="1">
      <alignment horizontal="center" vertical="center" wrapText="1"/>
    </xf>
    <xf numFmtId="3" fontId="5" fillId="0" borderId="69" xfId="0" applyNumberFormat="1" applyFont="1" applyBorder="1" applyAlignment="1">
      <alignment horizontal="center" vertical="center" wrapText="1"/>
    </xf>
    <xf numFmtId="3" fontId="5" fillId="3" borderId="79" xfId="0" applyNumberFormat="1" applyFont="1" applyFill="1" applyBorder="1" applyAlignment="1">
      <alignment horizontal="right" vertical="top"/>
    </xf>
    <xf numFmtId="3" fontId="5" fillId="3" borderId="68" xfId="0" applyNumberFormat="1" applyFont="1" applyFill="1" applyBorder="1" applyAlignment="1">
      <alignment horizontal="right" vertical="top"/>
    </xf>
    <xf numFmtId="3" fontId="5" fillId="3" borderId="79" xfId="0" applyNumberFormat="1" applyFont="1" applyFill="1" applyBorder="1" applyAlignment="1">
      <alignment horizontal="left" vertical="top" wrapText="1"/>
    </xf>
    <xf numFmtId="3" fontId="5" fillId="3" borderId="68" xfId="0" applyNumberFormat="1" applyFont="1" applyFill="1" applyBorder="1" applyAlignment="1">
      <alignment horizontal="left" vertical="top" wrapText="1"/>
    </xf>
    <xf numFmtId="3" fontId="5" fillId="3" borderId="69" xfId="0" applyNumberFormat="1" applyFont="1" applyFill="1" applyBorder="1" applyAlignment="1">
      <alignment horizontal="left" vertical="top" wrapText="1"/>
    </xf>
    <xf numFmtId="3" fontId="5" fillId="2" borderId="0" xfId="0" applyNumberFormat="1" applyFont="1" applyFill="1" applyBorder="1" applyAlignment="1">
      <alignment horizontal="center" vertical="top" wrapText="1"/>
    </xf>
    <xf numFmtId="3" fontId="5" fillId="2" borderId="30" xfId="0" applyNumberFormat="1" applyFont="1" applyFill="1" applyBorder="1" applyAlignment="1">
      <alignment horizontal="center" vertical="top" wrapText="1"/>
    </xf>
    <xf numFmtId="3" fontId="5" fillId="2" borderId="29" xfId="0" applyNumberFormat="1" applyFont="1" applyFill="1" applyBorder="1" applyAlignment="1">
      <alignment horizontal="center" vertical="top" wrapText="1"/>
    </xf>
    <xf numFmtId="3" fontId="5" fillId="2" borderId="19" xfId="0" applyNumberFormat="1" applyFont="1" applyFill="1" applyBorder="1" applyAlignment="1">
      <alignment horizontal="center" vertical="top" wrapText="1"/>
    </xf>
    <xf numFmtId="3" fontId="5" fillId="2" borderId="27" xfId="0" applyNumberFormat="1" applyFont="1" applyFill="1" applyBorder="1" applyAlignment="1">
      <alignment horizontal="center" vertical="top" wrapText="1"/>
    </xf>
    <xf numFmtId="3" fontId="5" fillId="11" borderId="79" xfId="0" applyNumberFormat="1" applyFont="1" applyFill="1" applyBorder="1" applyAlignment="1">
      <alignment horizontal="right" vertical="top"/>
    </xf>
    <xf numFmtId="3" fontId="5" fillId="11" borderId="68" xfId="0" applyNumberFormat="1" applyFont="1" applyFill="1" applyBorder="1" applyAlignment="1">
      <alignment horizontal="right" vertical="top"/>
    </xf>
    <xf numFmtId="3" fontId="5" fillId="11" borderId="69" xfId="0" applyNumberFormat="1" applyFont="1" applyFill="1" applyBorder="1" applyAlignment="1">
      <alignment horizontal="right" vertical="top"/>
    </xf>
    <xf numFmtId="3" fontId="3" fillId="11" borderId="63" xfId="0" applyNumberFormat="1" applyFont="1" applyFill="1" applyBorder="1" applyAlignment="1">
      <alignment horizontal="center" vertical="top"/>
    </xf>
    <xf numFmtId="3" fontId="3" fillId="11" borderId="68" xfId="0" applyNumberFormat="1" applyFont="1" applyFill="1" applyBorder="1" applyAlignment="1">
      <alignment horizontal="center" vertical="top"/>
    </xf>
    <xf numFmtId="3" fontId="3" fillId="11" borderId="69" xfId="0" applyNumberFormat="1" applyFont="1" applyFill="1" applyBorder="1" applyAlignment="1">
      <alignment horizontal="center" vertical="top"/>
    </xf>
    <xf numFmtId="3" fontId="5" fillId="4" borderId="79" xfId="0" applyNumberFormat="1" applyFont="1" applyFill="1" applyBorder="1" applyAlignment="1">
      <alignment horizontal="right" vertical="top"/>
    </xf>
    <xf numFmtId="3" fontId="5" fillId="4" borderId="68" xfId="0" applyNumberFormat="1" applyFont="1" applyFill="1" applyBorder="1" applyAlignment="1">
      <alignment horizontal="right" vertical="top"/>
    </xf>
    <xf numFmtId="3" fontId="5" fillId="4" borderId="69" xfId="0" applyNumberFormat="1" applyFont="1" applyFill="1" applyBorder="1" applyAlignment="1">
      <alignment horizontal="right" vertical="top"/>
    </xf>
    <xf numFmtId="3" fontId="3" fillId="4" borderId="63" xfId="0" applyNumberFormat="1" applyFont="1" applyFill="1" applyBorder="1" applyAlignment="1">
      <alignment horizontal="center" vertical="top"/>
    </xf>
    <xf numFmtId="3" fontId="3" fillId="4" borderId="68" xfId="0" applyNumberFormat="1" applyFont="1" applyFill="1" applyBorder="1" applyAlignment="1">
      <alignment horizontal="center" vertical="top"/>
    </xf>
    <xf numFmtId="3" fontId="3" fillId="4" borderId="69" xfId="0" applyNumberFormat="1" applyFont="1" applyFill="1" applyBorder="1" applyAlignment="1">
      <alignment horizontal="center" vertical="top"/>
    </xf>
    <xf numFmtId="3" fontId="5" fillId="6" borderId="17" xfId="0" applyNumberFormat="1" applyFont="1" applyFill="1" applyBorder="1" applyAlignment="1">
      <alignment horizontal="center" vertical="top" wrapText="1"/>
    </xf>
    <xf numFmtId="3" fontId="5" fillId="6" borderId="26" xfId="0" applyNumberFormat="1" applyFont="1" applyFill="1" applyBorder="1" applyAlignment="1">
      <alignment horizontal="center" vertical="top" wrapText="1"/>
    </xf>
    <xf numFmtId="3" fontId="5" fillId="0" borderId="39" xfId="0" applyNumberFormat="1" applyFont="1" applyFill="1" applyBorder="1" applyAlignment="1">
      <alignment horizontal="center" vertical="top" wrapText="1"/>
    </xf>
    <xf numFmtId="3" fontId="5" fillId="0" borderId="75" xfId="0" applyNumberFormat="1" applyFont="1" applyFill="1" applyBorder="1" applyAlignment="1">
      <alignment horizontal="center" vertical="top" wrapText="1"/>
    </xf>
    <xf numFmtId="3" fontId="5" fillId="11" borderId="10" xfId="0" applyNumberFormat="1" applyFont="1" applyFill="1" applyBorder="1" applyAlignment="1">
      <alignment horizontal="center" vertical="top" wrapText="1"/>
    </xf>
    <xf numFmtId="3" fontId="5" fillId="11" borderId="11" xfId="0" applyNumberFormat="1" applyFont="1" applyFill="1" applyBorder="1" applyAlignment="1">
      <alignment horizontal="center" vertical="top" wrapText="1"/>
    </xf>
    <xf numFmtId="49" fontId="3" fillId="0" borderId="41" xfId="0" applyNumberFormat="1" applyFont="1" applyFill="1" applyBorder="1" applyAlignment="1">
      <alignment horizontal="left" vertical="top"/>
    </xf>
    <xf numFmtId="3" fontId="3" fillId="0" borderId="21" xfId="0" applyNumberFormat="1" applyFont="1" applyFill="1" applyBorder="1" applyAlignment="1">
      <alignment vertical="top" wrapText="1"/>
    </xf>
    <xf numFmtId="3" fontId="7" fillId="0" borderId="26" xfId="0" applyNumberFormat="1" applyFont="1" applyBorder="1" applyAlignment="1">
      <alignment vertical="top" wrapText="1"/>
    </xf>
    <xf numFmtId="3" fontId="3" fillId="6" borderId="107" xfId="0" applyNumberFormat="1" applyFont="1" applyFill="1" applyBorder="1" applyAlignment="1">
      <alignment vertical="top" wrapText="1"/>
    </xf>
    <xf numFmtId="3" fontId="0" fillId="0" borderId="106" xfId="0" applyNumberFormat="1" applyBorder="1" applyAlignment="1">
      <alignment vertical="top" wrapText="1"/>
    </xf>
    <xf numFmtId="3" fontId="0" fillId="6" borderId="43" xfId="0" applyNumberFormat="1" applyFill="1" applyBorder="1" applyAlignment="1">
      <alignment horizontal="left" vertical="top" wrapText="1"/>
    </xf>
    <xf numFmtId="3" fontId="0" fillId="6" borderId="44" xfId="0" applyNumberFormat="1" applyFill="1" applyBorder="1" applyAlignment="1">
      <alignment horizontal="left" vertical="top" wrapText="1"/>
    </xf>
    <xf numFmtId="3" fontId="5" fillId="0" borderId="17" xfId="0" applyNumberFormat="1" applyFont="1" applyBorder="1" applyAlignment="1">
      <alignment horizontal="center" vertical="top" wrapText="1"/>
    </xf>
    <xf numFmtId="3" fontId="5" fillId="0" borderId="26" xfId="0" applyNumberFormat="1" applyFont="1" applyBorder="1" applyAlignment="1">
      <alignment horizontal="center" vertical="top" wrapText="1"/>
    </xf>
    <xf numFmtId="3" fontId="5" fillId="3" borderId="17" xfId="0" applyNumberFormat="1" applyFont="1" applyFill="1" applyBorder="1" applyAlignment="1">
      <alignment horizontal="center" vertical="top" wrapText="1"/>
    </xf>
    <xf numFmtId="3" fontId="5" fillId="3" borderId="26" xfId="0" applyNumberFormat="1" applyFont="1" applyFill="1" applyBorder="1" applyAlignment="1">
      <alignment horizontal="center" vertical="top" wrapText="1"/>
    </xf>
    <xf numFmtId="3" fontId="3" fillId="2" borderId="21" xfId="0" applyNumberFormat="1" applyFont="1" applyFill="1" applyBorder="1" applyAlignment="1">
      <alignment vertical="top" wrapText="1"/>
    </xf>
    <xf numFmtId="3" fontId="0" fillId="0" borderId="34" xfId="0" applyNumberFormat="1" applyBorder="1" applyAlignment="1">
      <alignment vertical="top" wrapText="1"/>
    </xf>
    <xf numFmtId="0" fontId="38" fillId="13" borderId="32" xfId="0" applyFont="1" applyFill="1" applyBorder="1" applyAlignment="1">
      <alignment vertical="top" wrapText="1"/>
    </xf>
    <xf numFmtId="0" fontId="24" fillId="13" borderId="49" xfId="0" applyFont="1" applyFill="1" applyBorder="1" applyAlignment="1">
      <alignment vertical="top" wrapText="1"/>
    </xf>
    <xf numFmtId="0" fontId="24" fillId="13" borderId="20" xfId="0" applyFont="1" applyFill="1" applyBorder="1" applyAlignment="1">
      <alignment vertical="top" wrapText="1"/>
    </xf>
    <xf numFmtId="0" fontId="3" fillId="13" borderId="34" xfId="0" applyFont="1" applyFill="1" applyBorder="1" applyAlignment="1">
      <alignment vertical="center" wrapText="1"/>
    </xf>
    <xf numFmtId="0" fontId="3" fillId="13" borderId="19" xfId="0" applyFont="1" applyFill="1" applyBorder="1" applyAlignment="1">
      <alignment horizontal="left" vertical="top" wrapText="1"/>
    </xf>
    <xf numFmtId="0" fontId="0" fillId="0" borderId="19" xfId="0" applyBorder="1" applyAlignment="1">
      <alignment horizontal="left" vertical="top" wrapText="1"/>
    </xf>
    <xf numFmtId="0" fontId="3" fillId="13" borderId="37" xfId="0" applyFont="1" applyFill="1" applyBorder="1" applyAlignment="1">
      <alignment horizontal="left" vertical="top" wrapText="1"/>
    </xf>
    <xf numFmtId="0" fontId="7" fillId="13" borderId="43" xfId="0" applyFont="1" applyFill="1" applyBorder="1" applyAlignment="1">
      <alignment horizontal="left" vertical="top" wrapText="1"/>
    </xf>
    <xf numFmtId="0" fontId="7" fillId="13" borderId="38" xfId="0" applyFont="1" applyFill="1" applyBorder="1" applyAlignment="1">
      <alignment horizontal="left" vertical="top" wrapText="1"/>
    </xf>
    <xf numFmtId="0" fontId="3" fillId="13" borderId="2" xfId="0" applyFont="1" applyFill="1" applyBorder="1" applyAlignment="1">
      <alignment vertical="center" wrapText="1"/>
    </xf>
    <xf numFmtId="3" fontId="3" fillId="0" borderId="27" xfId="0" applyNumberFormat="1" applyFont="1" applyFill="1" applyBorder="1" applyAlignment="1">
      <alignment horizontal="center" vertical="top" wrapText="1"/>
    </xf>
    <xf numFmtId="3" fontId="5" fillId="3" borderId="79" xfId="0" applyNumberFormat="1" applyFont="1" applyFill="1" applyBorder="1" applyAlignment="1">
      <alignment horizontal="left" vertical="top"/>
    </xf>
    <xf numFmtId="3" fontId="5" fillId="3" borderId="68" xfId="0" applyNumberFormat="1" applyFont="1" applyFill="1" applyBorder="1" applyAlignment="1">
      <alignment horizontal="left" vertical="top"/>
    </xf>
    <xf numFmtId="3" fontId="5" fillId="3" borderId="69" xfId="0" applyNumberFormat="1" applyFont="1" applyFill="1" applyBorder="1" applyAlignment="1">
      <alignment horizontal="left" vertical="top"/>
    </xf>
    <xf numFmtId="3" fontId="5" fillId="2" borderId="28" xfId="0" applyNumberFormat="1" applyFont="1" applyFill="1" applyBorder="1" applyAlignment="1">
      <alignment vertical="top" wrapText="1"/>
    </xf>
    <xf numFmtId="3" fontId="24" fillId="0" borderId="34" xfId="0" applyNumberFormat="1" applyFont="1" applyBorder="1" applyAlignment="1">
      <alignment vertical="top" wrapText="1"/>
    </xf>
    <xf numFmtId="3" fontId="3" fillId="2" borderId="34" xfId="0" applyNumberFormat="1" applyFont="1" applyFill="1" applyBorder="1" applyAlignment="1">
      <alignment vertical="top" wrapText="1"/>
    </xf>
    <xf numFmtId="3" fontId="3" fillId="2" borderId="8" xfId="0" applyNumberFormat="1" applyFont="1" applyFill="1" applyBorder="1" applyAlignment="1">
      <alignment horizontal="left" vertical="top" wrapText="1"/>
    </xf>
    <xf numFmtId="3" fontId="0" fillId="0" borderId="104" xfId="0" applyNumberFormat="1" applyBorder="1" applyAlignment="1">
      <alignment horizontal="left" vertical="top" wrapText="1"/>
    </xf>
    <xf numFmtId="3" fontId="7" fillId="0" borderId="34" xfId="0" applyNumberFormat="1" applyFont="1" applyBorder="1" applyAlignment="1">
      <alignment horizontal="left" vertical="top" wrapText="1"/>
    </xf>
    <xf numFmtId="3" fontId="5" fillId="0" borderId="8" xfId="0" applyNumberFormat="1" applyFont="1" applyFill="1" applyBorder="1" applyAlignment="1">
      <alignment vertical="top" wrapText="1"/>
    </xf>
    <xf numFmtId="3" fontId="0" fillId="0" borderId="31" xfId="0" applyNumberFormat="1" applyBorder="1" applyAlignment="1">
      <alignment vertical="top" wrapText="1"/>
    </xf>
    <xf numFmtId="3" fontId="3" fillId="0" borderId="31" xfId="0" applyNumberFormat="1" applyFont="1" applyFill="1" applyBorder="1" applyAlignment="1">
      <alignment horizontal="left" vertical="top" wrapText="1"/>
    </xf>
    <xf numFmtId="0" fontId="3" fillId="0" borderId="76" xfId="0" applyFont="1" applyBorder="1" applyAlignment="1">
      <alignment horizontal="left" vertical="top" wrapText="1"/>
    </xf>
    <xf numFmtId="0" fontId="3" fillId="0" borderId="43" xfId="0" applyFont="1" applyBorder="1" applyAlignment="1">
      <alignment horizontal="left" vertical="top" wrapText="1"/>
    </xf>
    <xf numFmtId="0" fontId="3" fillId="0" borderId="44" xfId="0" applyFont="1" applyBorder="1" applyAlignment="1">
      <alignment horizontal="left" vertical="top" wrapText="1"/>
    </xf>
    <xf numFmtId="0" fontId="5" fillId="5" borderId="35" xfId="0" applyFont="1" applyFill="1" applyBorder="1" applyAlignment="1">
      <alignment horizontal="right" vertical="top" wrapText="1"/>
    </xf>
    <xf numFmtId="0" fontId="5" fillId="5" borderId="30" xfId="0" applyFont="1" applyFill="1" applyBorder="1" applyAlignment="1">
      <alignment horizontal="right" vertical="top" wrapText="1"/>
    </xf>
    <xf numFmtId="0" fontId="5" fillId="5" borderId="36" xfId="0" applyFont="1" applyFill="1" applyBorder="1" applyAlignment="1">
      <alignment horizontal="right" vertical="top" wrapText="1"/>
    </xf>
    <xf numFmtId="49" fontId="5" fillId="3" borderId="79" xfId="0" applyNumberFormat="1" applyFont="1" applyFill="1" applyBorder="1" applyAlignment="1">
      <alignment horizontal="right" vertical="top"/>
    </xf>
    <xf numFmtId="49" fontId="5" fillId="3" borderId="68" xfId="0" applyNumberFormat="1" applyFont="1" applyFill="1" applyBorder="1" applyAlignment="1">
      <alignment horizontal="right" vertical="top"/>
    </xf>
    <xf numFmtId="49" fontId="5" fillId="3" borderId="69" xfId="0" applyNumberFormat="1" applyFont="1" applyFill="1" applyBorder="1" applyAlignment="1">
      <alignment horizontal="right" vertical="top"/>
    </xf>
    <xf numFmtId="0" fontId="5" fillId="3" borderId="79" xfId="0" applyFont="1" applyFill="1" applyBorder="1" applyAlignment="1">
      <alignment horizontal="left" vertical="top" wrapText="1"/>
    </xf>
    <xf numFmtId="0" fontId="5" fillId="3" borderId="68" xfId="0" applyFont="1" applyFill="1" applyBorder="1" applyAlignment="1">
      <alignment horizontal="left" vertical="top" wrapText="1"/>
    </xf>
    <xf numFmtId="0" fontId="5" fillId="3" borderId="41" xfId="0" applyFont="1" applyFill="1" applyBorder="1" applyAlignment="1">
      <alignment horizontal="left" vertical="top" wrapText="1"/>
    </xf>
    <xf numFmtId="0" fontId="5" fillId="3" borderId="69" xfId="0" applyFont="1" applyFill="1" applyBorder="1" applyAlignment="1">
      <alignment horizontal="left" vertical="top" wrapText="1"/>
    </xf>
    <xf numFmtId="0" fontId="5" fillId="2" borderId="54" xfId="0" applyFont="1" applyFill="1" applyBorder="1" applyAlignment="1">
      <alignment horizontal="center" vertical="top" wrapText="1"/>
    </xf>
    <xf numFmtId="0" fontId="5" fillId="2" borderId="53" xfId="0" applyFont="1" applyFill="1" applyBorder="1" applyAlignment="1">
      <alignment horizontal="center" vertical="top" wrapText="1"/>
    </xf>
    <xf numFmtId="0" fontId="5" fillId="2" borderId="36" xfId="0" applyFont="1" applyFill="1" applyBorder="1" applyAlignment="1">
      <alignment horizontal="center" vertical="top" wrapText="1"/>
    </xf>
    <xf numFmtId="0" fontId="3" fillId="2" borderId="9" xfId="0" applyFont="1" applyFill="1" applyBorder="1" applyAlignment="1">
      <alignment horizontal="center" vertical="top" wrapText="1"/>
    </xf>
    <xf numFmtId="49" fontId="5" fillId="11" borderId="10" xfId="0" applyNumberFormat="1" applyFont="1" applyFill="1" applyBorder="1" applyAlignment="1">
      <alignment horizontal="center" vertical="top" wrapText="1"/>
    </xf>
    <xf numFmtId="49" fontId="5" fillId="11" borderId="11" xfId="0" applyNumberFormat="1" applyFont="1" applyFill="1" applyBorder="1" applyAlignment="1">
      <alignment horizontal="center" vertical="top" wrapText="1"/>
    </xf>
    <xf numFmtId="49" fontId="5" fillId="3" borderId="17"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wrapText="1"/>
    </xf>
    <xf numFmtId="49" fontId="5" fillId="0" borderId="17" xfId="0" applyNumberFormat="1" applyFont="1" applyBorder="1" applyAlignment="1">
      <alignment horizontal="center" vertical="top" wrapText="1"/>
    </xf>
    <xf numFmtId="49" fontId="5" fillId="0" borderId="26" xfId="0" applyNumberFormat="1" applyFont="1" applyBorder="1" applyAlignment="1">
      <alignment horizontal="center" vertical="top" wrapText="1"/>
    </xf>
    <xf numFmtId="49" fontId="3" fillId="2" borderId="42" xfId="0" applyNumberFormat="1" applyFont="1" applyFill="1" applyBorder="1" applyAlignment="1">
      <alignment horizontal="center" vertical="top" wrapText="1"/>
    </xf>
    <xf numFmtId="49" fontId="3" fillId="2" borderId="30" xfId="0" applyNumberFormat="1" applyFont="1" applyFill="1" applyBorder="1" applyAlignment="1">
      <alignment horizontal="center" vertical="top" wrapText="1"/>
    </xf>
    <xf numFmtId="0" fontId="3" fillId="2" borderId="48" xfId="0" applyFont="1" applyFill="1" applyBorder="1" applyAlignment="1">
      <alignment horizontal="left" vertical="top" wrapText="1"/>
    </xf>
    <xf numFmtId="0" fontId="3" fillId="2" borderId="62" xfId="0" applyFont="1" applyFill="1"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5" fillId="8" borderId="76" xfId="0" applyFont="1" applyFill="1" applyBorder="1" applyAlignment="1">
      <alignment horizontal="right" vertical="top" wrapText="1"/>
    </xf>
    <xf numFmtId="0" fontId="0" fillId="8" borderId="43" xfId="0" applyFill="1" applyBorder="1" applyAlignment="1">
      <alignment horizontal="right" vertical="top" wrapText="1"/>
    </xf>
    <xf numFmtId="0" fontId="0" fillId="0" borderId="43" xfId="0" applyBorder="1" applyAlignment="1">
      <alignment horizontal="right" vertical="top" wrapText="1"/>
    </xf>
    <xf numFmtId="0" fontId="0" fillId="0" borderId="44" xfId="0" applyBorder="1" applyAlignment="1">
      <alignment horizontal="right" vertical="top" wrapText="1"/>
    </xf>
    <xf numFmtId="0" fontId="3" fillId="8" borderId="76" xfId="0" applyFont="1" applyFill="1" applyBorder="1" applyAlignment="1">
      <alignment horizontal="left" vertical="top" wrapText="1"/>
    </xf>
    <xf numFmtId="0" fontId="0" fillId="8" borderId="43" xfId="0" applyFill="1" applyBorder="1" applyAlignment="1">
      <alignment horizontal="left" vertical="top" wrapText="1"/>
    </xf>
    <xf numFmtId="0" fontId="0" fillId="8" borderId="44" xfId="0" applyFill="1" applyBorder="1" applyAlignment="1">
      <alignment horizontal="left" vertical="top" wrapText="1"/>
    </xf>
    <xf numFmtId="0" fontId="5" fillId="4" borderId="76" xfId="0" applyFont="1" applyFill="1" applyBorder="1" applyAlignment="1">
      <alignment horizontal="right" vertical="top" wrapText="1"/>
    </xf>
    <xf numFmtId="0" fontId="5" fillId="4" borderId="43" xfId="0" applyFont="1" applyFill="1" applyBorder="1" applyAlignment="1">
      <alignment horizontal="right" vertical="top" wrapText="1"/>
    </xf>
    <xf numFmtId="0" fontId="5" fillId="4" borderId="44" xfId="0" applyFont="1" applyFill="1" applyBorder="1" applyAlignment="1">
      <alignment horizontal="right" vertical="top" wrapText="1"/>
    </xf>
    <xf numFmtId="0" fontId="3" fillId="8" borderId="43" xfId="0" applyFont="1" applyFill="1" applyBorder="1" applyAlignment="1">
      <alignment horizontal="left" vertical="top" wrapText="1"/>
    </xf>
    <xf numFmtId="0" fontId="3" fillId="8" borderId="44" xfId="0" applyFont="1" applyFill="1" applyBorder="1" applyAlignment="1">
      <alignment horizontal="left" vertical="top" wrapText="1"/>
    </xf>
    <xf numFmtId="0" fontId="3" fillId="2" borderId="70"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2" borderId="55" xfId="0" applyFont="1" applyFill="1" applyBorder="1" applyAlignment="1">
      <alignment horizontal="left" vertical="top" wrapText="1"/>
    </xf>
    <xf numFmtId="0" fontId="3" fillId="2" borderId="76"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0" borderId="70" xfId="0" applyFont="1" applyBorder="1" applyAlignment="1">
      <alignment horizontal="left" vertical="top" wrapText="1"/>
    </xf>
    <xf numFmtId="0" fontId="3" fillId="0" borderId="49" xfId="0" applyFont="1" applyBorder="1" applyAlignment="1">
      <alignment horizontal="left" vertical="top" wrapText="1"/>
    </xf>
    <xf numFmtId="0" fontId="3" fillId="0" borderId="55" xfId="0" applyFont="1" applyBorder="1" applyAlignment="1">
      <alignment horizontal="left" vertical="top" wrapText="1"/>
    </xf>
    <xf numFmtId="0" fontId="3" fillId="3" borderId="63" xfId="0" applyFont="1" applyFill="1" applyBorder="1" applyAlignment="1">
      <alignment horizontal="center" vertical="top" wrapText="1"/>
    </xf>
    <xf numFmtId="0" fontId="3" fillId="3" borderId="69" xfId="0" applyFont="1" applyFill="1" applyBorder="1" applyAlignment="1">
      <alignment horizontal="center" vertical="top" wrapText="1"/>
    </xf>
    <xf numFmtId="49" fontId="5" fillId="11" borderId="10" xfId="0" applyNumberFormat="1" applyFont="1" applyFill="1" applyBorder="1" applyAlignment="1">
      <alignment horizontal="center" vertical="top"/>
    </xf>
    <xf numFmtId="49" fontId="5" fillId="11" borderId="11" xfId="0" applyNumberFormat="1" applyFont="1" applyFill="1" applyBorder="1" applyAlignment="1">
      <alignment horizontal="center" vertical="top"/>
    </xf>
    <xf numFmtId="49" fontId="5" fillId="3" borderId="17"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3" fillId="0" borderId="17" xfId="0" applyNumberFormat="1" applyFont="1" applyBorder="1" applyAlignment="1">
      <alignment horizontal="center" vertical="top" wrapText="1"/>
    </xf>
    <xf numFmtId="49" fontId="3" fillId="0" borderId="26" xfId="0" applyNumberFormat="1" applyFont="1" applyBorder="1" applyAlignment="1">
      <alignment horizontal="center" vertical="top" wrapText="1"/>
    </xf>
    <xf numFmtId="0" fontId="3" fillId="2" borderId="19" xfId="0" applyFont="1" applyFill="1" applyBorder="1" applyAlignment="1">
      <alignment horizontal="left" vertical="top" wrapText="1"/>
    </xf>
    <xf numFmtId="0" fontId="3" fillId="2" borderId="27" xfId="0" applyFont="1" applyFill="1" applyBorder="1" applyAlignment="1">
      <alignment horizontal="left" vertical="top" wrapText="1"/>
    </xf>
    <xf numFmtId="0" fontId="5" fillId="0" borderId="10" xfId="0" applyFont="1" applyFill="1" applyBorder="1" applyAlignment="1">
      <alignment horizontal="center" vertical="top" wrapText="1"/>
    </xf>
    <xf numFmtId="0" fontId="5" fillId="0" borderId="11" xfId="0" applyFont="1" applyFill="1" applyBorder="1" applyAlignment="1">
      <alignment horizontal="center" vertical="top" wrapText="1"/>
    </xf>
    <xf numFmtId="49" fontId="2" fillId="0" borderId="28" xfId="0" applyNumberFormat="1" applyFont="1" applyBorder="1" applyAlignment="1">
      <alignment horizontal="center" vertical="center" textRotation="90" wrapText="1"/>
    </xf>
    <xf numFmtId="49" fontId="2" fillId="0" borderId="17" xfId="0" applyNumberFormat="1" applyFont="1" applyBorder="1" applyAlignment="1">
      <alignment horizontal="center" vertical="center" textRotation="90" wrapText="1"/>
    </xf>
    <xf numFmtId="49" fontId="2" fillId="0" borderId="26" xfId="0" applyNumberFormat="1" applyFont="1" applyBorder="1" applyAlignment="1">
      <alignment horizontal="center" vertical="center" textRotation="90" wrapText="1"/>
    </xf>
    <xf numFmtId="49" fontId="5" fillId="0" borderId="19" xfId="0" applyNumberFormat="1" applyFont="1" applyBorder="1" applyAlignment="1">
      <alignment horizontal="center" vertical="top"/>
    </xf>
    <xf numFmtId="49" fontId="5" fillId="0" borderId="27" xfId="0" applyNumberFormat="1" applyFont="1" applyBorder="1" applyAlignment="1">
      <alignment horizontal="center" vertical="top"/>
    </xf>
    <xf numFmtId="49" fontId="3" fillId="6" borderId="46" xfId="0" applyNumberFormat="1" applyFont="1" applyFill="1" applyBorder="1" applyAlignment="1">
      <alignment horizontal="center" vertical="center" wrapText="1"/>
    </xf>
    <xf numFmtId="49" fontId="3" fillId="6" borderId="9" xfId="0" applyNumberFormat="1" applyFont="1" applyFill="1" applyBorder="1" applyAlignment="1">
      <alignment horizontal="center" vertical="center" wrapText="1"/>
    </xf>
    <xf numFmtId="0" fontId="0" fillId="0" borderId="66" xfId="0" applyBorder="1" applyAlignment="1">
      <alignment horizontal="center" wrapText="1"/>
    </xf>
    <xf numFmtId="49" fontId="5" fillId="0" borderId="50" xfId="0" applyNumberFormat="1" applyFont="1" applyFill="1" applyBorder="1" applyAlignment="1">
      <alignment horizontal="center" vertical="top" wrapText="1"/>
    </xf>
    <xf numFmtId="49" fontId="5" fillId="0" borderId="62" xfId="0" applyNumberFormat="1" applyFont="1" applyFill="1" applyBorder="1" applyAlignment="1">
      <alignment horizontal="center" vertical="top" wrapText="1"/>
    </xf>
    <xf numFmtId="0" fontId="0" fillId="0" borderId="50" xfId="0" applyBorder="1" applyAlignment="1">
      <alignment vertical="top"/>
    </xf>
    <xf numFmtId="0" fontId="0" fillId="0" borderId="62" xfId="0" applyBorder="1" applyAlignment="1">
      <alignment vertical="top"/>
    </xf>
    <xf numFmtId="0" fontId="3" fillId="0" borderId="40" xfId="0" applyFont="1" applyFill="1" applyBorder="1" applyAlignment="1">
      <alignment horizontal="center" vertical="center" textRotation="90" wrapText="1"/>
    </xf>
    <xf numFmtId="0" fontId="3" fillId="0" borderId="35" xfId="0" applyFont="1" applyFill="1" applyBorder="1" applyAlignment="1">
      <alignment horizontal="center" vertical="center" textRotation="90" wrapText="1"/>
    </xf>
    <xf numFmtId="49" fontId="2" fillId="6" borderId="28" xfId="0" applyNumberFormat="1" applyFont="1" applyFill="1" applyBorder="1" applyAlignment="1">
      <alignment horizontal="center" vertical="center" textRotation="90" wrapText="1"/>
    </xf>
    <xf numFmtId="0" fontId="0" fillId="0" borderId="26" xfId="0" applyBorder="1" applyAlignment="1">
      <alignment horizontal="center" vertical="center" textRotation="90" wrapText="1"/>
    </xf>
    <xf numFmtId="49" fontId="5" fillId="0" borderId="19" xfId="0" applyNumberFormat="1" applyFont="1" applyBorder="1" applyAlignment="1">
      <alignment horizontal="center" vertical="top" wrapText="1"/>
    </xf>
    <xf numFmtId="49" fontId="5" fillId="0" borderId="27" xfId="0" applyNumberFormat="1" applyFont="1" applyBorder="1" applyAlignment="1">
      <alignment horizontal="center" vertical="top" wrapText="1"/>
    </xf>
    <xf numFmtId="49" fontId="5" fillId="11" borderId="8"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0" borderId="28" xfId="0" applyNumberFormat="1" applyFont="1" applyBorder="1" applyAlignment="1">
      <alignment horizontal="center" vertical="top"/>
    </xf>
    <xf numFmtId="49" fontId="5" fillId="0" borderId="26" xfId="0" applyNumberFormat="1" applyFont="1" applyBorder="1" applyAlignment="1">
      <alignment horizontal="center" vertical="top"/>
    </xf>
    <xf numFmtId="0" fontId="3" fillId="2" borderId="29" xfId="0" applyFont="1" applyFill="1" applyBorder="1" applyAlignment="1">
      <alignment vertical="top" wrapText="1"/>
    </xf>
    <xf numFmtId="0" fontId="3" fillId="2" borderId="27" xfId="0" applyFont="1" applyFill="1" applyBorder="1" applyAlignment="1">
      <alignment vertical="top" wrapText="1"/>
    </xf>
    <xf numFmtId="0" fontId="3" fillId="0" borderId="77" xfId="0" applyFont="1" applyFill="1" applyBorder="1" applyAlignment="1">
      <alignment horizontal="center" vertical="center" textRotation="90" wrapText="1"/>
    </xf>
    <xf numFmtId="49" fontId="2" fillId="6" borderId="21" xfId="0" applyNumberFormat="1" applyFont="1" applyFill="1" applyBorder="1" applyAlignment="1">
      <alignment horizontal="center" vertical="top" textRotation="90" wrapText="1"/>
    </xf>
    <xf numFmtId="0" fontId="2" fillId="6" borderId="34" xfId="0" applyFont="1" applyFill="1" applyBorder="1" applyAlignment="1">
      <alignment horizontal="center" vertical="top" textRotation="90" wrapText="1"/>
    </xf>
    <xf numFmtId="49" fontId="5" fillId="0" borderId="47" xfId="0" applyNumberFormat="1" applyFont="1" applyBorder="1" applyAlignment="1">
      <alignment horizontal="center" vertical="top"/>
    </xf>
    <xf numFmtId="49" fontId="5" fillId="0" borderId="62" xfId="0" applyNumberFormat="1" applyFont="1" applyBorder="1" applyAlignment="1">
      <alignment horizontal="center" vertical="top"/>
    </xf>
    <xf numFmtId="49" fontId="3" fillId="0" borderId="46" xfId="0" applyNumberFormat="1" applyFont="1" applyBorder="1" applyAlignment="1">
      <alignment horizontal="center" vertical="center" wrapText="1"/>
    </xf>
    <xf numFmtId="49" fontId="3" fillId="0" borderId="66" xfId="0" applyNumberFormat="1" applyFont="1" applyBorder="1" applyAlignment="1">
      <alignment horizontal="center" vertical="center" wrapText="1"/>
    </xf>
    <xf numFmtId="49" fontId="5" fillId="0" borderId="17" xfId="0" applyNumberFormat="1" applyFont="1" applyBorder="1" applyAlignment="1">
      <alignment horizontal="center" vertical="top"/>
    </xf>
    <xf numFmtId="0" fontId="3" fillId="2" borderId="19" xfId="0" applyFont="1" applyFill="1" applyBorder="1" applyAlignment="1">
      <alignment vertical="top" wrapText="1"/>
    </xf>
    <xf numFmtId="49" fontId="5" fillId="0" borderId="50" xfId="0" applyNumberFormat="1" applyFont="1" applyBorder="1" applyAlignment="1">
      <alignment horizontal="center" vertical="top"/>
    </xf>
    <xf numFmtId="49" fontId="3" fillId="0" borderId="9" xfId="0" applyNumberFormat="1" applyFont="1" applyBorder="1" applyAlignment="1">
      <alignment horizontal="center" vertical="center" wrapText="1"/>
    </xf>
    <xf numFmtId="49" fontId="5" fillId="10" borderId="28" xfId="0" applyNumberFormat="1" applyFont="1" applyFill="1" applyBorder="1" applyAlignment="1">
      <alignment horizontal="center" vertical="top"/>
    </xf>
    <xf numFmtId="49" fontId="5" fillId="10" borderId="17" xfId="0" applyNumberFormat="1" applyFont="1" applyFill="1" applyBorder="1" applyAlignment="1">
      <alignment horizontal="center" vertical="top"/>
    </xf>
    <xf numFmtId="0" fontId="3" fillId="2" borderId="33" xfId="0" applyFont="1" applyFill="1" applyBorder="1" applyAlignment="1">
      <alignment vertical="top" wrapText="1"/>
    </xf>
    <xf numFmtId="49" fontId="2" fillId="0" borderId="21" xfId="0" applyNumberFormat="1" applyFont="1" applyBorder="1" applyAlignment="1">
      <alignment horizontal="center" vertical="center" textRotation="90" wrapText="1"/>
    </xf>
    <xf numFmtId="0" fontId="1" fillId="0" borderId="17"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49" fontId="3" fillId="0" borderId="9" xfId="0" applyNumberFormat="1" applyFont="1" applyBorder="1" applyAlignment="1">
      <alignment horizontal="center" vertical="top" wrapText="1"/>
    </xf>
    <xf numFmtId="0" fontId="0" fillId="0" borderId="9" xfId="0" applyBorder="1" applyAlignment="1">
      <alignment horizontal="center" vertical="top" wrapText="1"/>
    </xf>
    <xf numFmtId="0" fontId="0" fillId="0" borderId="24" xfId="0" applyBorder="1" applyAlignment="1">
      <alignment horizontal="center" vertical="top" wrapText="1"/>
    </xf>
    <xf numFmtId="0" fontId="3" fillId="2" borderId="1" xfId="0" applyFont="1" applyFill="1" applyBorder="1" applyAlignment="1">
      <alignment vertical="top" wrapText="1"/>
    </xf>
    <xf numFmtId="0" fontId="0" fillId="0" borderId="33" xfId="0" applyBorder="1" applyAlignment="1">
      <alignment vertical="top" wrapText="1"/>
    </xf>
    <xf numFmtId="49" fontId="2" fillId="0" borderId="21" xfId="0" applyNumberFormat="1" applyFont="1" applyBorder="1" applyAlignment="1">
      <alignment horizontal="center" vertical="top" textRotation="90" wrapText="1"/>
    </xf>
    <xf numFmtId="0" fontId="2" fillId="0" borderId="34" xfId="0" applyFont="1" applyBorder="1" applyAlignment="1">
      <alignment horizontal="center" vertical="top" textRotation="90" wrapText="1"/>
    </xf>
    <xf numFmtId="0" fontId="0" fillId="6" borderId="9" xfId="0" applyFill="1" applyBorder="1" applyAlignment="1">
      <alignment horizontal="center" vertical="center" wrapText="1"/>
    </xf>
    <xf numFmtId="0" fontId="5" fillId="10" borderId="30" xfId="0" applyFont="1" applyFill="1" applyBorder="1" applyAlignment="1">
      <alignment horizontal="right" vertical="top"/>
    </xf>
    <xf numFmtId="0" fontId="7" fillId="10" borderId="36" xfId="0" applyFont="1" applyFill="1" applyBorder="1" applyAlignment="1">
      <alignment horizontal="right" vertical="top"/>
    </xf>
    <xf numFmtId="0" fontId="3" fillId="10" borderId="35" xfId="0" applyFont="1" applyFill="1" applyBorder="1" applyAlignment="1">
      <alignment horizontal="center" vertical="top" wrapText="1"/>
    </xf>
    <xf numFmtId="0" fontId="3" fillId="10" borderId="36" xfId="0" applyFont="1" applyFill="1" applyBorder="1" applyAlignment="1">
      <alignment horizontal="center" vertical="top" wrapText="1"/>
    </xf>
    <xf numFmtId="49" fontId="5" fillId="3" borderId="47" xfId="0" applyNumberFormat="1" applyFont="1" applyFill="1" applyBorder="1" applyAlignment="1">
      <alignment horizontal="center" vertical="top"/>
    </xf>
    <xf numFmtId="49" fontId="5" fillId="3" borderId="62" xfId="0" applyNumberFormat="1" applyFont="1" applyFill="1" applyBorder="1" applyAlignment="1">
      <alignment horizontal="center" vertical="top"/>
    </xf>
    <xf numFmtId="49" fontId="5" fillId="6" borderId="28"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49" fontId="5" fillId="0" borderId="72" xfId="0" applyNumberFormat="1" applyFont="1" applyBorder="1" applyAlignment="1">
      <alignment horizontal="center" vertical="top"/>
    </xf>
    <xf numFmtId="49" fontId="5" fillId="0" borderId="75" xfId="0" applyNumberFormat="1" applyFont="1" applyBorder="1" applyAlignment="1">
      <alignment horizontal="center" vertical="top"/>
    </xf>
    <xf numFmtId="0" fontId="3" fillId="2" borderId="47" xfId="0" applyFont="1" applyFill="1" applyBorder="1" applyAlignment="1">
      <alignment horizontal="left" vertical="top" wrapText="1"/>
    </xf>
    <xf numFmtId="49" fontId="2" fillId="0" borderId="28" xfId="0" applyNumberFormat="1" applyFont="1" applyBorder="1" applyAlignment="1">
      <alignment horizontal="center" vertical="top" textRotation="90" wrapText="1"/>
    </xf>
    <xf numFmtId="49" fontId="2" fillId="0" borderId="26" xfId="0" applyNumberFormat="1" applyFont="1" applyBorder="1" applyAlignment="1">
      <alignment horizontal="center" vertical="top" textRotation="90" wrapText="1"/>
    </xf>
    <xf numFmtId="49" fontId="3" fillId="0" borderId="46" xfId="0" applyNumberFormat="1" applyFont="1" applyBorder="1" applyAlignment="1">
      <alignment horizontal="center" vertical="top" wrapText="1"/>
    </xf>
    <xf numFmtId="0" fontId="7" fillId="0" borderId="66" xfId="0" applyFont="1" applyBorder="1" applyAlignment="1">
      <alignment horizontal="center" vertical="top" wrapText="1"/>
    </xf>
    <xf numFmtId="49" fontId="5" fillId="3" borderId="50" xfId="0" applyNumberFormat="1" applyFont="1" applyFill="1" applyBorder="1" applyAlignment="1">
      <alignment horizontal="center" vertical="top"/>
    </xf>
    <xf numFmtId="49" fontId="5" fillId="6" borderId="17" xfId="0" applyNumberFormat="1" applyFont="1" applyFill="1" applyBorder="1" applyAlignment="1">
      <alignment horizontal="center" vertical="top"/>
    </xf>
    <xf numFmtId="49" fontId="5" fillId="0" borderId="41" xfId="0" applyNumberFormat="1" applyFont="1" applyBorder="1" applyAlignment="1">
      <alignment horizontal="center" vertical="top"/>
    </xf>
    <xf numFmtId="49" fontId="5" fillId="0" borderId="0" xfId="0" applyNumberFormat="1" applyFont="1" applyBorder="1" applyAlignment="1">
      <alignment horizontal="center" vertical="top"/>
    </xf>
    <xf numFmtId="49" fontId="5" fillId="0" borderId="30" xfId="0" applyNumberFormat="1" applyFont="1" applyBorder="1" applyAlignment="1">
      <alignment horizontal="center" vertical="top"/>
    </xf>
    <xf numFmtId="0" fontId="3" fillId="0" borderId="8" xfId="0" applyFont="1" applyFill="1" applyBorder="1" applyAlignment="1">
      <alignment horizontal="center" vertical="center" textRotation="90" wrapText="1"/>
    </xf>
    <xf numFmtId="0" fontId="3" fillId="0" borderId="10" xfId="0" applyFont="1" applyFill="1" applyBorder="1" applyAlignment="1">
      <alignment horizontal="center" vertical="center" textRotation="90" wrapText="1"/>
    </xf>
    <xf numFmtId="0" fontId="3" fillId="0" borderId="11" xfId="0" applyFont="1" applyFill="1" applyBorder="1" applyAlignment="1">
      <alignment horizontal="center" vertical="center" textRotation="90" wrapText="1"/>
    </xf>
    <xf numFmtId="49" fontId="2" fillId="0" borderId="28" xfId="0" applyNumberFormat="1" applyFont="1" applyBorder="1" applyAlignment="1">
      <alignment horizontal="center" vertical="center" textRotation="90"/>
    </xf>
    <xf numFmtId="49" fontId="2" fillId="0" borderId="17" xfId="0" applyNumberFormat="1" applyFont="1" applyBorder="1" applyAlignment="1">
      <alignment horizontal="center" vertical="center" textRotation="90"/>
    </xf>
    <xf numFmtId="49" fontId="2" fillId="0" borderId="26" xfId="0" applyNumberFormat="1" applyFont="1" applyBorder="1" applyAlignment="1">
      <alignment horizontal="center" vertical="center" textRotation="90"/>
    </xf>
    <xf numFmtId="49" fontId="3" fillId="0" borderId="77" xfId="0" applyNumberFormat="1" applyFont="1" applyBorder="1" applyAlignment="1">
      <alignment horizontal="center" vertical="top" wrapText="1"/>
    </xf>
    <xf numFmtId="49" fontId="3" fillId="0" borderId="40" xfId="0" applyNumberFormat="1" applyFont="1" applyBorder="1" applyAlignment="1">
      <alignment horizontal="center" vertical="top" wrapText="1"/>
    </xf>
    <xf numFmtId="0" fontId="18" fillId="6" borderId="19" xfId="0" applyFont="1" applyFill="1" applyBorder="1" applyAlignment="1">
      <alignment horizontal="left" vertical="top" wrapText="1"/>
    </xf>
    <xf numFmtId="0" fontId="18" fillId="6" borderId="29" xfId="0" applyFont="1" applyFill="1" applyBorder="1" applyAlignment="1">
      <alignment horizontal="left" vertical="top" wrapText="1"/>
    </xf>
    <xf numFmtId="0" fontId="0" fillId="6" borderId="81" xfId="0" applyFill="1" applyBorder="1" applyAlignment="1">
      <alignment horizontal="left" vertical="top" wrapText="1"/>
    </xf>
    <xf numFmtId="0" fontId="3" fillId="0" borderId="45" xfId="0" applyFont="1" applyFill="1" applyBorder="1" applyAlignment="1">
      <alignment horizontal="left" vertical="top" wrapText="1"/>
    </xf>
    <xf numFmtId="0" fontId="3" fillId="0" borderId="31" xfId="0" applyFont="1" applyFill="1" applyBorder="1" applyAlignment="1">
      <alignment horizontal="left" vertical="top" wrapText="1"/>
    </xf>
    <xf numFmtId="165" fontId="3" fillId="0" borderId="1" xfId="0" applyNumberFormat="1" applyFont="1" applyFill="1" applyBorder="1" applyAlignment="1">
      <alignment horizontal="center" vertical="top" wrapText="1"/>
    </xf>
    <xf numFmtId="165" fontId="3" fillId="0" borderId="33" xfId="0" applyNumberFormat="1" applyFont="1" applyFill="1" applyBorder="1" applyAlignment="1">
      <alignment horizontal="center" vertical="top" wrapText="1"/>
    </xf>
    <xf numFmtId="49" fontId="5" fillId="0" borderId="21" xfId="0" applyNumberFormat="1" applyFont="1" applyBorder="1" applyAlignment="1">
      <alignment horizontal="center" vertical="top"/>
    </xf>
    <xf numFmtId="49" fontId="5" fillId="0" borderId="34" xfId="0" applyNumberFormat="1" applyFont="1" applyBorder="1" applyAlignment="1">
      <alignment horizontal="center" vertical="top"/>
    </xf>
    <xf numFmtId="0" fontId="3" fillId="2" borderId="1"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0" borderId="45" xfId="0" applyFont="1" applyFill="1" applyBorder="1" applyAlignment="1">
      <alignment horizontal="center" vertical="top" wrapText="1"/>
    </xf>
    <xf numFmtId="0" fontId="3" fillId="0" borderId="31" xfId="0" applyFont="1" applyFill="1" applyBorder="1" applyAlignment="1">
      <alignment horizontal="center" vertical="top" wrapText="1"/>
    </xf>
    <xf numFmtId="49" fontId="2" fillId="0" borderId="34" xfId="0" applyNumberFormat="1" applyFont="1" applyBorder="1" applyAlignment="1">
      <alignment horizontal="center" vertical="top" textRotation="90" wrapText="1"/>
    </xf>
    <xf numFmtId="49" fontId="5" fillId="0" borderId="1" xfId="0" applyNumberFormat="1" applyFont="1" applyBorder="1" applyAlignment="1">
      <alignment horizontal="center" vertical="top"/>
    </xf>
    <xf numFmtId="49" fontId="5" fillId="0" borderId="33" xfId="0" applyNumberFormat="1" applyFont="1" applyBorder="1" applyAlignment="1">
      <alignment horizontal="center" vertical="top"/>
    </xf>
    <xf numFmtId="0" fontId="3" fillId="0" borderId="90" xfId="0" applyFont="1" applyFill="1" applyBorder="1" applyAlignment="1">
      <alignment horizontal="center" vertical="center" textRotation="90" wrapText="1"/>
    </xf>
    <xf numFmtId="0" fontId="3" fillId="0" borderId="96" xfId="0" applyFont="1" applyFill="1" applyBorder="1" applyAlignment="1">
      <alignment horizontal="center" vertical="center" textRotation="90" wrapText="1"/>
    </xf>
    <xf numFmtId="49" fontId="2" fillId="0" borderId="88" xfId="0" applyNumberFormat="1" applyFont="1" applyBorder="1" applyAlignment="1">
      <alignment horizontal="center" vertical="top" textRotation="90" wrapText="1"/>
    </xf>
    <xf numFmtId="49" fontId="2" fillId="0" borderId="97" xfId="0" applyNumberFormat="1" applyFont="1" applyBorder="1" applyAlignment="1">
      <alignment horizontal="center" vertical="top" textRotation="90" wrapText="1"/>
    </xf>
    <xf numFmtId="49" fontId="5" fillId="0" borderId="80" xfId="0" applyNumberFormat="1" applyFont="1" applyBorder="1" applyAlignment="1">
      <alignment horizontal="center" vertical="top"/>
    </xf>
    <xf numFmtId="49" fontId="5" fillId="0" borderId="98" xfId="0" applyNumberFormat="1" applyFont="1" applyBorder="1" applyAlignment="1">
      <alignment horizontal="center" vertical="top"/>
    </xf>
    <xf numFmtId="49" fontId="5" fillId="10" borderId="26" xfId="0" applyNumberFormat="1" applyFont="1" applyFill="1" applyBorder="1" applyAlignment="1">
      <alignment horizontal="center" vertical="top"/>
    </xf>
    <xf numFmtId="49" fontId="2" fillId="0" borderId="21" xfId="0" applyNumberFormat="1" applyFont="1" applyBorder="1" applyAlignment="1">
      <alignment horizontal="center" vertical="top" textRotation="90"/>
    </xf>
    <xf numFmtId="0" fontId="1" fillId="0" borderId="26" xfId="0" applyFont="1" applyBorder="1" applyAlignment="1">
      <alignment horizontal="center" vertical="top" textRotation="90"/>
    </xf>
    <xf numFmtId="49" fontId="3" fillId="0" borderId="6" xfId="0" applyNumberFormat="1" applyFont="1" applyBorder="1" applyAlignment="1">
      <alignment horizontal="center" vertical="top" wrapText="1"/>
    </xf>
    <xf numFmtId="0" fontId="0" fillId="0" borderId="66" xfId="0" applyBorder="1" applyAlignment="1">
      <alignment horizontal="center" vertical="top" wrapText="1"/>
    </xf>
    <xf numFmtId="49" fontId="5" fillId="0" borderId="2" xfId="0" applyNumberFormat="1" applyFont="1" applyBorder="1" applyAlignment="1">
      <alignment horizontal="center" vertical="top"/>
    </xf>
    <xf numFmtId="0" fontId="3" fillId="0" borderId="16" xfId="0" applyFont="1" applyFill="1" applyBorder="1" applyAlignment="1">
      <alignment horizontal="center" vertical="center" textRotation="90" wrapText="1"/>
    </xf>
    <xf numFmtId="49" fontId="2" fillId="0" borderId="21" xfId="0" applyNumberFormat="1" applyFont="1" applyBorder="1" applyAlignment="1">
      <alignment horizontal="center" vertical="center" textRotation="90"/>
    </xf>
    <xf numFmtId="49" fontId="2" fillId="0" borderId="34" xfId="0" applyNumberFormat="1" applyFont="1" applyBorder="1" applyAlignment="1">
      <alignment horizontal="center" vertical="center" textRotation="90"/>
    </xf>
    <xf numFmtId="49" fontId="5" fillId="0" borderId="18" xfId="0" applyNumberFormat="1" applyFont="1" applyBorder="1" applyAlignment="1">
      <alignment horizontal="center" vertical="top"/>
    </xf>
    <xf numFmtId="49" fontId="3" fillId="0" borderId="42" xfId="0" applyNumberFormat="1" applyFont="1" applyFill="1" applyBorder="1" applyAlignment="1">
      <alignment horizontal="center" vertical="top" wrapText="1"/>
    </xf>
    <xf numFmtId="0" fontId="0" fillId="0" borderId="0" xfId="0" applyBorder="1" applyAlignment="1">
      <alignment horizontal="center" vertical="top" wrapText="1"/>
    </xf>
    <xf numFmtId="0" fontId="3" fillId="0" borderId="10" xfId="0" applyFont="1" applyFill="1" applyBorder="1" applyAlignment="1">
      <alignment horizontal="left" vertical="top" wrapText="1"/>
    </xf>
    <xf numFmtId="0" fontId="3" fillId="6" borderId="43" xfId="0" applyFont="1" applyFill="1" applyBorder="1" applyAlignment="1">
      <alignment horizontal="left" vertical="top" wrapText="1"/>
    </xf>
    <xf numFmtId="0" fontId="8" fillId="0" borderId="76" xfId="0" applyFont="1" applyFill="1" applyBorder="1" applyAlignment="1">
      <alignment horizontal="center" vertical="center" wrapText="1"/>
    </xf>
    <xf numFmtId="0" fontId="25" fillId="0" borderId="76" xfId="0" applyFont="1" applyBorder="1" applyAlignment="1">
      <alignment horizontal="center" vertical="center" wrapText="1"/>
    </xf>
    <xf numFmtId="0" fontId="0" fillId="0" borderId="17" xfId="0" applyBorder="1" applyAlignment="1">
      <alignment horizontal="center" vertical="center" textRotation="90"/>
    </xf>
    <xf numFmtId="0" fontId="0" fillId="0" borderId="34" xfId="0" applyBorder="1" applyAlignment="1">
      <alignment horizontal="center" vertical="center" textRotation="90"/>
    </xf>
    <xf numFmtId="49" fontId="3" fillId="0" borderId="0" xfId="0" applyNumberFormat="1" applyFont="1" applyFill="1" applyBorder="1" applyAlignment="1">
      <alignment horizontal="center" vertical="top" wrapText="1"/>
    </xf>
    <xf numFmtId="0" fontId="2" fillId="0" borderId="76" xfId="0" applyFont="1" applyFill="1" applyBorder="1" applyAlignment="1">
      <alignment horizontal="center" vertical="center" textRotation="90" wrapText="1"/>
    </xf>
    <xf numFmtId="0" fontId="1" fillId="0" borderId="76" xfId="0" applyFont="1" applyBorder="1" applyAlignment="1">
      <alignment horizontal="center" vertical="center" textRotation="90" wrapText="1"/>
    </xf>
    <xf numFmtId="0" fontId="6" fillId="0" borderId="0" xfId="0" applyFont="1" applyAlignment="1">
      <alignment horizontal="center" vertical="top" wrapText="1"/>
    </xf>
    <xf numFmtId="0" fontId="4" fillId="0" borderId="0" xfId="0" applyFont="1" applyAlignment="1">
      <alignment horizontal="center" vertical="top"/>
    </xf>
    <xf numFmtId="0" fontId="3" fillId="0" borderId="8" xfId="0" applyFont="1" applyBorder="1" applyAlignment="1">
      <alignment horizontal="center" vertical="center" textRotation="90" shrinkToFit="1"/>
    </xf>
    <xf numFmtId="0" fontId="3" fillId="0" borderId="10" xfId="0" applyFont="1" applyBorder="1" applyAlignment="1">
      <alignment horizontal="center" vertical="center" textRotation="90" shrinkToFit="1"/>
    </xf>
    <xf numFmtId="0" fontId="3" fillId="0" borderId="11" xfId="0" applyFont="1" applyBorder="1" applyAlignment="1">
      <alignment horizontal="center" vertical="center" textRotation="90" shrinkToFit="1"/>
    </xf>
    <xf numFmtId="0" fontId="3" fillId="0" borderId="28" xfId="0" applyFont="1" applyBorder="1" applyAlignment="1">
      <alignment horizontal="center" vertical="center" textRotation="90" shrinkToFit="1"/>
    </xf>
    <xf numFmtId="0" fontId="3" fillId="0" borderId="17" xfId="0" applyFont="1" applyBorder="1" applyAlignment="1">
      <alignment horizontal="center" vertical="center" textRotation="90" shrinkToFit="1"/>
    </xf>
    <xf numFmtId="0" fontId="3" fillId="0" borderId="26" xfId="0" applyFont="1" applyBorder="1" applyAlignment="1">
      <alignment horizontal="center" vertical="center" textRotation="90" shrinkToFit="1"/>
    </xf>
    <xf numFmtId="0" fontId="3" fillId="0" borderId="47"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77" xfId="0" applyFont="1" applyBorder="1" applyAlignment="1">
      <alignment horizontal="center" vertical="center" textRotation="90" shrinkToFit="1"/>
    </xf>
    <xf numFmtId="0" fontId="3" fillId="0" borderId="40" xfId="0" applyFont="1" applyBorder="1" applyAlignment="1">
      <alignment horizontal="center" vertical="center" textRotation="90" shrinkToFit="1"/>
    </xf>
    <xf numFmtId="0" fontId="3" fillId="0" borderId="35" xfId="0" applyFont="1" applyBorder="1" applyAlignment="1">
      <alignment horizontal="center" vertical="center" textRotation="90" shrinkToFit="1"/>
    </xf>
    <xf numFmtId="0" fontId="0" fillId="0" borderId="17" xfId="0" applyBorder="1" applyAlignment="1">
      <alignment horizontal="center" vertical="center" textRotation="90" shrinkToFit="1"/>
    </xf>
    <xf numFmtId="0" fontId="0" fillId="0" borderId="26" xfId="0" applyBorder="1" applyAlignment="1">
      <alignment horizontal="center" vertical="center" textRotation="90" shrinkToFit="1"/>
    </xf>
    <xf numFmtId="0" fontId="3" fillId="0" borderId="29" xfId="0" applyNumberFormat="1" applyFont="1" applyBorder="1" applyAlignment="1">
      <alignment horizontal="center" vertical="center" textRotation="90" shrinkToFit="1"/>
    </xf>
    <xf numFmtId="0" fontId="3" fillId="0" borderId="19" xfId="0" applyNumberFormat="1" applyFont="1" applyBorder="1" applyAlignment="1">
      <alignment horizontal="center" vertical="center" textRotation="90" shrinkToFit="1"/>
    </xf>
    <xf numFmtId="0" fontId="3" fillId="0" borderId="27" xfId="0" applyNumberFormat="1" applyFont="1" applyBorder="1" applyAlignment="1">
      <alignment horizontal="center" vertical="center" textRotation="90" shrinkToFit="1"/>
    </xf>
    <xf numFmtId="0" fontId="3" fillId="0" borderId="46" xfId="0" applyNumberFormat="1" applyFont="1" applyFill="1" applyBorder="1" applyAlignment="1">
      <alignment horizontal="center" vertical="center" textRotation="90" shrinkToFit="1"/>
    </xf>
    <xf numFmtId="0" fontId="3" fillId="0" borderId="9" xfId="0" applyNumberFormat="1" applyFont="1" applyFill="1" applyBorder="1" applyAlignment="1">
      <alignment horizontal="center" vertical="center" textRotation="90" shrinkToFit="1"/>
    </xf>
    <xf numFmtId="0" fontId="3" fillId="0" borderId="66" xfId="0" applyNumberFormat="1" applyFont="1" applyFill="1" applyBorder="1" applyAlignment="1">
      <alignment horizontal="center" vertical="center" textRotation="90" shrinkToFit="1"/>
    </xf>
    <xf numFmtId="0" fontId="3" fillId="0" borderId="46" xfId="0" applyFont="1" applyBorder="1" applyAlignment="1">
      <alignment horizontal="center" vertical="center" textRotation="90" shrinkToFit="1"/>
    </xf>
    <xf numFmtId="0" fontId="3" fillId="0" borderId="9" xfId="0" applyFont="1" applyBorder="1" applyAlignment="1">
      <alignment horizontal="center" vertical="center" textRotation="90" shrinkToFit="1"/>
    </xf>
    <xf numFmtId="0" fontId="3" fillId="0" borderId="66" xfId="0" applyFont="1" applyBorder="1" applyAlignment="1">
      <alignment horizontal="center" vertical="center" textRotation="90" shrinkToFit="1"/>
    </xf>
    <xf numFmtId="0" fontId="5" fillId="0" borderId="78" xfId="0" applyFont="1" applyBorder="1" applyAlignment="1">
      <alignment horizontal="center" vertical="center"/>
    </xf>
    <xf numFmtId="0" fontId="5" fillId="0" borderId="65" xfId="0" applyFont="1" applyBorder="1" applyAlignment="1">
      <alignment horizontal="center" vertical="center"/>
    </xf>
    <xf numFmtId="0" fontId="3" fillId="0" borderId="45" xfId="0" applyFont="1" applyBorder="1" applyAlignment="1">
      <alignment horizontal="center" vertical="center" shrinkToFit="1"/>
    </xf>
    <xf numFmtId="0" fontId="3" fillId="0" borderId="11" xfId="0" applyFont="1" applyBorder="1" applyAlignment="1">
      <alignment horizontal="center" vertical="center" shrinkToFit="1"/>
    </xf>
    <xf numFmtId="0" fontId="5" fillId="4" borderId="78" xfId="0" applyFont="1" applyFill="1" applyBorder="1" applyAlignment="1">
      <alignment horizontal="right" vertical="top" wrapText="1"/>
    </xf>
    <xf numFmtId="0" fontId="5" fillId="4" borderId="71" xfId="0" applyFont="1" applyFill="1" applyBorder="1" applyAlignment="1">
      <alignment horizontal="right" vertical="top" wrapText="1"/>
    </xf>
    <xf numFmtId="0" fontId="5" fillId="4" borderId="65" xfId="0" applyFont="1" applyFill="1" applyBorder="1" applyAlignment="1">
      <alignment horizontal="right" vertical="top" wrapText="1"/>
    </xf>
    <xf numFmtId="0" fontId="5" fillId="0" borderId="63"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49" fontId="5" fillId="3" borderId="62"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11" borderId="79" xfId="0" applyNumberFormat="1" applyFont="1" applyFill="1" applyBorder="1" applyAlignment="1">
      <alignment horizontal="right" vertical="top"/>
    </xf>
    <xf numFmtId="49" fontId="5" fillId="11" borderId="68" xfId="0" applyNumberFormat="1" applyFont="1" applyFill="1" applyBorder="1" applyAlignment="1">
      <alignment horizontal="right" vertical="top"/>
    </xf>
    <xf numFmtId="49" fontId="5" fillId="11" borderId="69" xfId="0" applyNumberFormat="1" applyFont="1" applyFill="1" applyBorder="1" applyAlignment="1">
      <alignment horizontal="right" vertical="top"/>
    </xf>
    <xf numFmtId="0" fontId="3" fillId="11" borderId="63" xfId="0" applyFont="1" applyFill="1" applyBorder="1" applyAlignment="1">
      <alignment horizontal="center" vertical="top"/>
    </xf>
    <xf numFmtId="0" fontId="3" fillId="11" borderId="69" xfId="0" applyFont="1" applyFill="1" applyBorder="1" applyAlignment="1">
      <alignment horizontal="center" vertical="top"/>
    </xf>
    <xf numFmtId="49" fontId="5" fillId="4" borderId="79" xfId="0" applyNumberFormat="1" applyFont="1" applyFill="1" applyBorder="1" applyAlignment="1">
      <alignment horizontal="right" vertical="top"/>
    </xf>
    <xf numFmtId="49" fontId="5" fillId="4" borderId="68" xfId="0" applyNumberFormat="1" applyFont="1" applyFill="1" applyBorder="1" applyAlignment="1">
      <alignment horizontal="right" vertical="top"/>
    </xf>
    <xf numFmtId="49" fontId="5" fillId="4" borderId="69" xfId="0" applyNumberFormat="1" applyFont="1" applyFill="1" applyBorder="1" applyAlignment="1">
      <alignment horizontal="right" vertical="top"/>
    </xf>
    <xf numFmtId="0" fontId="3" fillId="4" borderId="63" xfId="0" applyFont="1" applyFill="1" applyBorder="1" applyAlignment="1">
      <alignment horizontal="center" vertical="top"/>
    </xf>
    <xf numFmtId="0" fontId="3" fillId="4" borderId="69" xfId="0" applyFont="1" applyFill="1" applyBorder="1" applyAlignment="1">
      <alignment horizontal="center" vertical="top"/>
    </xf>
    <xf numFmtId="0" fontId="9"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6" borderId="29" xfId="0" applyFont="1" applyFill="1" applyBorder="1" applyAlignment="1">
      <alignment horizontal="left" vertical="top" wrapText="1"/>
    </xf>
    <xf numFmtId="0" fontId="0" fillId="6" borderId="27" xfId="0" applyFill="1" applyBorder="1" applyAlignment="1">
      <alignment horizontal="left" vertical="top" wrapText="1"/>
    </xf>
    <xf numFmtId="49" fontId="3" fillId="0" borderId="6" xfId="0" applyNumberFormat="1" applyFont="1" applyBorder="1" applyAlignment="1">
      <alignment horizontal="center" vertical="center" wrapText="1"/>
    </xf>
    <xf numFmtId="0" fontId="0" fillId="0" borderId="9" xfId="0" applyBorder="1" applyAlignment="1">
      <alignment horizontal="center" vertical="center" wrapText="1"/>
    </xf>
    <xf numFmtId="49" fontId="5" fillId="3" borderId="79" xfId="0" applyNumberFormat="1" applyFont="1" applyFill="1" applyBorder="1" applyAlignment="1">
      <alignment horizontal="left" vertical="top"/>
    </xf>
    <xf numFmtId="49" fontId="5" fillId="3" borderId="68" xfId="0" applyNumberFormat="1" applyFont="1" applyFill="1" applyBorder="1" applyAlignment="1">
      <alignment horizontal="left" vertical="top"/>
    </xf>
    <xf numFmtId="49" fontId="5" fillId="3" borderId="69" xfId="0" applyNumberFormat="1" applyFont="1" applyFill="1" applyBorder="1" applyAlignment="1">
      <alignment horizontal="left" vertical="top"/>
    </xf>
    <xf numFmtId="0" fontId="1" fillId="0" borderId="26" xfId="0" applyFont="1" applyBorder="1" applyAlignment="1">
      <alignment horizontal="center" textRotation="90"/>
    </xf>
    <xf numFmtId="0" fontId="0" fillId="0" borderId="66" xfId="0" applyBorder="1" applyAlignment="1"/>
    <xf numFmtId="0" fontId="3" fillId="2" borderId="8" xfId="0" applyFont="1" applyFill="1" applyBorder="1" applyAlignment="1">
      <alignment horizontal="center" vertical="center" textRotation="90" wrapText="1"/>
    </xf>
    <xf numFmtId="0" fontId="3" fillId="2" borderId="10" xfId="0" applyFont="1" applyFill="1" applyBorder="1" applyAlignment="1">
      <alignment horizontal="center" vertical="center" textRotation="90" wrapText="1"/>
    </xf>
    <xf numFmtId="0" fontId="3" fillId="2" borderId="11" xfId="0" applyFont="1" applyFill="1" applyBorder="1" applyAlignment="1">
      <alignment horizontal="center" vertical="center" textRotation="90" wrapText="1"/>
    </xf>
    <xf numFmtId="49" fontId="2" fillId="0" borderId="47" xfId="0" applyNumberFormat="1" applyFont="1" applyBorder="1" applyAlignment="1">
      <alignment horizontal="center" vertical="top" textRotation="90" wrapText="1"/>
    </xf>
    <xf numFmtId="49" fontId="2" fillId="0" borderId="50" xfId="0" applyNumberFormat="1" applyFont="1" applyBorder="1" applyAlignment="1">
      <alignment horizontal="center" vertical="top" textRotation="90" wrapText="1"/>
    </xf>
    <xf numFmtId="49" fontId="2" fillId="0" borderId="62" xfId="0" applyNumberFormat="1" applyFont="1" applyBorder="1" applyAlignment="1">
      <alignment horizontal="center" vertical="top" textRotation="90" wrapText="1"/>
    </xf>
    <xf numFmtId="49" fontId="5" fillId="0" borderId="29" xfId="0" applyNumberFormat="1" applyFont="1" applyBorder="1" applyAlignment="1">
      <alignment horizontal="center" vertical="top"/>
    </xf>
    <xf numFmtId="0" fontId="7" fillId="0" borderId="9" xfId="0" applyFont="1" applyBorder="1" applyAlignment="1">
      <alignment horizontal="center" vertical="top" wrapText="1"/>
    </xf>
    <xf numFmtId="0" fontId="3" fillId="2" borderId="10" xfId="0" applyFont="1" applyFill="1" applyBorder="1" applyAlignment="1">
      <alignment vertical="top" wrapText="1"/>
    </xf>
    <xf numFmtId="0" fontId="0" fillId="0" borderId="11" xfId="0" applyBorder="1" applyAlignment="1">
      <alignment vertical="top"/>
    </xf>
    <xf numFmtId="0" fontId="3" fillId="0" borderId="1" xfId="0" applyFont="1" applyBorder="1" applyAlignment="1">
      <alignment vertical="top" wrapText="1"/>
    </xf>
    <xf numFmtId="0" fontId="0" fillId="0" borderId="81" xfId="0" applyBorder="1" applyAlignment="1">
      <alignment vertical="top" wrapText="1"/>
    </xf>
    <xf numFmtId="0" fontId="9" fillId="0" borderId="45" xfId="0" applyFont="1" applyBorder="1" applyAlignment="1">
      <alignment horizontal="center" vertical="center" textRotation="90" wrapText="1"/>
    </xf>
    <xf numFmtId="0" fontId="17" fillId="0" borderId="104" xfId="0" applyFont="1" applyBorder="1" applyAlignment="1">
      <alignment horizontal="center" vertical="center" textRotation="90" wrapText="1"/>
    </xf>
    <xf numFmtId="49" fontId="2" fillId="0" borderId="34" xfId="0" applyNumberFormat="1" applyFont="1" applyBorder="1" applyAlignment="1">
      <alignment horizontal="center" vertical="center" textRotation="90" wrapText="1"/>
    </xf>
    <xf numFmtId="49" fontId="3" fillId="6" borderId="9" xfId="0" applyNumberFormat="1" applyFont="1" applyFill="1" applyBorder="1" applyAlignment="1">
      <alignment horizontal="center" vertical="top" wrapText="1"/>
    </xf>
    <xf numFmtId="0" fontId="0" fillId="6" borderId="9" xfId="0" applyFill="1" applyBorder="1" applyAlignment="1">
      <alignment horizontal="center" vertical="top" wrapText="1"/>
    </xf>
    <xf numFmtId="49" fontId="5" fillId="0" borderId="88" xfId="0" applyNumberFormat="1" applyFont="1" applyBorder="1" applyAlignment="1">
      <alignment horizontal="center" vertical="top"/>
    </xf>
    <xf numFmtId="49" fontId="5" fillId="0" borderId="97" xfId="0" applyNumberFormat="1" applyFont="1" applyBorder="1" applyAlignment="1">
      <alignment horizontal="center" vertical="top"/>
    </xf>
    <xf numFmtId="0" fontId="3" fillId="2" borderId="80" xfId="0" applyFont="1" applyFill="1" applyBorder="1" applyAlignment="1">
      <alignment horizontal="left" vertical="top" wrapText="1"/>
    </xf>
    <xf numFmtId="0" fontId="3" fillId="2" borderId="98" xfId="0" applyFont="1" applyFill="1" applyBorder="1" applyAlignment="1">
      <alignment horizontal="left" vertical="top" wrapText="1"/>
    </xf>
    <xf numFmtId="49" fontId="5" fillId="0" borderId="39" xfId="0" applyNumberFormat="1" applyFont="1" applyBorder="1" applyAlignment="1">
      <alignment horizontal="center" vertical="top"/>
    </xf>
    <xf numFmtId="0" fontId="5" fillId="2" borderId="29"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27"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19" xfId="0" applyFont="1" applyFill="1" applyBorder="1" applyAlignment="1">
      <alignment horizontal="left" vertical="top" wrapText="1"/>
    </xf>
    <xf numFmtId="0" fontId="3" fillId="6" borderId="33" xfId="0" applyFont="1" applyFill="1" applyBorder="1" applyAlignment="1">
      <alignment horizontal="left" vertical="top" wrapText="1"/>
    </xf>
    <xf numFmtId="0" fontId="3" fillId="0" borderId="45" xfId="0" applyFont="1" applyFill="1" applyBorder="1" applyAlignment="1">
      <alignment horizontal="center" vertical="center" textRotation="90" wrapText="1"/>
    </xf>
    <xf numFmtId="0" fontId="3" fillId="0" borderId="31" xfId="0" applyFont="1" applyFill="1" applyBorder="1" applyAlignment="1">
      <alignment horizontal="center" vertical="center" textRotation="90" wrapText="1"/>
    </xf>
    <xf numFmtId="49" fontId="3" fillId="0" borderId="6" xfId="0" applyNumberFormat="1" applyFont="1" applyFill="1" applyBorder="1" applyAlignment="1">
      <alignment horizontal="center" vertical="top" wrapText="1"/>
    </xf>
    <xf numFmtId="49" fontId="3" fillId="0" borderId="9" xfId="0" applyNumberFormat="1" applyFont="1" applyFill="1" applyBorder="1" applyAlignment="1">
      <alignment horizontal="center" vertical="top" wrapText="1"/>
    </xf>
    <xf numFmtId="0" fontId="0" fillId="0" borderId="33" xfId="0" applyBorder="1" applyAlignment="1">
      <alignment horizontal="left" vertical="top" wrapText="1"/>
    </xf>
    <xf numFmtId="0" fontId="0" fillId="0" borderId="34" xfId="0" applyBorder="1" applyAlignment="1">
      <alignment horizontal="center" vertical="top" textRotation="90" wrapText="1"/>
    </xf>
    <xf numFmtId="49" fontId="3" fillId="6" borderId="6" xfId="0" applyNumberFormat="1" applyFont="1" applyFill="1" applyBorder="1" applyAlignment="1">
      <alignment horizontal="center" vertical="top" wrapText="1"/>
    </xf>
    <xf numFmtId="49" fontId="2" fillId="6" borderId="17" xfId="0" applyNumberFormat="1" applyFont="1" applyFill="1" applyBorder="1" applyAlignment="1">
      <alignment horizontal="center" vertical="center" textRotation="90" wrapText="1"/>
    </xf>
    <xf numFmtId="0" fontId="0" fillId="6" borderId="17" xfId="0" applyFill="1" applyBorder="1" applyAlignment="1">
      <alignment horizontal="center" vertical="center" textRotation="90" wrapText="1"/>
    </xf>
    <xf numFmtId="0" fontId="3" fillId="6" borderId="81" xfId="0" applyFont="1" applyFill="1" applyBorder="1" applyAlignment="1">
      <alignment horizontal="left" vertical="top" wrapText="1"/>
    </xf>
    <xf numFmtId="0" fontId="3" fillId="6" borderId="92" xfId="0" applyFont="1" applyFill="1" applyBorder="1" applyAlignment="1">
      <alignment horizontal="left" vertical="top" wrapText="1"/>
    </xf>
    <xf numFmtId="0" fontId="2" fillId="0" borderId="45" xfId="0" applyFont="1" applyFill="1" applyBorder="1" applyAlignment="1">
      <alignment horizontal="center" vertical="center" textRotation="90" shrinkToFit="1"/>
    </xf>
    <xf numFmtId="0" fontId="2" fillId="0" borderId="31" xfId="0" applyFont="1" applyFill="1" applyBorder="1" applyAlignment="1">
      <alignment horizontal="center" vertical="center" textRotation="90" shrinkToFit="1"/>
    </xf>
    <xf numFmtId="0" fontId="7" fillId="10" borderId="30" xfId="0" applyFont="1" applyFill="1" applyBorder="1" applyAlignment="1">
      <alignment horizontal="right" vertical="top"/>
    </xf>
    <xf numFmtId="0" fontId="3" fillId="2" borderId="50" xfId="0" applyFont="1" applyFill="1" applyBorder="1" applyAlignment="1">
      <alignment horizontal="left" vertical="top" wrapText="1"/>
    </xf>
    <xf numFmtId="0" fontId="3" fillId="2" borderId="32" xfId="0" applyFont="1" applyFill="1" applyBorder="1" applyAlignment="1">
      <alignment horizontal="left" vertical="top" wrapText="1"/>
    </xf>
    <xf numFmtId="0" fontId="0" fillId="0" borderId="9" xfId="0" applyBorder="1" applyAlignment="1">
      <alignment horizontal="center" vertical="top"/>
    </xf>
    <xf numFmtId="0" fontId="3" fillId="6" borderId="2" xfId="0" applyFont="1" applyFill="1" applyBorder="1" applyAlignment="1">
      <alignment horizontal="left" vertical="top" wrapText="1"/>
    </xf>
    <xf numFmtId="49" fontId="2" fillId="0" borderId="17" xfId="0" applyNumberFormat="1" applyFont="1" applyBorder="1" applyAlignment="1">
      <alignment horizontal="center" vertical="top" textRotation="90"/>
    </xf>
    <xf numFmtId="0" fontId="7" fillId="0" borderId="9" xfId="0" applyFont="1" applyBorder="1" applyAlignment="1">
      <alignment horizontal="center" wrapText="1"/>
    </xf>
    <xf numFmtId="0" fontId="3" fillId="0" borderId="0" xfId="0" applyFont="1" applyAlignment="1">
      <alignment vertical="top" wrapText="1"/>
    </xf>
    <xf numFmtId="0" fontId="0" fillId="0" borderId="0" xfId="0" applyAlignment="1">
      <alignment vertical="top" wrapText="1"/>
    </xf>
    <xf numFmtId="0" fontId="3" fillId="2" borderId="8" xfId="0" applyFont="1" applyFill="1" applyBorder="1" applyAlignment="1">
      <alignment horizontal="left" vertical="top" wrapText="1"/>
    </xf>
    <xf numFmtId="0" fontId="0" fillId="0" borderId="104" xfId="0" applyBorder="1" applyAlignment="1">
      <alignment horizontal="left" vertical="top" wrapText="1"/>
    </xf>
    <xf numFmtId="0" fontId="4" fillId="0" borderId="0" xfId="0" applyFont="1" applyAlignment="1">
      <alignment horizontal="center" vertical="top" wrapText="1"/>
    </xf>
    <xf numFmtId="0" fontId="3" fillId="0" borderId="76" xfId="0" applyFont="1" applyFill="1" applyBorder="1" applyAlignment="1">
      <alignment horizontal="center" vertical="center" textRotation="90" wrapText="1"/>
    </xf>
    <xf numFmtId="0" fontId="0" fillId="0" borderId="76" xfId="0" applyBorder="1" applyAlignment="1">
      <alignment horizontal="center" vertical="center" textRotation="90" wrapText="1"/>
    </xf>
    <xf numFmtId="49" fontId="3" fillId="0" borderId="43" xfId="0" applyNumberFormat="1" applyFont="1" applyFill="1" applyBorder="1" applyAlignment="1">
      <alignment horizontal="center" vertical="top" wrapText="1"/>
    </xf>
    <xf numFmtId="0" fontId="0" fillId="0" borderId="43" xfId="0" applyBorder="1" applyAlignment="1">
      <alignment horizontal="center" vertical="top" wrapText="1"/>
    </xf>
    <xf numFmtId="0" fontId="0" fillId="0" borderId="42" xfId="0" applyBorder="1" applyAlignment="1">
      <alignment horizontal="center" vertical="top" wrapText="1"/>
    </xf>
    <xf numFmtId="49" fontId="5" fillId="7" borderId="78" xfId="0" applyNumberFormat="1" applyFont="1" applyFill="1" applyBorder="1" applyAlignment="1">
      <alignment horizontal="left" vertical="top" wrapText="1"/>
    </xf>
    <xf numFmtId="49" fontId="5" fillId="7" borderId="71" xfId="0" applyNumberFormat="1" applyFont="1" applyFill="1" applyBorder="1" applyAlignment="1">
      <alignment horizontal="left" vertical="top" wrapText="1"/>
    </xf>
    <xf numFmtId="49" fontId="5" fillId="7" borderId="65" xfId="0" applyNumberFormat="1" applyFont="1" applyFill="1" applyBorder="1" applyAlignment="1">
      <alignment horizontal="left" vertical="top" wrapText="1"/>
    </xf>
    <xf numFmtId="0" fontId="5" fillId="4" borderId="76" xfId="0" applyFont="1" applyFill="1" applyBorder="1" applyAlignment="1">
      <alignment horizontal="left" vertical="top" wrapText="1"/>
    </xf>
    <xf numFmtId="0" fontId="5" fillId="4" borderId="43" xfId="0" applyFont="1" applyFill="1" applyBorder="1" applyAlignment="1">
      <alignment horizontal="left" vertical="top" wrapText="1"/>
    </xf>
    <xf numFmtId="0" fontId="5" fillId="4" borderId="44" xfId="0" applyFont="1" applyFill="1" applyBorder="1" applyAlignment="1">
      <alignment horizontal="left" vertical="top" wrapText="1"/>
    </xf>
    <xf numFmtId="0" fontId="5" fillId="11" borderId="37" xfId="0" applyFont="1" applyFill="1" applyBorder="1" applyAlignment="1">
      <alignment horizontal="left" vertical="top"/>
    </xf>
    <xf numFmtId="0" fontId="5" fillId="11" borderId="43" xfId="0" applyFont="1" applyFill="1" applyBorder="1" applyAlignment="1">
      <alignment horizontal="left" vertical="top"/>
    </xf>
    <xf numFmtId="0" fontId="5" fillId="11" borderId="44" xfId="0" applyFont="1" applyFill="1" applyBorder="1" applyAlignment="1">
      <alignment horizontal="left" vertical="top"/>
    </xf>
    <xf numFmtId="0" fontId="5" fillId="3" borderId="37" xfId="0" applyFont="1" applyFill="1" applyBorder="1" applyAlignment="1">
      <alignment horizontal="left" vertical="top"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1" fillId="0" borderId="17" xfId="0" applyFont="1" applyBorder="1" applyAlignment="1">
      <alignment horizontal="center" vertical="center" textRotation="90"/>
    </xf>
    <xf numFmtId="0" fontId="1" fillId="0" borderId="34" xfId="0" applyFont="1" applyBorder="1" applyAlignment="1">
      <alignment horizontal="center" vertical="center" textRotation="90"/>
    </xf>
    <xf numFmtId="49" fontId="3" fillId="0" borderId="47" xfId="0" applyNumberFormat="1" applyFont="1" applyBorder="1" applyAlignment="1">
      <alignment horizontal="center" vertical="top" wrapText="1"/>
    </xf>
    <xf numFmtId="49" fontId="3" fillId="0" borderId="50" xfId="0" applyNumberFormat="1" applyFont="1" applyBorder="1" applyAlignment="1">
      <alignment horizontal="center" vertical="top" wrapText="1"/>
    </xf>
    <xf numFmtId="49" fontId="3" fillId="0" borderId="62" xfId="0" applyNumberFormat="1" applyFont="1" applyBorder="1" applyAlignment="1">
      <alignment horizontal="center" vertical="top" wrapText="1"/>
    </xf>
    <xf numFmtId="0" fontId="3" fillId="0" borderId="30" xfId="0" applyFont="1" applyBorder="1" applyAlignment="1">
      <alignment horizontal="center" vertical="top"/>
    </xf>
    <xf numFmtId="0" fontId="3" fillId="0" borderId="45"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9" fillId="0" borderId="1" xfId="0" applyFont="1" applyFill="1" applyBorder="1" applyAlignment="1">
      <alignment horizontal="center" vertical="center" textRotation="90" wrapText="1"/>
    </xf>
    <xf numFmtId="0" fontId="9" fillId="0" borderId="27" xfId="0" applyFont="1" applyFill="1" applyBorder="1" applyAlignment="1">
      <alignment horizontal="center" vertical="center" textRotation="90" wrapTex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5" fillId="0" borderId="78"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65" xfId="0" applyFont="1" applyBorder="1" applyAlignment="1">
      <alignment horizontal="center" vertical="center" wrapText="1"/>
    </xf>
    <xf numFmtId="0" fontId="3" fillId="0" borderId="46" xfId="0" applyFont="1" applyBorder="1" applyAlignment="1">
      <alignment horizontal="center" textRotation="90" shrinkToFit="1"/>
    </xf>
    <xf numFmtId="0" fontId="3" fillId="0" borderId="9" xfId="0" applyFont="1" applyBorder="1" applyAlignment="1">
      <alignment horizontal="center" textRotation="90" shrinkToFit="1"/>
    </xf>
    <xf numFmtId="0" fontId="3" fillId="0" borderId="66" xfId="0" applyFont="1" applyBorder="1" applyAlignment="1">
      <alignment horizontal="center" textRotation="90" shrinkToFit="1"/>
    </xf>
    <xf numFmtId="0" fontId="5" fillId="0" borderId="78"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65" xfId="0" applyFont="1" applyBorder="1" applyAlignment="1">
      <alignment horizontal="center" vertical="center" shrinkToFit="1"/>
    </xf>
    <xf numFmtId="0" fontId="2" fillId="0" borderId="1" xfId="0" applyFont="1" applyFill="1" applyBorder="1" applyAlignment="1">
      <alignment horizontal="center" vertical="center" textRotation="90" wrapText="1"/>
    </xf>
    <xf numFmtId="0" fontId="2" fillId="0" borderId="27" xfId="0" applyFont="1" applyFill="1" applyBorder="1" applyAlignment="1">
      <alignment horizontal="center" vertical="center" textRotation="90" wrapText="1"/>
    </xf>
    <xf numFmtId="0" fontId="3" fillId="0" borderId="54" xfId="0" applyNumberFormat="1" applyFont="1" applyBorder="1" applyAlignment="1">
      <alignment horizontal="center" vertical="center" textRotation="90" shrinkToFit="1"/>
    </xf>
    <xf numFmtId="0" fontId="3" fillId="0" borderId="53" xfId="0" applyNumberFormat="1" applyFont="1" applyBorder="1" applyAlignment="1">
      <alignment horizontal="center" vertical="center" textRotation="90" shrinkToFit="1"/>
    </xf>
    <xf numFmtId="0" fontId="3" fillId="0" borderId="36" xfId="0" applyNumberFormat="1" applyFont="1" applyBorder="1" applyAlignment="1">
      <alignment horizontal="center" vertical="center" textRotation="90" shrinkToFit="1"/>
    </xf>
    <xf numFmtId="49" fontId="5" fillId="11" borderId="21" xfId="0" applyNumberFormat="1" applyFont="1" applyFill="1" applyBorder="1" applyAlignment="1">
      <alignment horizontal="center" vertical="top"/>
    </xf>
    <xf numFmtId="49" fontId="5" fillId="11" borderId="17" xfId="0" applyNumberFormat="1" applyFont="1" applyFill="1" applyBorder="1" applyAlignment="1">
      <alignment horizontal="center" vertical="top"/>
    </xf>
    <xf numFmtId="49" fontId="5" fillId="3" borderId="21" xfId="0" applyNumberFormat="1" applyFont="1" applyFill="1" applyBorder="1" applyAlignment="1">
      <alignment horizontal="center" vertical="top"/>
    </xf>
    <xf numFmtId="0" fontId="5" fillId="0" borderId="49" xfId="0" applyFont="1" applyFill="1" applyBorder="1" applyAlignment="1">
      <alignment horizontal="left" vertical="top" wrapText="1"/>
    </xf>
    <xf numFmtId="0" fontId="5" fillId="0" borderId="43" xfId="0" applyFont="1" applyFill="1" applyBorder="1" applyAlignment="1">
      <alignment horizontal="left" vertical="top" wrapText="1"/>
    </xf>
    <xf numFmtId="0" fontId="3" fillId="0" borderId="70" xfId="0" applyFont="1" applyFill="1" applyBorder="1" applyAlignment="1">
      <alignment horizontal="center" vertical="center" textRotation="90" wrapText="1"/>
    </xf>
    <xf numFmtId="49" fontId="3" fillId="0" borderId="34" xfId="0" applyNumberFormat="1" applyFont="1" applyBorder="1" applyAlignment="1">
      <alignment horizontal="center" vertical="top" wrapText="1"/>
    </xf>
    <xf numFmtId="0" fontId="3" fillId="2" borderId="39" xfId="0" applyFont="1" applyFill="1" applyBorder="1" applyAlignment="1">
      <alignment horizontal="left" vertical="top" wrapText="1"/>
    </xf>
    <xf numFmtId="4" fontId="3" fillId="2" borderId="17" xfId="0" applyNumberFormat="1" applyFont="1" applyFill="1" applyBorder="1" applyAlignment="1">
      <alignment horizontal="center" vertical="top"/>
    </xf>
    <xf numFmtId="0" fontId="3" fillId="0" borderId="51" xfId="0" applyFont="1" applyFill="1" applyBorder="1" applyAlignment="1">
      <alignment horizontal="left" vertical="top" wrapText="1"/>
    </xf>
    <xf numFmtId="0" fontId="3" fillId="0" borderId="39" xfId="0" applyFont="1" applyFill="1" applyBorder="1" applyAlignment="1">
      <alignment horizontal="left" vertical="top" wrapText="1"/>
    </xf>
    <xf numFmtId="4" fontId="3" fillId="2" borderId="19" xfId="0" applyNumberFormat="1" applyFont="1" applyFill="1" applyBorder="1" applyAlignment="1">
      <alignment horizontal="center" vertical="top"/>
    </xf>
    <xf numFmtId="49" fontId="3" fillId="0" borderId="21" xfId="0" applyNumberFormat="1" applyFont="1" applyBorder="1" applyAlignment="1">
      <alignment horizontal="center" vertical="top"/>
    </xf>
    <xf numFmtId="49" fontId="3" fillId="0" borderId="17" xfId="0" applyNumberFormat="1" applyFont="1" applyBorder="1" applyAlignment="1">
      <alignment horizontal="center" vertical="top"/>
    </xf>
    <xf numFmtId="0" fontId="2" fillId="0" borderId="45" xfId="0" applyFont="1" applyFill="1" applyBorder="1" applyAlignment="1">
      <alignment horizontal="center" vertical="center" textRotation="90" wrapText="1" shrinkToFit="1"/>
    </xf>
    <xf numFmtId="0" fontId="2" fillId="0" borderId="31" xfId="0" applyFont="1" applyFill="1" applyBorder="1" applyAlignment="1">
      <alignment horizontal="center" vertical="center" textRotation="90" wrapText="1" shrinkToFit="1"/>
    </xf>
    <xf numFmtId="49" fontId="5" fillId="0" borderId="38" xfId="0" applyNumberFormat="1" applyFont="1" applyBorder="1" applyAlignment="1">
      <alignment horizontal="center" vertical="top" wrapText="1"/>
    </xf>
    <xf numFmtId="0" fontId="0" fillId="0" borderId="38" xfId="0" applyBorder="1" applyAlignment="1">
      <alignment horizontal="center" vertical="top" wrapText="1"/>
    </xf>
    <xf numFmtId="0" fontId="3" fillId="6" borderId="37" xfId="0" applyFont="1" applyFill="1" applyBorder="1" applyAlignment="1">
      <alignment horizontal="left" vertical="top" wrapText="1"/>
    </xf>
    <xf numFmtId="0" fontId="0" fillId="0" borderId="37" xfId="0" applyBorder="1" applyAlignment="1">
      <alignment horizontal="left" vertical="top" wrapText="1"/>
    </xf>
    <xf numFmtId="0" fontId="2" fillId="0" borderId="16" xfId="0" applyFont="1" applyBorder="1" applyAlignment="1">
      <alignment vertical="center" textRotation="90"/>
    </xf>
    <xf numFmtId="0" fontId="1" fillId="0" borderId="16" xfId="0" applyFont="1" applyBorder="1" applyAlignment="1">
      <alignment vertical="center" textRotation="90"/>
    </xf>
    <xf numFmtId="49" fontId="3" fillId="0" borderId="34" xfId="0" applyNumberFormat="1" applyFont="1" applyBorder="1" applyAlignment="1">
      <alignment horizontal="center" vertical="top"/>
    </xf>
    <xf numFmtId="49" fontId="3" fillId="0" borderId="2" xfId="0" applyNumberFormat="1" applyFont="1" applyBorder="1" applyAlignment="1">
      <alignment horizontal="center" vertical="top"/>
    </xf>
    <xf numFmtId="49" fontId="3" fillId="0" borderId="44" xfId="0" applyNumberFormat="1" applyFont="1" applyBorder="1" applyAlignment="1">
      <alignment horizontal="center" vertical="center" wrapText="1"/>
    </xf>
    <xf numFmtId="0" fontId="0" fillId="0" borderId="44" xfId="0" applyBorder="1" applyAlignment="1">
      <alignment horizontal="center" vertical="center" wrapText="1"/>
    </xf>
    <xf numFmtId="0" fontId="3" fillId="0" borderId="45" xfId="1" applyFont="1" applyFill="1" applyBorder="1" applyAlignment="1">
      <alignment vertical="top" wrapText="1"/>
    </xf>
    <xf numFmtId="0" fontId="7" fillId="0" borderId="104" xfId="0" applyFont="1" applyBorder="1" applyAlignment="1">
      <alignment vertical="top" wrapText="1"/>
    </xf>
    <xf numFmtId="49" fontId="5" fillId="0" borderId="38" xfId="0" applyNumberFormat="1" applyFont="1" applyBorder="1" applyAlignment="1">
      <alignment horizontal="center" vertical="top"/>
    </xf>
    <xf numFmtId="0" fontId="3" fillId="2" borderId="37" xfId="0" applyFont="1" applyFill="1" applyBorder="1" applyAlignment="1">
      <alignment horizontal="left" vertical="top" wrapText="1"/>
    </xf>
    <xf numFmtId="0" fontId="1" fillId="0" borderId="16" xfId="0" applyFont="1" applyBorder="1" applyAlignment="1">
      <alignment horizontal="center" vertical="center" textRotation="90" wrapText="1"/>
    </xf>
    <xf numFmtId="49" fontId="3" fillId="0" borderId="44" xfId="0" applyNumberFormat="1" applyFont="1" applyBorder="1" applyAlignment="1">
      <alignment horizontal="center" vertical="top" wrapText="1"/>
    </xf>
    <xf numFmtId="0" fontId="3" fillId="0" borderId="51" xfId="0" applyFont="1" applyBorder="1" applyAlignment="1">
      <alignment vertical="top" wrapText="1"/>
    </xf>
    <xf numFmtId="0" fontId="3" fillId="0" borderId="20" xfId="0" applyFont="1" applyBorder="1" applyAlignment="1">
      <alignment vertical="top" wrapText="1"/>
    </xf>
    <xf numFmtId="49" fontId="5" fillId="0" borderId="20" xfId="0" applyNumberFormat="1" applyFont="1" applyBorder="1" applyAlignment="1">
      <alignment horizontal="center" vertical="top"/>
    </xf>
    <xf numFmtId="0" fontId="5" fillId="0" borderId="50" xfId="0" applyFont="1" applyFill="1" applyBorder="1" applyAlignment="1">
      <alignment horizontal="left" vertical="top" wrapText="1"/>
    </xf>
    <xf numFmtId="0" fontId="5" fillId="0" borderId="32" xfId="0" applyFont="1" applyFill="1" applyBorder="1" applyAlignment="1">
      <alignment horizontal="left" vertical="top" wrapText="1"/>
    </xf>
    <xf numFmtId="49" fontId="3" fillId="0" borderId="72" xfId="0" applyNumberFormat="1" applyFont="1" applyBorder="1" applyAlignment="1">
      <alignment horizontal="center" vertical="top"/>
    </xf>
    <xf numFmtId="49" fontId="3" fillId="0" borderId="39" xfId="0" applyNumberFormat="1" applyFont="1" applyBorder="1" applyAlignment="1">
      <alignment horizontal="center" vertical="top"/>
    </xf>
    <xf numFmtId="0" fontId="14" fillId="0" borderId="29" xfId="0" applyFont="1" applyFill="1" applyBorder="1" applyAlignment="1">
      <alignment horizontal="left" vertical="top" wrapText="1"/>
    </xf>
    <xf numFmtId="0" fontId="13" fillId="0" borderId="19" xfId="0" applyFont="1" applyFill="1" applyBorder="1" applyAlignment="1">
      <alignment horizontal="left" vertical="top" wrapText="1"/>
    </xf>
    <xf numFmtId="0" fontId="2" fillId="0" borderId="8" xfId="0" applyFont="1" applyFill="1" applyBorder="1" applyAlignment="1">
      <alignment horizontal="center" vertical="center" textRotation="90" wrapText="1"/>
    </xf>
    <xf numFmtId="0" fontId="2" fillId="0" borderId="10" xfId="0" applyFont="1" applyFill="1" applyBorder="1" applyAlignment="1">
      <alignment horizontal="center" vertical="center" textRotation="90" wrapText="1"/>
    </xf>
    <xf numFmtId="0" fontId="1" fillId="0" borderId="31" xfId="0" applyFont="1" applyBorder="1" applyAlignment="1">
      <alignment horizontal="center" vertical="center" textRotation="90" wrapText="1"/>
    </xf>
    <xf numFmtId="49" fontId="3" fillId="0" borderId="28" xfId="0" applyNumberFormat="1" applyFont="1" applyBorder="1" applyAlignment="1">
      <alignment horizontal="center" vertical="top"/>
    </xf>
    <xf numFmtId="0" fontId="0" fillId="0" borderId="31" xfId="0" applyBorder="1" applyAlignment="1">
      <alignment horizontal="center" vertical="center" textRotation="90" wrapText="1"/>
    </xf>
    <xf numFmtId="0" fontId="0" fillId="0" borderId="24" xfId="0" applyBorder="1" applyAlignment="1">
      <alignment horizontal="center" vertical="center" wrapText="1"/>
    </xf>
    <xf numFmtId="164" fontId="3" fillId="0" borderId="9" xfId="0" applyNumberFormat="1" applyFont="1" applyFill="1" applyBorder="1" applyAlignment="1">
      <alignment horizontal="right" vertical="top" wrapText="1"/>
    </xf>
    <xf numFmtId="0" fontId="22" fillId="0" borderId="10" xfId="0" applyFont="1" applyFill="1" applyBorder="1" applyAlignment="1">
      <alignment horizontal="center" vertical="center" textRotation="90" wrapText="1"/>
    </xf>
    <xf numFmtId="164" fontId="21" fillId="0" borderId="17" xfId="0" applyNumberFormat="1" applyFont="1" applyFill="1" applyBorder="1" applyAlignment="1">
      <alignment horizontal="right" vertical="top"/>
    </xf>
    <xf numFmtId="164" fontId="3" fillId="0" borderId="19" xfId="0" applyNumberFormat="1" applyFont="1" applyFill="1" applyBorder="1" applyAlignment="1">
      <alignment horizontal="right" vertical="top"/>
    </xf>
    <xf numFmtId="164" fontId="3" fillId="0" borderId="10" xfId="0" applyNumberFormat="1" applyFont="1" applyFill="1" applyBorder="1" applyAlignment="1">
      <alignment horizontal="right" vertical="top"/>
    </xf>
    <xf numFmtId="164" fontId="3" fillId="0" borderId="17" xfId="0" applyNumberFormat="1" applyFont="1" applyFill="1" applyBorder="1" applyAlignment="1">
      <alignment horizontal="right" vertical="top"/>
    </xf>
    <xf numFmtId="164" fontId="3" fillId="0" borderId="10" xfId="0" applyNumberFormat="1" applyFont="1" applyBorder="1" applyAlignment="1">
      <alignment horizontal="right" vertical="top"/>
    </xf>
    <xf numFmtId="164" fontId="3" fillId="0" borderId="17" xfId="0" applyNumberFormat="1" applyFont="1" applyBorder="1" applyAlignment="1">
      <alignment horizontal="right" vertical="top"/>
    </xf>
    <xf numFmtId="164" fontId="3" fillId="0" borderId="19" xfId="0" applyNumberFormat="1" applyFont="1" applyBorder="1" applyAlignment="1">
      <alignment horizontal="right" vertical="top"/>
    </xf>
    <xf numFmtId="164" fontId="21" fillId="0" borderId="10" xfId="0" applyNumberFormat="1" applyFont="1" applyFill="1" applyBorder="1" applyAlignment="1">
      <alignment horizontal="right" vertical="top"/>
    </xf>
    <xf numFmtId="49" fontId="3" fillId="0" borderId="88" xfId="0" applyNumberFormat="1" applyFont="1" applyBorder="1" applyAlignment="1">
      <alignment horizontal="center" vertical="top"/>
    </xf>
    <xf numFmtId="49" fontId="3" fillId="0" borderId="97" xfId="0" applyNumberFormat="1" applyFont="1" applyBorder="1" applyAlignment="1">
      <alignment horizontal="center" vertical="top"/>
    </xf>
    <xf numFmtId="165" fontId="3" fillId="0" borderId="21" xfId="0" applyNumberFormat="1" applyFont="1" applyFill="1" applyBorder="1" applyAlignment="1">
      <alignment horizontal="center" vertical="top" wrapText="1"/>
    </xf>
    <xf numFmtId="165" fontId="3" fillId="0" borderId="34" xfId="0" applyNumberFormat="1" applyFont="1" applyFill="1" applyBorder="1" applyAlignment="1">
      <alignment horizontal="center" vertical="top" wrapText="1"/>
    </xf>
    <xf numFmtId="49" fontId="3" fillId="0" borderId="86" xfId="0" applyNumberFormat="1" applyFont="1" applyBorder="1" applyAlignment="1">
      <alignment horizontal="center" vertical="top" wrapText="1"/>
    </xf>
    <xf numFmtId="49" fontId="3" fillId="0" borderId="95" xfId="0" applyNumberFormat="1" applyFont="1" applyBorder="1" applyAlignment="1">
      <alignment horizontal="center" vertical="top" wrapText="1"/>
    </xf>
    <xf numFmtId="0" fontId="0" fillId="0" borderId="24" xfId="0" applyBorder="1" applyAlignment="1">
      <alignment horizontal="center" vertical="top"/>
    </xf>
    <xf numFmtId="0" fontId="3" fillId="10" borderId="30" xfId="0" applyFont="1" applyFill="1" applyBorder="1" applyAlignment="1">
      <alignment horizontal="center" vertical="top" wrapText="1"/>
    </xf>
    <xf numFmtId="49" fontId="3" fillId="0" borderId="26" xfId="0" applyNumberFormat="1" applyFont="1" applyBorder="1" applyAlignment="1">
      <alignment horizontal="center" vertical="top"/>
    </xf>
    <xf numFmtId="0" fontId="3" fillId="2" borderId="57" xfId="0" applyFont="1" applyFill="1" applyBorder="1" applyAlignment="1">
      <alignment horizontal="center" vertical="top" wrapText="1"/>
    </xf>
    <xf numFmtId="0" fontId="7" fillId="0" borderId="70" xfId="0" applyFont="1" applyBorder="1" applyAlignment="1">
      <alignment horizontal="center" vertical="top" wrapText="1"/>
    </xf>
    <xf numFmtId="0" fontId="0" fillId="0" borderId="31" xfId="0" applyBorder="1" applyAlignment="1">
      <alignment horizontal="left" vertical="top" wrapText="1"/>
    </xf>
    <xf numFmtId="0" fontId="7" fillId="0" borderId="33" xfId="0" applyFont="1" applyBorder="1" applyAlignment="1">
      <alignment horizontal="left" vertical="top" wrapText="1"/>
    </xf>
    <xf numFmtId="0" fontId="5" fillId="0" borderId="8" xfId="0" applyFont="1" applyFill="1" applyBorder="1" applyAlignment="1">
      <alignment vertical="top" wrapText="1"/>
    </xf>
    <xf numFmtId="0" fontId="0" fillId="0" borderId="31" xfId="0" applyBorder="1" applyAlignment="1">
      <alignment vertical="top" wrapText="1"/>
    </xf>
    <xf numFmtId="0" fontId="3" fillId="0" borderId="45" xfId="0" applyFont="1" applyBorder="1" applyAlignment="1">
      <alignment vertical="center" textRotation="90" wrapText="1"/>
    </xf>
    <xf numFmtId="0" fontId="0" fillId="0" borderId="104" xfId="0" applyBorder="1" applyAlignment="1">
      <alignment vertical="center" textRotation="90" wrapText="1"/>
    </xf>
    <xf numFmtId="49" fontId="3" fillId="0" borderId="48" xfId="0" applyNumberFormat="1" applyFont="1" applyBorder="1" applyAlignment="1">
      <alignment horizontal="center" vertical="top" wrapText="1"/>
    </xf>
    <xf numFmtId="49" fontId="3" fillId="0" borderId="32" xfId="0" applyNumberFormat="1" applyFont="1" applyBorder="1" applyAlignment="1">
      <alignment horizontal="center" vertical="top" wrapText="1"/>
    </xf>
    <xf numFmtId="0" fontId="3" fillId="6" borderId="1" xfId="0" applyFont="1" applyFill="1" applyBorder="1" applyAlignment="1">
      <alignment vertical="top" wrapText="1"/>
    </xf>
    <xf numFmtId="0" fontId="3" fillId="6" borderId="33" xfId="0" applyFont="1" applyFill="1" applyBorder="1" applyAlignment="1">
      <alignment vertical="top" wrapText="1"/>
    </xf>
    <xf numFmtId="0" fontId="5" fillId="0" borderId="45" xfId="0" applyFont="1" applyFill="1" applyBorder="1" applyAlignment="1">
      <alignment horizontal="center" vertical="top" wrapText="1"/>
    </xf>
    <xf numFmtId="0" fontId="5" fillId="0" borderId="31" xfId="0" applyFont="1" applyFill="1" applyBorder="1" applyAlignment="1">
      <alignment horizontal="center" vertical="top" wrapText="1"/>
    </xf>
    <xf numFmtId="0" fontId="7" fillId="0" borderId="40" xfId="0" applyFont="1" applyBorder="1" applyAlignment="1">
      <alignment horizontal="center" vertical="top" wrapText="1"/>
    </xf>
    <xf numFmtId="0" fontId="5" fillId="0" borderId="8" xfId="0" applyFont="1" applyFill="1" applyBorder="1" applyAlignment="1">
      <alignment horizontal="center" vertical="top" wrapText="1"/>
    </xf>
    <xf numFmtId="49" fontId="18" fillId="0" borderId="46" xfId="0" applyNumberFormat="1" applyFont="1" applyBorder="1" applyAlignment="1">
      <alignment horizontal="center" vertical="top" wrapText="1"/>
    </xf>
    <xf numFmtId="49" fontId="18" fillId="0" borderId="24" xfId="0" applyNumberFormat="1" applyFont="1" applyBorder="1" applyAlignment="1">
      <alignment horizontal="center" vertical="top" wrapText="1"/>
    </xf>
    <xf numFmtId="0" fontId="7" fillId="0" borderId="66" xfId="0" applyFont="1" applyBorder="1" applyAlignment="1">
      <alignment horizontal="center" vertical="top"/>
    </xf>
    <xf numFmtId="164" fontId="21" fillId="0" borderId="10" xfId="0" applyNumberFormat="1" applyFont="1" applyFill="1" applyBorder="1" applyAlignment="1">
      <alignment horizontal="left" vertical="top" wrapText="1"/>
    </xf>
    <xf numFmtId="49" fontId="30" fillId="0" borderId="17" xfId="0" applyNumberFormat="1" applyFont="1" applyFill="1" applyBorder="1" applyAlignment="1">
      <alignment horizontal="center" vertical="top"/>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3" fillId="0" borderId="45" xfId="0" applyFont="1" applyFill="1" applyBorder="1" applyAlignment="1">
      <alignment horizontal="center" vertical="top" textRotation="90" wrapText="1"/>
    </xf>
    <xf numFmtId="0" fontId="0" fillId="0" borderId="10" xfId="0" applyBorder="1" applyAlignment="1">
      <alignment horizontal="center" vertical="top" textRotation="90" wrapText="1"/>
    </xf>
    <xf numFmtId="49" fontId="3" fillId="0" borderId="21" xfId="0" applyNumberFormat="1" applyFont="1" applyBorder="1" applyAlignment="1">
      <alignment horizontal="center" vertical="top" wrapText="1"/>
    </xf>
    <xf numFmtId="0" fontId="0" fillId="0" borderId="17" xfId="0" applyBorder="1" applyAlignment="1">
      <alignment horizontal="center" vertical="top" wrapText="1"/>
    </xf>
    <xf numFmtId="49" fontId="5" fillId="0" borderId="1" xfId="0" applyNumberFormat="1" applyFont="1" applyBorder="1" applyAlignment="1">
      <alignment horizontal="center" vertical="top" wrapText="1"/>
    </xf>
    <xf numFmtId="0" fontId="0" fillId="0" borderId="19" xfId="0" applyBorder="1" applyAlignment="1">
      <alignment horizontal="center" vertical="top" wrapText="1"/>
    </xf>
    <xf numFmtId="0" fontId="5" fillId="2" borderId="29" xfId="0" applyFont="1" applyFill="1" applyBorder="1" applyAlignment="1">
      <alignment vertical="top" wrapText="1"/>
    </xf>
    <xf numFmtId="0" fontId="24" fillId="0" borderId="33" xfId="0" applyFont="1" applyBorder="1" applyAlignment="1">
      <alignment vertical="top" wrapText="1"/>
    </xf>
    <xf numFmtId="0" fontId="5" fillId="2" borderId="19" xfId="0" applyFont="1" applyFill="1" applyBorder="1" applyAlignment="1">
      <alignment vertical="top" wrapText="1"/>
    </xf>
    <xf numFmtId="0" fontId="5" fillId="2" borderId="27" xfId="0" applyFont="1" applyFill="1" applyBorder="1" applyAlignment="1">
      <alignment vertical="top" wrapText="1"/>
    </xf>
    <xf numFmtId="0" fontId="0" fillId="0" borderId="66" xfId="0" applyBorder="1" applyAlignment="1">
      <alignment horizontal="center" vertical="top"/>
    </xf>
    <xf numFmtId="0" fontId="3" fillId="3" borderId="68" xfId="0" applyFont="1" applyFill="1" applyBorder="1" applyAlignment="1">
      <alignment horizontal="center" vertical="top" wrapText="1"/>
    </xf>
    <xf numFmtId="49" fontId="5" fillId="0" borderId="47" xfId="0" applyNumberFormat="1" applyFont="1" applyBorder="1" applyAlignment="1">
      <alignment horizontal="center" vertical="top" wrapText="1"/>
    </xf>
    <xf numFmtId="49" fontId="3" fillId="0" borderId="53" xfId="0" applyNumberFormat="1"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5" fillId="2" borderId="77" xfId="0" applyFont="1" applyFill="1" applyBorder="1" applyAlignment="1">
      <alignment horizontal="center" vertical="top" wrapText="1"/>
    </xf>
    <xf numFmtId="0" fontId="5" fillId="2" borderId="40" xfId="0" applyFont="1" applyFill="1" applyBorder="1" applyAlignment="1">
      <alignment horizontal="center" vertical="top" wrapText="1"/>
    </xf>
    <xf numFmtId="0" fontId="5" fillId="2" borderId="35" xfId="0" applyFont="1" applyFill="1" applyBorder="1" applyAlignment="1">
      <alignment horizontal="center" vertical="top" wrapText="1"/>
    </xf>
    <xf numFmtId="0" fontId="3" fillId="4" borderId="68" xfId="0" applyFont="1" applyFill="1" applyBorder="1" applyAlignment="1">
      <alignment horizontal="center" vertical="top"/>
    </xf>
    <xf numFmtId="49" fontId="5" fillId="0" borderId="28" xfId="0" applyNumberFormat="1" applyFont="1" applyBorder="1" applyAlignment="1">
      <alignment horizontal="center" vertical="top" wrapText="1"/>
    </xf>
    <xf numFmtId="49" fontId="3" fillId="0" borderId="28" xfId="0" applyNumberFormat="1" applyFont="1" applyBorder="1" applyAlignment="1">
      <alignment horizontal="center" vertical="top" wrapText="1"/>
    </xf>
    <xf numFmtId="0" fontId="3" fillId="2" borderId="29" xfId="0" applyFont="1" applyFill="1" applyBorder="1" applyAlignment="1">
      <alignment horizontal="left" vertical="top" wrapText="1"/>
    </xf>
    <xf numFmtId="165" fontId="5" fillId="4" borderId="78" xfId="0" applyNumberFormat="1" applyFont="1" applyFill="1" applyBorder="1" applyAlignment="1">
      <alignment horizontal="center" vertical="top" wrapText="1"/>
    </xf>
    <xf numFmtId="165" fontId="5" fillId="4" borderId="71" xfId="0" applyNumberFormat="1" applyFont="1" applyFill="1" applyBorder="1" applyAlignment="1">
      <alignment horizontal="center" vertical="top" wrapText="1"/>
    </xf>
    <xf numFmtId="165" fontId="5" fillId="4" borderId="65" xfId="0" applyNumberFormat="1" applyFont="1" applyFill="1" applyBorder="1" applyAlignment="1">
      <alignment horizontal="center" vertical="top" wrapText="1"/>
    </xf>
    <xf numFmtId="165" fontId="3" fillId="0" borderId="76" xfId="0" applyNumberFormat="1" applyFont="1" applyBorder="1" applyAlignment="1">
      <alignment horizontal="center" vertical="top" wrapText="1"/>
    </xf>
    <xf numFmtId="165" fontId="3" fillId="0" borderId="43" xfId="0" applyNumberFormat="1" applyFont="1" applyBorder="1" applyAlignment="1">
      <alignment horizontal="center" vertical="top" wrapText="1"/>
    </xf>
    <xf numFmtId="165" fontId="3" fillId="0" borderId="44" xfId="0" applyNumberFormat="1" applyFont="1" applyBorder="1" applyAlignment="1">
      <alignment horizontal="center" vertical="top" wrapText="1"/>
    </xf>
    <xf numFmtId="0" fontId="3" fillId="0" borderId="8" xfId="0" applyFont="1" applyFill="1" applyBorder="1" applyAlignment="1">
      <alignment vertical="top" wrapText="1"/>
    </xf>
    <xf numFmtId="0" fontId="0" fillId="0" borderId="10" xfId="0" applyBorder="1" applyAlignment="1">
      <alignment vertical="top" wrapText="1"/>
    </xf>
    <xf numFmtId="0" fontId="3" fillId="0" borderId="46" xfId="0" applyNumberFormat="1" applyFont="1" applyBorder="1" applyAlignment="1">
      <alignment horizontal="center" vertical="center" wrapText="1"/>
    </xf>
    <xf numFmtId="0" fontId="0" fillId="0" borderId="66" xfId="0" applyBorder="1" applyAlignment="1">
      <alignment horizontal="center" vertical="center" wrapText="1"/>
    </xf>
    <xf numFmtId="0" fontId="20" fillId="2" borderId="57" xfId="0" applyNumberFormat="1" applyFont="1" applyFill="1" applyBorder="1" applyAlignment="1">
      <alignment horizontal="left" vertical="top" wrapText="1"/>
    </xf>
    <xf numFmtId="0" fontId="20" fillId="2" borderId="40" xfId="0" applyNumberFormat="1" applyFont="1" applyFill="1" applyBorder="1" applyAlignment="1">
      <alignment horizontal="left" vertical="top" wrapText="1"/>
    </xf>
    <xf numFmtId="0" fontId="3" fillId="0" borderId="41" xfId="0" applyNumberFormat="1" applyFont="1" applyFill="1" applyBorder="1" applyAlignment="1">
      <alignment horizontal="left" vertical="top" wrapText="1"/>
    </xf>
    <xf numFmtId="0" fontId="3" fillId="11" borderId="68" xfId="0" applyFont="1" applyFill="1" applyBorder="1" applyAlignment="1">
      <alignment horizontal="center" vertical="top"/>
    </xf>
    <xf numFmtId="0" fontId="5" fillId="5" borderId="35" xfId="0" applyNumberFormat="1" applyFont="1" applyFill="1" applyBorder="1" applyAlignment="1">
      <alignment horizontal="center" vertical="top" wrapText="1"/>
    </xf>
    <xf numFmtId="0" fontId="5" fillId="5" borderId="30" xfId="0" applyNumberFormat="1" applyFont="1" applyFill="1" applyBorder="1" applyAlignment="1">
      <alignment horizontal="center" vertical="top" wrapText="1"/>
    </xf>
    <xf numFmtId="0" fontId="5" fillId="5" borderId="36" xfId="0" applyNumberFormat="1" applyFont="1" applyFill="1" applyBorder="1" applyAlignment="1">
      <alignment horizontal="center" vertical="top" wrapText="1"/>
    </xf>
    <xf numFmtId="164" fontId="5" fillId="5" borderId="35" xfId="0" applyNumberFormat="1" applyFont="1" applyFill="1" applyBorder="1" applyAlignment="1">
      <alignment horizontal="center" vertical="top" wrapText="1"/>
    </xf>
    <xf numFmtId="164" fontId="5" fillId="5" borderId="30" xfId="0" applyNumberFormat="1" applyFont="1" applyFill="1" applyBorder="1" applyAlignment="1">
      <alignment horizontal="center" vertical="top" wrapText="1"/>
    </xf>
    <xf numFmtId="164" fontId="5" fillId="5" borderId="36" xfId="0" applyNumberFormat="1" applyFont="1" applyFill="1" applyBorder="1" applyAlignment="1">
      <alignment horizontal="center" vertical="top" wrapText="1"/>
    </xf>
    <xf numFmtId="3" fontId="3" fillId="6" borderId="0" xfId="0" applyNumberFormat="1" applyFont="1" applyFill="1" applyAlignment="1">
      <alignment vertical="top"/>
    </xf>
    <xf numFmtId="0" fontId="7" fillId="6" borderId="0" xfId="0" applyFont="1" applyFill="1" applyAlignment="1">
      <alignment vertical="top"/>
    </xf>
    <xf numFmtId="3" fontId="3" fillId="6" borderId="0" xfId="0" applyNumberFormat="1" applyFont="1" applyFill="1" applyAlignment="1">
      <alignment horizontal="left" vertical="top"/>
    </xf>
    <xf numFmtId="3" fontId="7" fillId="6" borderId="0" xfId="0" applyNumberFormat="1" applyFont="1" applyFill="1" applyAlignment="1">
      <alignment horizontal="left" vertical="top"/>
    </xf>
    <xf numFmtId="165" fontId="5" fillId="4" borderId="76" xfId="0" applyNumberFormat="1" applyFont="1" applyFill="1" applyBorder="1" applyAlignment="1">
      <alignment horizontal="center" vertical="top" wrapText="1"/>
    </xf>
    <xf numFmtId="165" fontId="5" fillId="4" borderId="43" xfId="0" applyNumberFormat="1" applyFont="1" applyFill="1" applyBorder="1" applyAlignment="1">
      <alignment horizontal="center" vertical="top" wrapText="1"/>
    </xf>
    <xf numFmtId="165" fontId="5" fillId="4" borderId="44" xfId="0" applyNumberFormat="1" applyFont="1" applyFill="1" applyBorder="1" applyAlignment="1">
      <alignment horizontal="center" vertical="top" wrapText="1"/>
    </xf>
  </cellXfs>
  <cellStyles count="4">
    <cellStyle name="Įprastas" xfId="0" builtinId="0"/>
    <cellStyle name="Įprastas 2" xfId="1"/>
    <cellStyle name="Išvestis" xfId="3" builtinId="21"/>
    <cellStyle name="Stilius 1" xfId="2"/>
  </cellStyles>
  <dxfs count="0"/>
  <tableStyles count="0" defaultTableStyle="TableStyleMedium2" defaultPivotStyle="PivotStyleLight16"/>
  <colors>
    <mruColors>
      <color rgb="FFCCECFF"/>
      <color rgb="FFCCFFCC"/>
      <color rgb="FFFFFF99"/>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spPr>
            <a:solidFill>
              <a:schemeClr val="bg1"/>
            </a:solidFill>
          </c:spPr>
          <c:explosion val="25"/>
          <c:dPt>
            <c:idx val="1"/>
            <c:bubble3D val="0"/>
            <c:spPr>
              <a:solidFill>
                <a:srgbClr val="CCECFF"/>
              </a:solidFill>
            </c:spPr>
            <c:extLst xmlns:c16r2="http://schemas.microsoft.com/office/drawing/2015/06/chart">
              <c:ext xmlns:c16="http://schemas.microsoft.com/office/drawing/2014/chart" uri="{C3380CC4-5D6E-409C-BE32-E72D297353CC}">
                <c16:uniqueId val="{00000001-F2F1-442F-BAE2-57B645300C6F}"/>
              </c:ext>
            </c:extLst>
          </c:dPt>
          <c:dLbls>
            <c:dLbl>
              <c:idx val="0"/>
              <c:layout>
                <c:manualLayout>
                  <c:x val="0.18888867016622923"/>
                  <c:y val="-6.0185185185185272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F2F1-442F-BAE2-57B645300C6F}"/>
                </c:ext>
                <c:ext xmlns:c15="http://schemas.microsoft.com/office/drawing/2012/chart" uri="{CE6537A1-D6FC-4f65-9D91-7224C49458BB}">
                  <c15:layout/>
                </c:ext>
              </c:extLst>
            </c:dLbl>
            <c:dLbl>
              <c:idx val="1"/>
              <c:layout>
                <c:manualLayout>
                  <c:x val="-0.13611111111111113"/>
                  <c:y val="6.9444444444444448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F2F1-442F-BAE2-57B645300C6F}"/>
                </c:ext>
                <c:ext xmlns:c15="http://schemas.microsoft.com/office/drawing/2012/chart" uri="{CE6537A1-D6FC-4f65-9D91-7224C49458BB}">
                  <c15:layout/>
                </c:ext>
              </c:extLst>
            </c:dLbl>
            <c:spPr>
              <a:noFill/>
              <a:ln>
                <a:noFill/>
              </a:ln>
              <a:effectLst/>
            </c:spPr>
            <c:txPr>
              <a:bodyPr/>
              <a:lstStyle/>
              <a:p>
                <a:pPr>
                  <a:defRPr>
                    <a:latin typeface="Times New Roman" panose="02020603050405020304" pitchFamily="18" charset="0"/>
                    <a:cs typeface="Times New Roman" panose="02020603050405020304" pitchFamily="18" charset="0"/>
                  </a:defRPr>
                </a:pPr>
                <a:endParaRPr lang="lt-LT"/>
              </a:p>
            </c:txPr>
            <c:dLblPos val="outEnd"/>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multiLvlStrRef>
              <c:f>Ataskaita!$B$10:$D$11</c:f>
              <c:multiLvlStrCache>
                <c:ptCount val="2"/>
                <c:lvl>
                  <c:pt idx="0">
                    <c:v>–</c:v>
                  </c:pt>
                  <c:pt idx="1">
                    <c:v>–</c:v>
                  </c:pt>
                </c:lvl>
                <c:lvl>
                  <c:pt idx="0">
                    <c:v>faktiškai įvykdyta</c:v>
                  </c:pt>
                  <c:pt idx="1">
                    <c:v>iš dalies įvykdyta</c:v>
                  </c:pt>
                </c:lvl>
              </c:multiLvlStrCache>
            </c:multiLvlStrRef>
          </c:cat>
          <c:val>
            <c:numRef>
              <c:f>Ataskaita!$E$10:$E$11</c:f>
              <c:numCache>
                <c:formatCode>General</c:formatCode>
                <c:ptCount val="2"/>
                <c:pt idx="0">
                  <c:v>16</c:v>
                </c:pt>
                <c:pt idx="1">
                  <c:v>1</c:v>
                </c:pt>
              </c:numCache>
            </c:numRef>
          </c:val>
          <c:extLst xmlns:c16r2="http://schemas.microsoft.com/office/drawing/2015/06/chart">
            <c:ext xmlns:c16="http://schemas.microsoft.com/office/drawing/2014/chart" uri="{C3380CC4-5D6E-409C-BE32-E72D297353CC}">
              <c16:uniqueId val="{00000003-F2F1-442F-BAE2-57B645300C6F}"/>
            </c:ext>
          </c:extLst>
        </c:ser>
        <c:dLbls>
          <c:showLegendKey val="0"/>
          <c:showVal val="0"/>
          <c:showCatName val="0"/>
          <c:showSerName val="0"/>
          <c:showPercent val="0"/>
          <c:showBubbleSize val="0"/>
          <c:showLeaderLines val="0"/>
        </c:dLbls>
      </c:pie3DChart>
    </c:plotArea>
    <c:plotVisOnly val="1"/>
    <c:dispBlanksAs val="gap"/>
    <c:showDLblsOverMax val="0"/>
  </c:chart>
  <c:txPr>
    <a:bodyPr/>
    <a:lstStyle/>
    <a:p>
      <a:pPr>
        <a:defRPr sz="1200"/>
      </a:pPr>
      <a:endParaRPr lang="lt-L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504825</xdr:colOff>
      <xdr:row>12</xdr:row>
      <xdr:rowOff>128587</xdr:rowOff>
    </xdr:from>
    <xdr:to>
      <xdr:col>8</xdr:col>
      <xdr:colOff>200025</xdr:colOff>
      <xdr:row>26</xdr:row>
      <xdr:rowOff>71437</xdr:rowOff>
    </xdr:to>
    <xdr:graphicFrame macro="">
      <xdr:nvGraphicFramePr>
        <xdr:cNvPr id="2" name="Diagrama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zoomScaleNormal="100" zoomScaleSheetLayoutView="100" workbookViewId="0">
      <selection activeCell="X29" sqref="X29"/>
    </sheetView>
  </sheetViews>
  <sheetFormatPr defaultRowHeight="12.75" x14ac:dyDescent="0.2"/>
  <sheetData>
    <row r="1" spans="1:11" ht="15.75" x14ac:dyDescent="0.25">
      <c r="A1" s="1939" t="s">
        <v>443</v>
      </c>
      <c r="B1" s="1940"/>
      <c r="C1" s="1940"/>
      <c r="D1" s="1940"/>
      <c r="E1" s="1940"/>
      <c r="F1" s="1940"/>
      <c r="G1" s="1940"/>
      <c r="H1" s="1940"/>
      <c r="I1" s="1940"/>
      <c r="J1" s="1940"/>
      <c r="K1" s="1856"/>
    </row>
    <row r="2" spans="1:11" ht="15.75" x14ac:dyDescent="0.25">
      <c r="A2" s="1939" t="s">
        <v>431</v>
      </c>
      <c r="B2" s="1940"/>
      <c r="C2" s="1940"/>
      <c r="D2" s="1940"/>
      <c r="E2" s="1940"/>
      <c r="F2" s="1940"/>
      <c r="G2" s="1940"/>
      <c r="H2" s="1940"/>
      <c r="I2" s="1940"/>
      <c r="J2" s="1940"/>
      <c r="K2" s="1856"/>
    </row>
    <row r="3" spans="1:11" ht="15.75" x14ac:dyDescent="0.25">
      <c r="A3" s="1939" t="s">
        <v>432</v>
      </c>
      <c r="B3" s="1940"/>
      <c r="C3" s="1940"/>
      <c r="D3" s="1940"/>
      <c r="E3" s="1940"/>
      <c r="F3" s="1940"/>
      <c r="G3" s="1940"/>
      <c r="H3" s="1940"/>
      <c r="I3" s="1940"/>
      <c r="J3" s="1940"/>
      <c r="K3" s="1856"/>
    </row>
    <row r="5" spans="1:11" ht="36" customHeight="1" x14ac:dyDescent="0.2">
      <c r="A5" s="1941" t="s">
        <v>433</v>
      </c>
      <c r="B5" s="1940"/>
      <c r="C5" s="1940"/>
      <c r="D5" s="1940"/>
      <c r="E5" s="1940"/>
      <c r="F5" s="1940"/>
      <c r="G5" s="1940"/>
      <c r="H5" s="1940"/>
      <c r="I5" s="1940"/>
      <c r="J5" s="1940"/>
      <c r="K5" s="1857"/>
    </row>
    <row r="6" spans="1:11" ht="11.25" customHeight="1" x14ac:dyDescent="0.2"/>
    <row r="7" spans="1:11" ht="61.5" customHeight="1" x14ac:dyDescent="0.2">
      <c r="A7" s="1942" t="s">
        <v>445</v>
      </c>
      <c r="B7" s="1940"/>
      <c r="C7" s="1940"/>
      <c r="D7" s="1940"/>
      <c r="E7" s="1940"/>
      <c r="F7" s="1940"/>
      <c r="G7" s="1940"/>
      <c r="H7" s="1940"/>
      <c r="I7" s="1940"/>
      <c r="J7" s="1940"/>
      <c r="K7" s="1858"/>
    </row>
    <row r="9" spans="1:11" ht="20.25" customHeight="1" x14ac:dyDescent="0.2">
      <c r="A9" s="1942" t="s">
        <v>446</v>
      </c>
      <c r="B9" s="1943"/>
      <c r="C9" s="1943"/>
      <c r="D9" s="1943"/>
      <c r="E9" s="1943"/>
      <c r="F9" s="1943"/>
      <c r="G9" s="1943"/>
      <c r="H9" s="1943"/>
      <c r="I9" s="1943"/>
      <c r="J9" s="1943"/>
      <c r="K9" s="1858"/>
    </row>
    <row r="10" spans="1:11" ht="15.75" x14ac:dyDescent="0.25">
      <c r="A10" s="1850"/>
      <c r="B10" s="1945" t="s">
        <v>434</v>
      </c>
      <c r="C10" s="1945"/>
      <c r="D10" s="1851" t="s">
        <v>435</v>
      </c>
      <c r="E10" s="1852">
        <v>16</v>
      </c>
      <c r="F10" s="1859" t="s">
        <v>436</v>
      </c>
      <c r="G10" s="1859"/>
      <c r="H10" s="1859"/>
      <c r="I10" s="1859"/>
      <c r="J10" s="1859"/>
      <c r="K10" s="1859"/>
    </row>
    <row r="11" spans="1:11" ht="15.75" x14ac:dyDescent="0.25">
      <c r="A11" s="1850"/>
      <c r="B11" s="1945" t="s">
        <v>437</v>
      </c>
      <c r="C11" s="1945"/>
      <c r="D11" s="1851" t="s">
        <v>435</v>
      </c>
      <c r="E11" s="1852">
        <v>1</v>
      </c>
      <c r="F11" s="1859" t="s">
        <v>438</v>
      </c>
      <c r="G11" s="1859"/>
      <c r="H11" s="1859"/>
      <c r="I11" s="1859"/>
      <c r="J11" s="1859"/>
      <c r="K11" s="1859"/>
    </row>
    <row r="12" spans="1:11" s="1853" customFormat="1" ht="18.75" customHeight="1" x14ac:dyDescent="0.25">
      <c r="B12" s="1946" t="s">
        <v>444</v>
      </c>
      <c r="C12" s="1947"/>
      <c r="D12" s="1947"/>
      <c r="E12" s="1947"/>
      <c r="F12" s="1947"/>
      <c r="G12" s="1947"/>
      <c r="H12" s="1947"/>
      <c r="I12" s="1947"/>
    </row>
    <row r="13" spans="1:11" s="1853" customFormat="1" ht="15.75" x14ac:dyDescent="0.25">
      <c r="B13" s="1854"/>
      <c r="C13" s="1854"/>
      <c r="D13" s="1854"/>
      <c r="E13" s="1855"/>
      <c r="F13" s="1854"/>
      <c r="G13" s="1854"/>
    </row>
    <row r="14" spans="1:11" s="1853" customFormat="1" ht="15.75" x14ac:dyDescent="0.25">
      <c r="E14" s="1645"/>
    </row>
    <row r="15" spans="1:11" s="1853" customFormat="1" ht="15.75" x14ac:dyDescent="0.25">
      <c r="E15" s="1645"/>
    </row>
    <row r="16" spans="1:11" s="1853" customFormat="1" ht="15.75" x14ac:dyDescent="0.25">
      <c r="E16" s="1645"/>
    </row>
    <row r="17" spans="1:11" s="1853" customFormat="1" ht="15.75" x14ac:dyDescent="0.25">
      <c r="E17" s="1645"/>
    </row>
    <row r="18" spans="1:11" s="1853" customFormat="1" ht="15.75" x14ac:dyDescent="0.25">
      <c r="E18" s="1645"/>
    </row>
    <row r="19" spans="1:11" s="1853" customFormat="1" ht="15.75" x14ac:dyDescent="0.25">
      <c r="E19" s="1645"/>
    </row>
    <row r="20" spans="1:11" s="1853" customFormat="1" ht="15.75" x14ac:dyDescent="0.25">
      <c r="E20" s="1645"/>
    </row>
    <row r="21" spans="1:11" s="1853" customFormat="1" ht="15.75" x14ac:dyDescent="0.25">
      <c r="E21" s="1645"/>
    </row>
    <row r="22" spans="1:11" s="1853" customFormat="1" ht="15.75" x14ac:dyDescent="0.25">
      <c r="E22" s="1645"/>
    </row>
    <row r="23" spans="1:11" s="1853" customFormat="1" ht="15.75" x14ac:dyDescent="0.25">
      <c r="E23" s="1645"/>
    </row>
    <row r="24" spans="1:11" s="1853" customFormat="1" ht="15.75" x14ac:dyDescent="0.25">
      <c r="E24" s="1645"/>
    </row>
    <row r="25" spans="1:11" s="1853" customFormat="1" ht="15.75" x14ac:dyDescent="0.25">
      <c r="E25" s="1645"/>
    </row>
    <row r="26" spans="1:11" s="1853" customFormat="1" ht="15.75" x14ac:dyDescent="0.25">
      <c r="E26" s="1645"/>
    </row>
    <row r="27" spans="1:11" s="1853" customFormat="1" ht="15.75" x14ac:dyDescent="0.25">
      <c r="E27" s="1645"/>
    </row>
    <row r="29" spans="1:11" ht="40.5" customHeight="1" x14ac:dyDescent="0.2">
      <c r="A29" s="1944" t="s">
        <v>439</v>
      </c>
      <c r="B29" s="1938"/>
      <c r="C29" s="1938"/>
      <c r="D29" s="1938"/>
      <c r="E29" s="1938"/>
      <c r="F29" s="1938"/>
      <c r="G29" s="1938"/>
      <c r="H29" s="1938"/>
      <c r="I29" s="1938"/>
      <c r="J29" s="1938"/>
      <c r="K29" s="1860"/>
    </row>
    <row r="30" spans="1:11" ht="31.5" customHeight="1" x14ac:dyDescent="0.2">
      <c r="A30" s="1937" t="s">
        <v>440</v>
      </c>
      <c r="B30" s="1938"/>
      <c r="C30" s="1938"/>
      <c r="D30" s="1938"/>
      <c r="E30" s="1938"/>
      <c r="F30" s="1938"/>
      <c r="G30" s="1938"/>
      <c r="H30" s="1938"/>
      <c r="I30" s="1938"/>
      <c r="J30" s="1938"/>
      <c r="K30" s="1861"/>
    </row>
    <row r="31" spans="1:11" ht="33" customHeight="1" x14ac:dyDescent="0.2">
      <c r="A31" s="1937" t="s">
        <v>441</v>
      </c>
      <c r="B31" s="1938"/>
      <c r="C31" s="1938"/>
      <c r="D31" s="1938"/>
      <c r="E31" s="1938"/>
      <c r="F31" s="1938"/>
      <c r="G31" s="1938"/>
      <c r="H31" s="1938"/>
      <c r="I31" s="1938"/>
      <c r="J31" s="1938"/>
      <c r="K31" s="1861"/>
    </row>
    <row r="32" spans="1:11" ht="30.75" customHeight="1" x14ac:dyDescent="0.2">
      <c r="A32" s="1937" t="s">
        <v>442</v>
      </c>
      <c r="B32" s="1938"/>
      <c r="C32" s="1938"/>
      <c r="D32" s="1938"/>
      <c r="E32" s="1938"/>
      <c r="F32" s="1938"/>
      <c r="G32" s="1938"/>
      <c r="H32" s="1938"/>
      <c r="I32" s="1938"/>
      <c r="J32" s="1938"/>
      <c r="K32" s="1861"/>
    </row>
  </sheetData>
  <mergeCells count="13">
    <mergeCell ref="A30:J30"/>
    <mergeCell ref="A31:J31"/>
    <mergeCell ref="A32:J32"/>
    <mergeCell ref="A1:J1"/>
    <mergeCell ref="A2:J2"/>
    <mergeCell ref="A3:J3"/>
    <mergeCell ref="A5:J5"/>
    <mergeCell ref="A7:J7"/>
    <mergeCell ref="A9:J9"/>
    <mergeCell ref="A29:J29"/>
    <mergeCell ref="B10:C10"/>
    <mergeCell ref="B11:C11"/>
    <mergeCell ref="B12:I12"/>
  </mergeCells>
  <pageMargins left="0.98425196850393704" right="0"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70"/>
  <sheetViews>
    <sheetView view="pageBreakPreview" zoomScaleNormal="100" zoomScaleSheetLayoutView="100" workbookViewId="0">
      <selection activeCell="W6" sqref="W6"/>
    </sheetView>
  </sheetViews>
  <sheetFormatPr defaultRowHeight="12.75" x14ac:dyDescent="0.2"/>
  <cols>
    <col min="1" max="3" width="2.7109375" style="1346" customWidth="1"/>
    <col min="4" max="4" width="31.7109375" style="1346" customWidth="1"/>
    <col min="5" max="5" width="2.7109375" style="1347" customWidth="1"/>
    <col min="6" max="6" width="2.7109375" style="1348" customWidth="1"/>
    <col min="7" max="7" width="7.5703125" style="601" customWidth="1"/>
    <col min="8" max="9" width="9.5703125" style="601" customWidth="1"/>
    <col min="10" max="10" width="9.7109375" style="1346" customWidth="1"/>
    <col min="11" max="11" width="33.42578125" style="1346" customWidth="1"/>
    <col min="12" max="12" width="5.7109375" style="1346" customWidth="1"/>
    <col min="13" max="13" width="5.85546875" style="1346" customWidth="1"/>
    <col min="14" max="14" width="27.140625" style="1346" customWidth="1"/>
    <col min="15" max="15" width="28.7109375" style="1346" customWidth="1"/>
    <col min="16" max="16384" width="9.140625" style="1200"/>
  </cols>
  <sheetData>
    <row r="1" spans="1:17" s="47" customFormat="1" ht="15.75" x14ac:dyDescent="0.2">
      <c r="A1" s="2066" t="s">
        <v>416</v>
      </c>
      <c r="B1" s="2066"/>
      <c r="C1" s="2066"/>
      <c r="D1" s="2066"/>
      <c r="E1" s="2066"/>
      <c r="F1" s="2066"/>
      <c r="G1" s="2066"/>
      <c r="H1" s="2066"/>
      <c r="I1" s="2066"/>
      <c r="J1" s="2066"/>
      <c r="K1" s="2066"/>
      <c r="L1" s="2066"/>
      <c r="M1" s="2066"/>
      <c r="N1" s="2066"/>
      <c r="O1" s="2066"/>
      <c r="P1" s="1563"/>
      <c r="Q1" s="1563"/>
    </row>
    <row r="2" spans="1:17" ht="18.75" customHeight="1" x14ac:dyDescent="0.2">
      <c r="A2" s="2067" t="s">
        <v>34</v>
      </c>
      <c r="B2" s="2067"/>
      <c r="C2" s="2067"/>
      <c r="D2" s="2067"/>
      <c r="E2" s="2067"/>
      <c r="F2" s="2067"/>
      <c r="G2" s="2067"/>
      <c r="H2" s="2067"/>
      <c r="I2" s="2067"/>
      <c r="J2" s="2067"/>
      <c r="K2" s="2067"/>
      <c r="L2" s="2067"/>
      <c r="M2" s="2067"/>
      <c r="N2" s="2067"/>
      <c r="O2" s="2067"/>
    </row>
    <row r="3" spans="1:17" ht="13.5" thickBot="1" x14ac:dyDescent="0.25">
      <c r="L3" s="2068" t="s">
        <v>246</v>
      </c>
      <c r="M3" s="2068"/>
      <c r="N3" s="2068"/>
      <c r="O3" s="2068"/>
    </row>
    <row r="4" spans="1:17" s="47" customFormat="1" ht="18.75" customHeight="1" x14ac:dyDescent="0.2">
      <c r="A4" s="2069" t="s">
        <v>406</v>
      </c>
      <c r="B4" s="2072" t="s">
        <v>1</v>
      </c>
      <c r="C4" s="2072" t="s">
        <v>2</v>
      </c>
      <c r="D4" s="2075" t="s">
        <v>15</v>
      </c>
      <c r="E4" s="2078" t="s">
        <v>3</v>
      </c>
      <c r="F4" s="1987" t="s">
        <v>4</v>
      </c>
      <c r="G4" s="1990" t="s">
        <v>5</v>
      </c>
      <c r="H4" s="1999" t="s">
        <v>407</v>
      </c>
      <c r="I4" s="2000"/>
      <c r="J4" s="2001"/>
      <c r="K4" s="2002" t="s">
        <v>408</v>
      </c>
      <c r="L4" s="2003"/>
      <c r="M4" s="2003"/>
      <c r="N4" s="2004" t="s">
        <v>409</v>
      </c>
      <c r="O4" s="2083" t="s">
        <v>410</v>
      </c>
      <c r="P4" s="1501"/>
    </row>
    <row r="5" spans="1:17" s="47" customFormat="1" ht="12.75" customHeight="1" x14ac:dyDescent="0.2">
      <c r="A5" s="2070"/>
      <c r="B5" s="2073"/>
      <c r="C5" s="2073"/>
      <c r="D5" s="2076"/>
      <c r="E5" s="2079"/>
      <c r="F5" s="1988"/>
      <c r="G5" s="1991"/>
      <c r="H5" s="2086" t="s">
        <v>411</v>
      </c>
      <c r="I5" s="2088" t="s">
        <v>412</v>
      </c>
      <c r="J5" s="2088" t="s">
        <v>413</v>
      </c>
      <c r="K5" s="2081" t="s">
        <v>457</v>
      </c>
      <c r="L5" s="2090" t="s">
        <v>414</v>
      </c>
      <c r="M5" s="2092" t="s">
        <v>415</v>
      </c>
      <c r="N5" s="2005"/>
      <c r="O5" s="2084"/>
      <c r="P5" s="1501"/>
    </row>
    <row r="6" spans="1:17" s="47" customFormat="1" ht="80.25" customHeight="1" thickBot="1" x14ac:dyDescent="0.25">
      <c r="A6" s="2071"/>
      <c r="B6" s="2074"/>
      <c r="C6" s="2074"/>
      <c r="D6" s="2077"/>
      <c r="E6" s="2080"/>
      <c r="F6" s="1989"/>
      <c r="G6" s="1992"/>
      <c r="H6" s="2087"/>
      <c r="I6" s="2089"/>
      <c r="J6" s="2089"/>
      <c r="K6" s="2082"/>
      <c r="L6" s="2091"/>
      <c r="M6" s="2093"/>
      <c r="N6" s="2006"/>
      <c r="O6" s="2085"/>
      <c r="P6" s="1501"/>
    </row>
    <row r="7" spans="1:17" s="1349" customFormat="1" x14ac:dyDescent="0.2">
      <c r="A7" s="1984" t="s">
        <v>109</v>
      </c>
      <c r="B7" s="1985"/>
      <c r="C7" s="1985"/>
      <c r="D7" s="1985"/>
      <c r="E7" s="1985"/>
      <c r="F7" s="1985"/>
      <c r="G7" s="1985"/>
      <c r="H7" s="1985"/>
      <c r="I7" s="1985"/>
      <c r="J7" s="1985"/>
      <c r="K7" s="1985"/>
      <c r="L7" s="1985"/>
      <c r="M7" s="1985"/>
      <c r="N7" s="1985"/>
      <c r="O7" s="1986"/>
    </row>
    <row r="8" spans="1:17" s="1349" customFormat="1" ht="19.5" customHeight="1" x14ac:dyDescent="0.2">
      <c r="A8" s="1993" t="s">
        <v>71</v>
      </c>
      <c r="B8" s="1994"/>
      <c r="C8" s="1994"/>
      <c r="D8" s="1994"/>
      <c r="E8" s="1994"/>
      <c r="F8" s="1994"/>
      <c r="G8" s="1994"/>
      <c r="H8" s="1994"/>
      <c r="I8" s="1994"/>
      <c r="J8" s="1994"/>
      <c r="K8" s="1994"/>
      <c r="L8" s="1994"/>
      <c r="M8" s="1994"/>
      <c r="N8" s="1994"/>
      <c r="O8" s="1995"/>
    </row>
    <row r="9" spans="1:17" s="1873" customFormat="1" ht="42.75" customHeight="1" x14ac:dyDescent="0.2">
      <c r="A9" s="1883" t="s">
        <v>8</v>
      </c>
      <c r="B9" s="2212" t="s">
        <v>447</v>
      </c>
      <c r="C9" s="2213"/>
      <c r="D9" s="2213"/>
      <c r="E9" s="2213"/>
      <c r="F9" s="2213"/>
      <c r="G9" s="2214"/>
      <c r="H9" s="2215" t="s">
        <v>448</v>
      </c>
      <c r="I9" s="2215"/>
      <c r="J9" s="2215"/>
      <c r="K9" s="1884" t="s">
        <v>449</v>
      </c>
      <c r="L9" s="1885">
        <v>99.2</v>
      </c>
      <c r="M9" s="1885">
        <v>99</v>
      </c>
      <c r="N9" s="1881"/>
      <c r="O9" s="2216"/>
    </row>
    <row r="10" spans="1:17" s="1873" customFormat="1" ht="40.5" customHeight="1" x14ac:dyDescent="0.2">
      <c r="A10" s="1874"/>
      <c r="B10" s="2218"/>
      <c r="C10" s="2219"/>
      <c r="D10" s="2219"/>
      <c r="E10" s="2219"/>
      <c r="F10" s="2219"/>
      <c r="G10" s="2220"/>
      <c r="H10" s="2221" t="s">
        <v>448</v>
      </c>
      <c r="I10" s="2221"/>
      <c r="J10" s="2221"/>
      <c r="K10" s="1875" t="s">
        <v>450</v>
      </c>
      <c r="L10" s="1876">
        <v>97.8</v>
      </c>
      <c r="M10" s="1876">
        <v>99</v>
      </c>
      <c r="N10" s="1881"/>
      <c r="O10" s="2217"/>
    </row>
    <row r="11" spans="1:17" s="1873" customFormat="1" ht="39" customHeight="1" x14ac:dyDescent="0.2">
      <c r="A11" s="1874"/>
      <c r="B11" s="1877"/>
      <c r="C11" s="1878"/>
      <c r="D11" s="1878"/>
      <c r="E11" s="1878"/>
      <c r="F11" s="1878"/>
      <c r="G11" s="1878"/>
      <c r="H11" s="2221" t="s">
        <v>448</v>
      </c>
      <c r="I11" s="2221"/>
      <c r="J11" s="2221"/>
      <c r="K11" s="1875" t="s">
        <v>451</v>
      </c>
      <c r="L11" s="1876">
        <v>560</v>
      </c>
      <c r="M11" s="1876">
        <v>561</v>
      </c>
      <c r="N11" s="1881"/>
      <c r="O11" s="1882"/>
    </row>
    <row r="12" spans="1:17" s="5" customFormat="1" ht="25.5" customHeight="1" x14ac:dyDescent="0.2">
      <c r="A12" s="1874"/>
      <c r="B12" s="1877"/>
      <c r="C12" s="1878"/>
      <c r="D12" s="1878"/>
      <c r="E12" s="1878"/>
      <c r="F12" s="1878"/>
      <c r="G12" s="1878"/>
      <c r="H12" s="2221" t="s">
        <v>452</v>
      </c>
      <c r="I12" s="2221"/>
      <c r="J12" s="2221"/>
      <c r="K12" s="1875" t="s">
        <v>453</v>
      </c>
      <c r="L12" s="1876">
        <v>102</v>
      </c>
      <c r="M12" s="1876">
        <v>101</v>
      </c>
      <c r="N12" s="1879"/>
      <c r="O12" s="1880"/>
    </row>
    <row r="13" spans="1:17" ht="15.75" customHeight="1" x14ac:dyDescent="0.2">
      <c r="A13" s="1350" t="s">
        <v>8</v>
      </c>
      <c r="B13" s="1996" t="s">
        <v>110</v>
      </c>
      <c r="C13" s="1997"/>
      <c r="D13" s="1997"/>
      <c r="E13" s="1997"/>
      <c r="F13" s="1997"/>
      <c r="G13" s="1997"/>
      <c r="H13" s="1997"/>
      <c r="I13" s="1997"/>
      <c r="J13" s="1997"/>
      <c r="K13" s="1997"/>
      <c r="L13" s="1997"/>
      <c r="M13" s="1997"/>
      <c r="N13" s="1997"/>
      <c r="O13" s="1998"/>
    </row>
    <row r="14" spans="1:17" ht="16.5" customHeight="1" x14ac:dyDescent="0.2">
      <c r="A14" s="1351" t="s">
        <v>8</v>
      </c>
      <c r="B14" s="1352" t="s">
        <v>8</v>
      </c>
      <c r="C14" s="2018" t="s">
        <v>58</v>
      </c>
      <c r="D14" s="2019"/>
      <c r="E14" s="2019"/>
      <c r="F14" s="2019"/>
      <c r="G14" s="2019"/>
      <c r="H14" s="2019"/>
      <c r="I14" s="2019"/>
      <c r="J14" s="2019"/>
      <c r="K14" s="2019"/>
      <c r="L14" s="2019"/>
      <c r="M14" s="2019"/>
      <c r="N14" s="2019"/>
      <c r="O14" s="2020"/>
    </row>
    <row r="15" spans="1:17" ht="26.25" customHeight="1" x14ac:dyDescent="0.2">
      <c r="A15" s="1353" t="s">
        <v>8</v>
      </c>
      <c r="B15" s="1354" t="s">
        <v>8</v>
      </c>
      <c r="C15" s="1355" t="s">
        <v>8</v>
      </c>
      <c r="D15" s="1572" t="s">
        <v>91</v>
      </c>
      <c r="E15" s="1564"/>
      <c r="F15" s="1356"/>
      <c r="G15" s="1357"/>
      <c r="H15" s="1521"/>
      <c r="I15" s="1521"/>
      <c r="J15" s="1412"/>
      <c r="K15" s="1358"/>
      <c r="L15" s="1359"/>
      <c r="M15" s="1359"/>
      <c r="N15" s="1551"/>
      <c r="O15" s="1360"/>
    </row>
    <row r="16" spans="1:17" ht="15.75" x14ac:dyDescent="0.2">
      <c r="A16" s="1353"/>
      <c r="B16" s="1354"/>
      <c r="C16" s="1355"/>
      <c r="D16" s="1573" t="s">
        <v>40</v>
      </c>
      <c r="E16" s="1565"/>
      <c r="F16" s="1361" t="s">
        <v>36</v>
      </c>
      <c r="G16" s="1362" t="s">
        <v>33</v>
      </c>
      <c r="H16" s="1518">
        <v>183069</v>
      </c>
      <c r="I16" s="1518">
        <f>183069+38379</f>
        <v>221448</v>
      </c>
      <c r="J16" s="1523">
        <f>+I16</f>
        <v>221448</v>
      </c>
      <c r="K16" s="1363" t="s">
        <v>81</v>
      </c>
      <c r="L16" s="1364">
        <v>3.38</v>
      </c>
      <c r="M16" s="95">
        <v>3</v>
      </c>
      <c r="N16" s="1647"/>
      <c r="O16" s="1133"/>
    </row>
    <row r="17" spans="1:15" ht="12.75" customHeight="1" x14ac:dyDescent="0.2">
      <c r="A17" s="1976"/>
      <c r="B17" s="1978"/>
      <c r="C17" s="2007"/>
      <c r="D17" s="2008" t="s">
        <v>41</v>
      </c>
      <c r="E17" s="2012" t="s">
        <v>403</v>
      </c>
      <c r="F17" s="2015"/>
      <c r="G17" s="1365"/>
      <c r="H17" s="1411"/>
      <c r="I17" s="1411"/>
      <c r="J17" s="1343"/>
      <c r="K17" s="1366" t="s">
        <v>43</v>
      </c>
      <c r="L17" s="557">
        <v>2</v>
      </c>
      <c r="M17" s="557">
        <v>3</v>
      </c>
      <c r="N17" s="1959"/>
      <c r="O17" s="1648"/>
    </row>
    <row r="18" spans="1:15" ht="13.5" customHeight="1" x14ac:dyDescent="0.2">
      <c r="A18" s="1976"/>
      <c r="B18" s="1978"/>
      <c r="C18" s="2007"/>
      <c r="D18" s="2009"/>
      <c r="E18" s="2013"/>
      <c r="F18" s="2016"/>
      <c r="G18" s="1367"/>
      <c r="H18" s="1411"/>
      <c r="I18" s="1411"/>
      <c r="J18" s="1370"/>
      <c r="K18" s="1368" t="s">
        <v>218</v>
      </c>
      <c r="L18" s="346">
        <v>3</v>
      </c>
      <c r="M18" s="346">
        <v>3</v>
      </c>
      <c r="N18" s="1960"/>
      <c r="O18" s="1649"/>
    </row>
    <row r="19" spans="1:15" ht="25.5" x14ac:dyDescent="0.2">
      <c r="A19" s="1353"/>
      <c r="B19" s="1354"/>
      <c r="C19" s="1355"/>
      <c r="D19" s="1574"/>
      <c r="E19" s="2014"/>
      <c r="F19" s="1369"/>
      <c r="G19" s="1365"/>
      <c r="H19" s="1411"/>
      <c r="I19" s="1411"/>
      <c r="J19" s="1370"/>
      <c r="K19" s="1371" t="s">
        <v>254</v>
      </c>
      <c r="L19" s="450">
        <v>100</v>
      </c>
      <c r="M19" s="450">
        <v>100</v>
      </c>
      <c r="N19" s="1650"/>
      <c r="O19" s="1649"/>
    </row>
    <row r="20" spans="1:15" ht="12.75" customHeight="1" x14ac:dyDescent="0.2">
      <c r="A20" s="1976"/>
      <c r="B20" s="1978"/>
      <c r="C20" s="2007"/>
      <c r="D20" s="2009" t="s">
        <v>42</v>
      </c>
      <c r="E20" s="2013"/>
      <c r="F20" s="2010"/>
      <c r="G20" s="1365"/>
      <c r="H20" s="1411"/>
      <c r="I20" s="1411"/>
      <c r="J20" s="1343"/>
      <c r="K20" s="1924" t="s">
        <v>387</v>
      </c>
      <c r="L20" s="1914">
        <v>9</v>
      </c>
      <c r="M20" s="1914">
        <v>6</v>
      </c>
      <c r="N20" s="1553"/>
      <c r="O20" s="1961"/>
    </row>
    <row r="21" spans="1:15" ht="12.75" customHeight="1" x14ac:dyDescent="0.2">
      <c r="A21" s="1976"/>
      <c r="B21" s="1978"/>
      <c r="C21" s="2007"/>
      <c r="D21" s="2009"/>
      <c r="E21" s="2013"/>
      <c r="F21" s="2010"/>
      <c r="G21" s="1365"/>
      <c r="H21" s="1411"/>
      <c r="I21" s="1411"/>
      <c r="J21" s="1343"/>
      <c r="K21" s="1924" t="s">
        <v>388</v>
      </c>
      <c r="L21" s="1914">
        <v>1</v>
      </c>
      <c r="M21" s="1914">
        <v>1</v>
      </c>
      <c r="N21" s="1553"/>
      <c r="O21" s="1962"/>
    </row>
    <row r="22" spans="1:15" ht="25.5" customHeight="1" x14ac:dyDescent="0.2">
      <c r="A22" s="1976"/>
      <c r="B22" s="1978"/>
      <c r="C22" s="2007"/>
      <c r="D22" s="2009"/>
      <c r="E22" s="2013"/>
      <c r="F22" s="2010"/>
      <c r="G22" s="1365"/>
      <c r="H22" s="1411"/>
      <c r="I22" s="1411"/>
      <c r="J22" s="1343"/>
      <c r="K22" s="1924" t="s">
        <v>391</v>
      </c>
      <c r="L22" s="1914">
        <v>1</v>
      </c>
      <c r="M22" s="1914">
        <v>1</v>
      </c>
      <c r="N22" s="1553"/>
      <c r="O22" s="1904"/>
    </row>
    <row r="23" spans="1:15" ht="15" customHeight="1" x14ac:dyDescent="0.2">
      <c r="A23" s="1976"/>
      <c r="B23" s="1978"/>
      <c r="C23" s="2007"/>
      <c r="D23" s="2009"/>
      <c r="E23" s="2013"/>
      <c r="F23" s="2010"/>
      <c r="G23" s="1365"/>
      <c r="H23" s="1411"/>
      <c r="I23" s="1411"/>
      <c r="J23" s="1343"/>
      <c r="K23" s="1924" t="s">
        <v>219</v>
      </c>
      <c r="L23" s="1914">
        <v>111</v>
      </c>
      <c r="M23" s="1914">
        <v>111</v>
      </c>
      <c r="N23" s="1553"/>
      <c r="O23" s="1904"/>
    </row>
    <row r="24" spans="1:15" ht="26.25" customHeight="1" x14ac:dyDescent="0.2">
      <c r="A24" s="1976"/>
      <c r="B24" s="1978"/>
      <c r="C24" s="2007"/>
      <c r="D24" s="2009"/>
      <c r="E24" s="2013"/>
      <c r="F24" s="2010"/>
      <c r="G24" s="1365"/>
      <c r="H24" s="1411"/>
      <c r="I24" s="1411"/>
      <c r="J24" s="1343"/>
      <c r="K24" s="1373" t="s">
        <v>255</v>
      </c>
      <c r="L24" s="1914">
        <v>1</v>
      </c>
      <c r="M24" s="1914">
        <v>1</v>
      </c>
      <c r="N24" s="1553"/>
      <c r="O24" s="1904"/>
    </row>
    <row r="25" spans="1:15" ht="18" customHeight="1" x14ac:dyDescent="0.2">
      <c r="A25" s="1976"/>
      <c r="B25" s="1978"/>
      <c r="C25" s="2007"/>
      <c r="D25" s="2009"/>
      <c r="E25" s="2013"/>
      <c r="F25" s="2010"/>
      <c r="G25" s="1365"/>
      <c r="H25" s="1411"/>
      <c r="I25" s="1411"/>
      <c r="J25" s="1343"/>
      <c r="K25" s="1373" t="s">
        <v>207</v>
      </c>
      <c r="L25" s="1914" t="s">
        <v>208</v>
      </c>
      <c r="M25" s="1914">
        <v>35</v>
      </c>
      <c r="N25" s="1553"/>
      <c r="O25" s="1963" t="s">
        <v>458</v>
      </c>
    </row>
    <row r="26" spans="1:15" ht="16.5" customHeight="1" x14ac:dyDescent="0.2">
      <c r="A26" s="1976"/>
      <c r="B26" s="1978"/>
      <c r="C26" s="2007"/>
      <c r="D26" s="2009"/>
      <c r="E26" s="2013"/>
      <c r="F26" s="2010"/>
      <c r="G26" s="1365"/>
      <c r="H26" s="1411"/>
      <c r="I26" s="1411"/>
      <c r="J26" s="1370"/>
      <c r="K26" s="1373" t="s">
        <v>202</v>
      </c>
      <c r="L26" s="1914">
        <v>69</v>
      </c>
      <c r="M26" s="1914">
        <v>48</v>
      </c>
      <c r="N26" s="1553"/>
      <c r="O26" s="1964"/>
    </row>
    <row r="27" spans="1:15" ht="12.75" customHeight="1" x14ac:dyDescent="0.2">
      <c r="A27" s="1976"/>
      <c r="B27" s="1978"/>
      <c r="C27" s="2007"/>
      <c r="D27" s="2009"/>
      <c r="E27" s="2013"/>
      <c r="F27" s="2010"/>
      <c r="G27" s="1365"/>
      <c r="H27" s="1411"/>
      <c r="I27" s="1411"/>
      <c r="J27" s="1370"/>
      <c r="K27" s="1373" t="s">
        <v>201</v>
      </c>
      <c r="L27" s="1914" t="s">
        <v>200</v>
      </c>
      <c r="M27" s="1914">
        <v>15</v>
      </c>
      <c r="N27" s="1553"/>
      <c r="O27" s="1965"/>
    </row>
    <row r="28" spans="1:15" ht="25.5" customHeight="1" x14ac:dyDescent="0.2">
      <c r="A28" s="2017"/>
      <c r="B28" s="2024"/>
      <c r="C28" s="2094"/>
      <c r="D28" s="2095"/>
      <c r="E28" s="2096"/>
      <c r="F28" s="2011"/>
      <c r="G28" s="1889"/>
      <c r="H28" s="1731"/>
      <c r="I28" s="1731"/>
      <c r="J28" s="1646"/>
      <c r="K28" s="1890" t="s">
        <v>417</v>
      </c>
      <c r="L28" s="1832">
        <v>1</v>
      </c>
      <c r="M28" s="1832">
        <v>1</v>
      </c>
      <c r="N28" s="1891"/>
      <c r="O28" s="1966"/>
    </row>
    <row r="29" spans="1:15" ht="12.75" customHeight="1" x14ac:dyDescent="0.2">
      <c r="A29" s="1374"/>
      <c r="B29" s="1868"/>
      <c r="C29" s="1869"/>
      <c r="D29" s="1954" t="s">
        <v>167</v>
      </c>
      <c r="E29" s="2022" t="s">
        <v>75</v>
      </c>
      <c r="F29" s="1609" t="s">
        <v>36</v>
      </c>
      <c r="G29" s="1376" t="s">
        <v>33</v>
      </c>
      <c r="H29" s="1519">
        <f>936.2/3.4528*1000</f>
        <v>271142</v>
      </c>
      <c r="I29" s="1519">
        <f>936.2/3.4528*1000</f>
        <v>271142</v>
      </c>
      <c r="J29" s="1370">
        <v>271142</v>
      </c>
      <c r="K29" s="1652" t="s">
        <v>169</v>
      </c>
      <c r="L29" s="1653">
        <v>100</v>
      </c>
      <c r="M29" s="1627">
        <v>100</v>
      </c>
      <c r="N29" s="1380"/>
      <c r="O29" s="1654"/>
    </row>
    <row r="30" spans="1:15" ht="26.25" customHeight="1" x14ac:dyDescent="0.2">
      <c r="A30" s="1374"/>
      <c r="B30" s="1868"/>
      <c r="C30" s="1869"/>
      <c r="D30" s="1954"/>
      <c r="E30" s="2023"/>
      <c r="F30" s="1375"/>
      <c r="G30" s="1376"/>
      <c r="H30" s="1519"/>
      <c r="I30" s="1519"/>
      <c r="J30" s="1416"/>
      <c r="K30" s="1626" t="s">
        <v>220</v>
      </c>
      <c r="L30" s="1655">
        <v>100</v>
      </c>
      <c r="M30" s="1627">
        <v>100</v>
      </c>
      <c r="N30" s="1553"/>
      <c r="O30" s="595"/>
    </row>
    <row r="31" spans="1:15" ht="25.5" customHeight="1" x14ac:dyDescent="0.2">
      <c r="A31" s="1374"/>
      <c r="B31" s="1868"/>
      <c r="C31" s="1869"/>
      <c r="D31" s="1954"/>
      <c r="E31" s="2023"/>
      <c r="F31" s="1375"/>
      <c r="G31" s="1610"/>
      <c r="H31" s="1520"/>
      <c r="I31" s="1520"/>
      <c r="J31" s="1596"/>
      <c r="K31" s="1371" t="s">
        <v>221</v>
      </c>
      <c r="L31" s="1656">
        <v>100</v>
      </c>
      <c r="M31" s="450">
        <v>100</v>
      </c>
      <c r="N31" s="1336"/>
      <c r="O31" s="451"/>
    </row>
    <row r="32" spans="1:15" ht="27.75" customHeight="1" x14ac:dyDescent="0.2">
      <c r="A32" s="1374"/>
      <c r="B32" s="1868"/>
      <c r="C32" s="1869"/>
      <c r="D32" s="2021"/>
      <c r="E32" s="1624"/>
      <c r="F32" s="1657"/>
      <c r="G32" s="1379" t="s">
        <v>129</v>
      </c>
      <c r="H32" s="613">
        <f>205.1/3.4528*1000</f>
        <v>59401</v>
      </c>
      <c r="I32" s="613">
        <f>205.1/3.4528*1000</f>
        <v>59401</v>
      </c>
      <c r="J32" s="1658">
        <v>59398</v>
      </c>
      <c r="K32" s="1659" t="s">
        <v>210</v>
      </c>
      <c r="L32" s="1660">
        <v>100</v>
      </c>
      <c r="M32" s="568">
        <v>100</v>
      </c>
      <c r="N32" s="1529"/>
      <c r="O32" s="1620"/>
    </row>
    <row r="33" spans="1:24" ht="30" customHeight="1" x14ac:dyDescent="0.2">
      <c r="A33" s="1374"/>
      <c r="B33" s="1868"/>
      <c r="C33" s="1869"/>
      <c r="D33" s="1575" t="s">
        <v>230</v>
      </c>
      <c r="E33" s="1595"/>
      <c r="F33" s="1643" t="s">
        <v>36</v>
      </c>
      <c r="G33" s="1381" t="s">
        <v>33</v>
      </c>
      <c r="H33" s="1431">
        <f>118.2/3.4528*1000</f>
        <v>34233</v>
      </c>
      <c r="I33" s="1431">
        <v>0</v>
      </c>
      <c r="J33" s="1382">
        <v>0</v>
      </c>
      <c r="K33" s="1383" t="s">
        <v>271</v>
      </c>
      <c r="L33" s="1679">
        <v>1280</v>
      </c>
      <c r="M33" s="965">
        <v>1280</v>
      </c>
      <c r="N33" s="1661" t="s">
        <v>456</v>
      </c>
      <c r="O33" s="596"/>
    </row>
    <row r="34" spans="1:24" ht="40.5" customHeight="1" x14ac:dyDescent="0.2">
      <c r="A34" s="1374"/>
      <c r="B34" s="1354"/>
      <c r="C34" s="1355"/>
      <c r="D34" s="1835" t="s">
        <v>214</v>
      </c>
      <c r="E34" s="1836" t="s">
        <v>195</v>
      </c>
      <c r="F34" s="1632" t="s">
        <v>36</v>
      </c>
      <c r="G34" s="1379" t="s">
        <v>33</v>
      </c>
      <c r="H34" s="1431">
        <f>20/3.4528*1000</f>
        <v>5792</v>
      </c>
      <c r="I34" s="1431">
        <f>20/3.4528*1000</f>
        <v>5792</v>
      </c>
      <c r="J34" s="1528">
        <v>0</v>
      </c>
      <c r="K34" s="1663" t="s">
        <v>215</v>
      </c>
      <c r="L34" s="1664">
        <v>1</v>
      </c>
      <c r="M34" s="1665">
        <v>0</v>
      </c>
      <c r="N34" s="1666"/>
      <c r="O34" s="1967" t="s">
        <v>454</v>
      </c>
    </row>
    <row r="35" spans="1:24" ht="13.5" customHeight="1" thickBot="1" x14ac:dyDescent="0.25">
      <c r="A35" s="1388"/>
      <c r="B35" s="1389"/>
      <c r="C35" s="1390"/>
      <c r="D35" s="1671"/>
      <c r="E35" s="1566"/>
      <c r="F35" s="1391"/>
      <c r="G35" s="1392" t="s">
        <v>9</v>
      </c>
      <c r="H35" s="1393">
        <f>SUM(H15:H34)</f>
        <v>553637</v>
      </c>
      <c r="I35" s="1434">
        <f>SUM(I15:I34)</f>
        <v>557783</v>
      </c>
      <c r="J35" s="1394">
        <f>SUM(J1:J34)</f>
        <v>551988</v>
      </c>
      <c r="K35" s="1667"/>
      <c r="L35" s="1668"/>
      <c r="M35" s="1669"/>
      <c r="N35" s="1670"/>
      <c r="O35" s="1968"/>
      <c r="T35" s="1384"/>
      <c r="U35" s="1384"/>
      <c r="V35" s="1384"/>
      <c r="W35" s="1384"/>
      <c r="X35" s="1384"/>
    </row>
    <row r="36" spans="1:24" ht="12.75" customHeight="1" x14ac:dyDescent="0.2">
      <c r="A36" s="1975" t="s">
        <v>8</v>
      </c>
      <c r="B36" s="2025" t="s">
        <v>8</v>
      </c>
      <c r="C36" s="2027" t="s">
        <v>10</v>
      </c>
      <c r="D36" s="2031" t="s">
        <v>92</v>
      </c>
      <c r="E36" s="2028"/>
      <c r="F36" s="2030" t="s">
        <v>36</v>
      </c>
      <c r="G36" s="1396" t="s">
        <v>33</v>
      </c>
      <c r="H36" s="1591">
        <f>7153.9/3.4528*1000</f>
        <v>2071913</v>
      </c>
      <c r="I36" s="1397">
        <f>2071913-111832-17200</f>
        <v>1942881</v>
      </c>
      <c r="J36" s="1398">
        <f>1828466+66592.92+52144.72-J38</f>
        <v>1942881</v>
      </c>
      <c r="K36" s="1674"/>
      <c r="L36" s="600"/>
      <c r="M36" s="600"/>
      <c r="N36" s="1675"/>
      <c r="O36" s="1676"/>
      <c r="T36" s="1384"/>
      <c r="U36" s="1384"/>
      <c r="V36" s="1384"/>
      <c r="W36" s="1384"/>
      <c r="X36" s="1384"/>
    </row>
    <row r="37" spans="1:24" x14ac:dyDescent="0.2">
      <c r="A37" s="1976"/>
      <c r="B37" s="2026"/>
      <c r="C37" s="2007"/>
      <c r="D37" s="2032"/>
      <c r="E37" s="2029"/>
      <c r="F37" s="2016"/>
      <c r="G37" s="1399" t="s">
        <v>51</v>
      </c>
      <c r="H37" s="1522">
        <v>869</v>
      </c>
      <c r="I37" s="1412">
        <v>869</v>
      </c>
      <c r="J37" s="1672">
        <v>868</v>
      </c>
      <c r="K37" s="1405"/>
      <c r="L37" s="478"/>
      <c r="M37" s="478"/>
      <c r="N37" s="1553"/>
      <c r="O37" s="1904"/>
    </row>
    <row r="38" spans="1:24" x14ac:dyDescent="0.2">
      <c r="A38" s="1905"/>
      <c r="B38" s="1906"/>
      <c r="C38" s="1907"/>
      <c r="D38" s="2033"/>
      <c r="E38" s="1571"/>
      <c r="F38" s="1419"/>
      <c r="G38" s="1387" t="s">
        <v>33</v>
      </c>
      <c r="H38" s="1431">
        <f>15/3.4528*1000</f>
        <v>4344</v>
      </c>
      <c r="I38" s="1421">
        <f>15/3.4528*1000</f>
        <v>4344</v>
      </c>
      <c r="J38" s="1597">
        <v>4323</v>
      </c>
      <c r="K38" s="1400"/>
      <c r="L38" s="1915"/>
      <c r="M38" s="1915"/>
      <c r="N38" s="1529"/>
      <c r="O38" s="1917"/>
    </row>
    <row r="39" spans="1:24" ht="15.75" customHeight="1" x14ac:dyDescent="0.2">
      <c r="A39" s="1976"/>
      <c r="B39" s="1978"/>
      <c r="C39" s="2007"/>
      <c r="D39" s="2009" t="s">
        <v>134</v>
      </c>
      <c r="E39" s="2029"/>
      <c r="F39" s="2016"/>
      <c r="G39" s="1401"/>
      <c r="H39" s="1411"/>
      <c r="I39" s="1343"/>
      <c r="J39" s="1404"/>
      <c r="K39" s="1373" t="s">
        <v>222</v>
      </c>
      <c r="L39" s="1914">
        <v>3.8</v>
      </c>
      <c r="M39" s="1914">
        <v>4</v>
      </c>
      <c r="N39" s="1552"/>
      <c r="O39" s="1916"/>
    </row>
    <row r="40" spans="1:24" ht="14.25" customHeight="1" x14ac:dyDescent="0.2">
      <c r="A40" s="1976"/>
      <c r="B40" s="1978"/>
      <c r="C40" s="2007"/>
      <c r="D40" s="2009"/>
      <c r="E40" s="2029"/>
      <c r="F40" s="2016"/>
      <c r="G40" s="1367"/>
      <c r="H40" s="1411"/>
      <c r="I40" s="1343"/>
      <c r="J40" s="1404"/>
      <c r="K40" s="1699" t="s">
        <v>148</v>
      </c>
      <c r="L40" s="478">
        <v>3.4</v>
      </c>
      <c r="M40" s="478">
        <v>3</v>
      </c>
      <c r="N40" s="1553"/>
      <c r="O40" s="1904"/>
    </row>
    <row r="41" spans="1:24" ht="15" customHeight="1" x14ac:dyDescent="0.2">
      <c r="A41" s="1976"/>
      <c r="B41" s="1978"/>
      <c r="C41" s="2007"/>
      <c r="D41" s="2009"/>
      <c r="E41" s="2029"/>
      <c r="F41" s="2016"/>
      <c r="G41" s="1367"/>
      <c r="H41" s="1411"/>
      <c r="I41" s="1343"/>
      <c r="J41" s="1447"/>
      <c r="K41" s="1924" t="s">
        <v>223</v>
      </c>
      <c r="L41" s="450">
        <v>24</v>
      </c>
      <c r="M41" s="450">
        <v>24</v>
      </c>
      <c r="N41" s="1336"/>
      <c r="O41" s="451"/>
    </row>
    <row r="42" spans="1:24" ht="41.25" customHeight="1" x14ac:dyDescent="0.2">
      <c r="A42" s="1976"/>
      <c r="B42" s="1978"/>
      <c r="C42" s="2007"/>
      <c r="D42" s="2008" t="s">
        <v>47</v>
      </c>
      <c r="E42" s="1703"/>
      <c r="F42" s="1909"/>
      <c r="G42" s="1726"/>
      <c r="H42" s="1727"/>
      <c r="I42" s="1728"/>
      <c r="J42" s="1729"/>
      <c r="K42" s="1700" t="s">
        <v>49</v>
      </c>
      <c r="L42" s="1692">
        <v>36</v>
      </c>
      <c r="M42" s="1692">
        <v>39</v>
      </c>
      <c r="N42" s="1701" t="s">
        <v>459</v>
      </c>
      <c r="O42" s="1697"/>
    </row>
    <row r="43" spans="1:24" ht="38.25" customHeight="1" x14ac:dyDescent="0.2">
      <c r="A43" s="1976"/>
      <c r="B43" s="1978"/>
      <c r="C43" s="2007"/>
      <c r="D43" s="2098"/>
      <c r="E43" s="1704"/>
      <c r="F43" s="1369"/>
      <c r="G43" s="1730"/>
      <c r="H43" s="1731"/>
      <c r="I43" s="1732"/>
      <c r="J43" s="1733"/>
      <c r="K43" s="1371" t="s">
        <v>135</v>
      </c>
      <c r="L43" s="450">
        <v>895</v>
      </c>
      <c r="M43" s="1695">
        <v>1227</v>
      </c>
      <c r="N43" s="1678" t="s">
        <v>423</v>
      </c>
      <c r="O43" s="1681"/>
    </row>
    <row r="44" spans="1:24" ht="15" customHeight="1" x14ac:dyDescent="0.2">
      <c r="A44" s="1905"/>
      <c r="B44" s="1906"/>
      <c r="C44" s="1907"/>
      <c r="D44" s="1908" t="s">
        <v>273</v>
      </c>
      <c r="E44" s="1913"/>
      <c r="F44" s="1910"/>
      <c r="G44" s="1367"/>
      <c r="H44" s="1411"/>
      <c r="I44" s="1343"/>
      <c r="J44" s="1404"/>
      <c r="K44" s="1405" t="s">
        <v>316</v>
      </c>
      <c r="L44" s="1696" t="s">
        <v>234</v>
      </c>
      <c r="M44" s="1696">
        <v>2979</v>
      </c>
      <c r="N44" s="1959" t="s">
        <v>420</v>
      </c>
      <c r="O44" s="1697"/>
    </row>
    <row r="45" spans="1:24" ht="14.25" customHeight="1" x14ac:dyDescent="0.2">
      <c r="A45" s="1905"/>
      <c r="B45" s="1906"/>
      <c r="C45" s="1907"/>
      <c r="D45" s="1908"/>
      <c r="E45" s="1913"/>
      <c r="F45" s="1910"/>
      <c r="G45" s="1367"/>
      <c r="H45" s="1411"/>
      <c r="I45" s="1343"/>
      <c r="J45" s="1404"/>
      <c r="K45" s="1402" t="s">
        <v>317</v>
      </c>
      <c r="L45" s="1694" t="s">
        <v>236</v>
      </c>
      <c r="M45" s="1694">
        <v>2948</v>
      </c>
      <c r="N45" s="1969"/>
      <c r="O45" s="1698"/>
    </row>
    <row r="46" spans="1:24" ht="27" customHeight="1" x14ac:dyDescent="0.2">
      <c r="A46" s="1911"/>
      <c r="B46" s="1912"/>
      <c r="C46" s="1921"/>
      <c r="D46" s="1922"/>
      <c r="E46" s="1704"/>
      <c r="F46" s="1369"/>
      <c r="G46" s="1898"/>
      <c r="H46" s="1731"/>
      <c r="I46" s="1732"/>
      <c r="J46" s="1733"/>
      <c r="K46" s="1378" t="s">
        <v>318</v>
      </c>
      <c r="L46" s="1406" t="s">
        <v>418</v>
      </c>
      <c r="M46" s="1680" t="s">
        <v>419</v>
      </c>
      <c r="N46" s="1682" t="s">
        <v>421</v>
      </c>
      <c r="O46" s="1673"/>
    </row>
    <row r="47" spans="1:24" ht="105.75" customHeight="1" thickBot="1" x14ac:dyDescent="0.25">
      <c r="A47" s="1886"/>
      <c r="B47" s="1887"/>
      <c r="C47" s="1888"/>
      <c r="D47" s="1929"/>
      <c r="E47" s="1703"/>
      <c r="F47" s="1909"/>
      <c r="G47" s="1926"/>
      <c r="H47" s="1927"/>
      <c r="I47" s="1925"/>
      <c r="J47" s="1928"/>
      <c r="K47" s="1700" t="s">
        <v>84</v>
      </c>
      <c r="L47" s="1692">
        <v>1</v>
      </c>
      <c r="M47" s="1692">
        <v>0</v>
      </c>
      <c r="N47" s="1701" t="s">
        <v>460</v>
      </c>
      <c r="O47" s="1974" t="s">
        <v>461</v>
      </c>
    </row>
    <row r="48" spans="1:24" ht="16.5" customHeight="1" thickBot="1" x14ac:dyDescent="0.25">
      <c r="A48" s="1918"/>
      <c r="B48" s="1919"/>
      <c r="C48" s="1920"/>
      <c r="D48" s="1923"/>
      <c r="E48" s="1608"/>
      <c r="F48" s="1456"/>
      <c r="G48" s="1408" t="s">
        <v>9</v>
      </c>
      <c r="H48" s="1395">
        <f>H36+H37+H38</f>
        <v>2077126</v>
      </c>
      <c r="I48" s="1930">
        <f t="shared" ref="I48:J48" si="0">I36+I37+I38</f>
        <v>1948094</v>
      </c>
      <c r="J48" s="1395">
        <f t="shared" si="0"/>
        <v>1948072</v>
      </c>
      <c r="K48" s="1725"/>
      <c r="L48" s="1931"/>
      <c r="M48" s="1932"/>
      <c r="N48" s="1933"/>
      <c r="O48" s="1968"/>
    </row>
    <row r="49" spans="1:15" x14ac:dyDescent="0.2">
      <c r="A49" s="1975" t="s">
        <v>8</v>
      </c>
      <c r="B49" s="1977" t="s">
        <v>8</v>
      </c>
      <c r="C49" s="1979" t="s">
        <v>35</v>
      </c>
      <c r="D49" s="2100" t="s">
        <v>93</v>
      </c>
      <c r="E49" s="2104" t="s">
        <v>124</v>
      </c>
      <c r="F49" s="2099" t="s">
        <v>36</v>
      </c>
      <c r="G49" s="1396" t="s">
        <v>33</v>
      </c>
      <c r="H49" s="1397">
        <v>596734</v>
      </c>
      <c r="I49" s="1397">
        <f>596734+4066-4909+10263+ 25000</f>
        <v>631154</v>
      </c>
      <c r="J49" s="1683">
        <f>625661+2042</f>
        <v>627703</v>
      </c>
      <c r="K49" s="1410"/>
      <c r="L49" s="1543"/>
      <c r="M49" s="1543"/>
      <c r="N49" s="1555"/>
      <c r="O49" s="1545"/>
    </row>
    <row r="50" spans="1:15" x14ac:dyDescent="0.2">
      <c r="A50" s="1976"/>
      <c r="B50" s="1978"/>
      <c r="C50" s="1980"/>
      <c r="D50" s="2101"/>
      <c r="E50" s="2105"/>
      <c r="F50" s="2010"/>
      <c r="G50" s="1401" t="s">
        <v>393</v>
      </c>
      <c r="H50" s="1421"/>
      <c r="I50" s="1421">
        <v>7609</v>
      </c>
      <c r="J50" s="1684">
        <v>7609</v>
      </c>
      <c r="K50" s="1405"/>
      <c r="L50" s="478"/>
      <c r="M50" s="478"/>
      <c r="N50" s="1553"/>
      <c r="O50" s="595"/>
    </row>
    <row r="51" spans="1:15" ht="12.75" customHeight="1" x14ac:dyDescent="0.2">
      <c r="A51" s="1976"/>
      <c r="B51" s="1978"/>
      <c r="C51" s="1980"/>
      <c r="D51" s="2102"/>
      <c r="E51" s="2105"/>
      <c r="F51" s="2010"/>
      <c r="G51" s="1399" t="s">
        <v>51</v>
      </c>
      <c r="H51" s="1412">
        <v>33654</v>
      </c>
      <c r="I51" s="1421">
        <f>33654+1587</f>
        <v>35241</v>
      </c>
      <c r="J51" s="1685">
        <v>26881</v>
      </c>
      <c r="K51" s="1652"/>
      <c r="L51" s="478"/>
      <c r="M51" s="478"/>
      <c r="N51" s="1553"/>
      <c r="O51" s="595"/>
    </row>
    <row r="52" spans="1:15" ht="12.75" customHeight="1" x14ac:dyDescent="0.2">
      <c r="A52" s="1533"/>
      <c r="B52" s="1542"/>
      <c r="C52" s="1550"/>
      <c r="D52" s="2103"/>
      <c r="E52" s="2106"/>
      <c r="F52" s="1548"/>
      <c r="G52" s="1387" t="s">
        <v>373</v>
      </c>
      <c r="H52" s="1421">
        <v>2164</v>
      </c>
      <c r="I52" s="1421">
        <v>2164</v>
      </c>
      <c r="J52" s="1686">
        <v>2164</v>
      </c>
      <c r="K52" s="1547"/>
      <c r="L52" s="1544"/>
      <c r="M52" s="1544"/>
      <c r="N52" s="1529"/>
      <c r="O52" s="1546"/>
    </row>
    <row r="53" spans="1:15" ht="27" customHeight="1" x14ac:dyDescent="0.2">
      <c r="A53" s="1533"/>
      <c r="B53" s="1534"/>
      <c r="C53" s="1541"/>
      <c r="D53" s="1622" t="s">
        <v>174</v>
      </c>
      <c r="E53" s="1690"/>
      <c r="F53" s="1530"/>
      <c r="G53" s="1415"/>
      <c r="H53" s="1370"/>
      <c r="I53" s="1370"/>
      <c r="J53" s="1417"/>
      <c r="K53" s="1707" t="s">
        <v>256</v>
      </c>
      <c r="L53" s="1662">
        <v>2</v>
      </c>
      <c r="M53" s="1708">
        <v>2</v>
      </c>
      <c r="N53" s="1709"/>
      <c r="O53" s="1628"/>
    </row>
    <row r="54" spans="1:15" ht="26.25" customHeight="1" x14ac:dyDescent="0.2">
      <c r="A54" s="1611"/>
      <c r="B54" s="1612"/>
      <c r="C54" s="1613"/>
      <c r="D54" s="1954" t="s">
        <v>216</v>
      </c>
      <c r="E54" s="1734"/>
      <c r="F54" s="1615"/>
      <c r="G54" s="1726"/>
      <c r="H54" s="1728"/>
      <c r="I54" s="1728"/>
      <c r="J54" s="1728"/>
      <c r="K54" s="1700" t="s">
        <v>257</v>
      </c>
      <c r="L54" s="1692">
        <v>2</v>
      </c>
      <c r="M54" s="1693">
        <v>2</v>
      </c>
      <c r="N54" s="1710" t="s">
        <v>422</v>
      </c>
      <c r="O54" s="1648"/>
    </row>
    <row r="55" spans="1:15" ht="38.25" customHeight="1" x14ac:dyDescent="0.2">
      <c r="A55" s="1611"/>
      <c r="B55" s="1612"/>
      <c r="C55" s="1613"/>
      <c r="D55" s="1960"/>
      <c r="E55" s="1735"/>
      <c r="F55" s="1369"/>
      <c r="G55" s="1730"/>
      <c r="H55" s="1732"/>
      <c r="I55" s="1732"/>
      <c r="J55" s="1732"/>
      <c r="K55" s="1418" t="s">
        <v>258</v>
      </c>
      <c r="L55" s="605">
        <v>5</v>
      </c>
      <c r="M55" s="1687">
        <v>5</v>
      </c>
      <c r="N55" s="1711" t="s">
        <v>463</v>
      </c>
      <c r="O55" s="1649"/>
    </row>
    <row r="56" spans="1:15" ht="24.75" customHeight="1" x14ac:dyDescent="0.2">
      <c r="A56" s="1611"/>
      <c r="B56" s="1612"/>
      <c r="C56" s="1613"/>
      <c r="D56" s="1618" t="s">
        <v>113</v>
      </c>
      <c r="E56" s="1736"/>
      <c r="F56" s="1737"/>
      <c r="G56" s="1738"/>
      <c r="H56" s="1342"/>
      <c r="I56" s="1342"/>
      <c r="J56" s="1342"/>
      <c r="K56" s="1371" t="s">
        <v>136</v>
      </c>
      <c r="L56" s="346">
        <v>2</v>
      </c>
      <c r="M56" s="1689">
        <v>2</v>
      </c>
      <c r="N56" s="1712"/>
      <c r="O56" s="347"/>
    </row>
    <row r="57" spans="1:15" ht="30.75" customHeight="1" x14ac:dyDescent="0.2">
      <c r="A57" s="1892"/>
      <c r="B57" s="1893"/>
      <c r="C57" s="1894"/>
      <c r="D57" s="2021" t="s">
        <v>248</v>
      </c>
      <c r="E57" s="1734"/>
      <c r="F57" s="1896"/>
      <c r="G57" s="1726"/>
      <c r="H57" s="1728"/>
      <c r="I57" s="1728"/>
      <c r="J57" s="1728"/>
      <c r="K57" s="1713" t="s">
        <v>53</v>
      </c>
      <c r="L57" s="1714">
        <v>19.5</v>
      </c>
      <c r="M57" s="1715">
        <v>22.5</v>
      </c>
      <c r="N57" s="1950" t="s">
        <v>455</v>
      </c>
      <c r="O57" s="1716"/>
    </row>
    <row r="58" spans="1:15" ht="24.75" customHeight="1" x14ac:dyDescent="0.2">
      <c r="A58" s="1892"/>
      <c r="B58" s="1893"/>
      <c r="C58" s="1895"/>
      <c r="D58" s="2021"/>
      <c r="E58" s="1739"/>
      <c r="F58" s="1897"/>
      <c r="G58" s="1367"/>
      <c r="H58" s="1343"/>
      <c r="I58" s="1343"/>
      <c r="J58" s="1343"/>
      <c r="K58" s="1717" t="s">
        <v>52</v>
      </c>
      <c r="L58" s="1718">
        <v>108.8</v>
      </c>
      <c r="M58" s="1719">
        <v>110</v>
      </c>
      <c r="N58" s="1951"/>
      <c r="O58" s="1720"/>
    </row>
    <row r="59" spans="1:15" ht="26.25" customHeight="1" x14ac:dyDescent="0.2">
      <c r="A59" s="1892"/>
      <c r="B59" s="1893"/>
      <c r="C59" s="1895"/>
      <c r="D59" s="2097"/>
      <c r="E59" s="1739"/>
      <c r="F59" s="1897"/>
      <c r="G59" s="1367"/>
      <c r="H59" s="1343"/>
      <c r="I59" s="1343"/>
      <c r="J59" s="1370"/>
      <c r="K59" s="1377" t="s">
        <v>390</v>
      </c>
      <c r="L59" s="1832">
        <v>7</v>
      </c>
      <c r="M59" s="1833">
        <v>7</v>
      </c>
      <c r="N59" s="1711"/>
      <c r="O59" s="1834"/>
    </row>
    <row r="60" spans="1:15" ht="26.25" customHeight="1" x14ac:dyDescent="0.2">
      <c r="A60" s="1374"/>
      <c r="B60" s="1354"/>
      <c r="C60" s="1385"/>
      <c r="D60" s="1617"/>
      <c r="E60" s="1739"/>
      <c r="F60" s="1616"/>
      <c r="G60" s="1367"/>
      <c r="H60" s="1602"/>
      <c r="I60" s="1602"/>
      <c r="J60" s="1370"/>
      <c r="K60" s="1827" t="s">
        <v>259</v>
      </c>
      <c r="L60" s="1828">
        <v>1</v>
      </c>
      <c r="M60" s="1829">
        <v>1</v>
      </c>
      <c r="N60" s="1711"/>
      <c r="O60" s="1720"/>
    </row>
    <row r="61" spans="1:15" ht="14.25" customHeight="1" x14ac:dyDescent="0.2">
      <c r="A61" s="1374"/>
      <c r="B61" s="1354"/>
      <c r="C61" s="1385"/>
      <c r="D61" s="1623"/>
      <c r="E61" s="1735"/>
      <c r="F61" s="1369"/>
      <c r="G61" s="1730"/>
      <c r="H61" s="1740"/>
      <c r="I61" s="1740"/>
      <c r="J61" s="1646"/>
      <c r="K61" s="1626" t="s">
        <v>260</v>
      </c>
      <c r="L61" s="1552">
        <v>1</v>
      </c>
      <c r="M61" s="1688">
        <v>1</v>
      </c>
      <c r="N61" s="1721"/>
      <c r="O61" s="474"/>
    </row>
    <row r="62" spans="1:15" ht="27.75" customHeight="1" x14ac:dyDescent="0.2">
      <c r="A62" s="1374"/>
      <c r="B62" s="1354"/>
      <c r="C62" s="1385"/>
      <c r="D62" s="2202" t="s">
        <v>249</v>
      </c>
      <c r="E62" s="1570"/>
      <c r="F62" s="1414"/>
      <c r="G62" s="1367"/>
      <c r="H62" s="1602"/>
      <c r="I62" s="1602"/>
      <c r="J62" s="1416"/>
      <c r="K62" s="1700" t="s">
        <v>181</v>
      </c>
      <c r="L62" s="1722">
        <v>60</v>
      </c>
      <c r="M62" s="1693">
        <v>100</v>
      </c>
      <c r="N62" s="1952" t="s">
        <v>424</v>
      </c>
      <c r="O62" s="1648"/>
    </row>
    <row r="63" spans="1:15" ht="49.5" customHeight="1" x14ac:dyDescent="0.2">
      <c r="A63" s="1374"/>
      <c r="B63" s="1354"/>
      <c r="C63" s="1385"/>
      <c r="D63" s="2203"/>
      <c r="E63" s="1735"/>
      <c r="F63" s="1369"/>
      <c r="G63" s="1730"/>
      <c r="H63" s="1740"/>
      <c r="I63" s="1740"/>
      <c r="J63" s="1596"/>
      <c r="K63" s="1377" t="s">
        <v>402</v>
      </c>
      <c r="L63" s="1723">
        <v>425</v>
      </c>
      <c r="M63" s="1724">
        <v>425</v>
      </c>
      <c r="N63" s="1951"/>
      <c r="O63" s="1649"/>
    </row>
    <row r="64" spans="1:15" ht="28.5" customHeight="1" x14ac:dyDescent="0.2">
      <c r="A64" s="1374"/>
      <c r="B64" s="1354"/>
      <c r="C64" s="1385"/>
      <c r="D64" s="1576" t="s">
        <v>217</v>
      </c>
      <c r="E64" s="1568"/>
      <c r="F64" s="1361"/>
      <c r="G64" s="1387"/>
      <c r="H64" s="1603"/>
      <c r="I64" s="1603"/>
      <c r="J64" s="1528"/>
      <c r="K64" s="1405" t="s">
        <v>262</v>
      </c>
      <c r="L64" s="478">
        <v>8</v>
      </c>
      <c r="M64" s="1705">
        <v>2</v>
      </c>
      <c r="N64" s="1952" t="s">
        <v>462</v>
      </c>
      <c r="O64" s="595"/>
    </row>
    <row r="65" spans="1:15" ht="14.25" customHeight="1" thickBot="1" x14ac:dyDescent="0.25">
      <c r="A65" s="1423"/>
      <c r="B65" s="1389"/>
      <c r="C65" s="1390"/>
      <c r="D65" s="1577"/>
      <c r="E65" s="1569"/>
      <c r="F65" s="1407"/>
      <c r="G65" s="1424" t="s">
        <v>9</v>
      </c>
      <c r="H65" s="1425">
        <f>SUM(H49:H64)</f>
        <v>632552</v>
      </c>
      <c r="I65" s="1425">
        <f t="shared" ref="I65:J65" si="1">SUM(I49:I64)</f>
        <v>676168</v>
      </c>
      <c r="J65" s="1425">
        <f t="shared" si="1"/>
        <v>664357</v>
      </c>
      <c r="K65" s="1725"/>
      <c r="L65" s="597"/>
      <c r="M65" s="597"/>
      <c r="N65" s="1953"/>
      <c r="O65" s="598"/>
    </row>
    <row r="66" spans="1:15" ht="14.25" customHeight="1" x14ac:dyDescent="0.2">
      <c r="A66" s="1975" t="s">
        <v>8</v>
      </c>
      <c r="B66" s="1977" t="s">
        <v>8</v>
      </c>
      <c r="C66" s="2027" t="s">
        <v>44</v>
      </c>
      <c r="D66" s="2044" t="s">
        <v>94</v>
      </c>
      <c r="E66" s="2057" t="s">
        <v>241</v>
      </c>
      <c r="F66" s="1981" t="s">
        <v>36</v>
      </c>
      <c r="G66" s="1396" t="s">
        <v>33</v>
      </c>
      <c r="H66" s="1782">
        <f>7031.6/3.4528*1000</f>
        <v>2036492</v>
      </c>
      <c r="I66" s="1783">
        <f>2036492+73453+34233-74000-75000+149000</f>
        <v>2144178</v>
      </c>
      <c r="J66" s="1783">
        <f>986589.24-28221.96+803834.5+85656.2+34233+29739.15+219300</f>
        <v>2131130</v>
      </c>
      <c r="K66" s="2165"/>
      <c r="L66" s="2038"/>
      <c r="M66" s="2038"/>
      <c r="N66" s="1555"/>
      <c r="O66" s="2041"/>
    </row>
    <row r="67" spans="1:15" ht="15" customHeight="1" x14ac:dyDescent="0.2">
      <c r="A67" s="1976"/>
      <c r="B67" s="1978"/>
      <c r="C67" s="2007"/>
      <c r="D67" s="2045"/>
      <c r="E67" s="2058"/>
      <c r="F67" s="1982"/>
      <c r="G67" s="1420" t="s">
        <v>324</v>
      </c>
      <c r="H67" s="1784">
        <v>172255</v>
      </c>
      <c r="I67" s="1420">
        <v>172255</v>
      </c>
      <c r="J67" s="1387">
        <v>120478</v>
      </c>
      <c r="K67" s="2166"/>
      <c r="L67" s="2039"/>
      <c r="M67" s="2039"/>
      <c r="N67" s="1552"/>
      <c r="O67" s="2042"/>
    </row>
    <row r="68" spans="1:15" ht="13.5" customHeight="1" x14ac:dyDescent="0.2">
      <c r="A68" s="1976"/>
      <c r="B68" s="1978"/>
      <c r="C68" s="2007"/>
      <c r="D68" s="2046"/>
      <c r="E68" s="2059"/>
      <c r="F68" s="1983"/>
      <c r="G68" s="1420" t="s">
        <v>78</v>
      </c>
      <c r="H68" s="1165">
        <f>2038/3.4528*1000</f>
        <v>590246</v>
      </c>
      <c r="I68" s="1213">
        <f>2038/3.4528*1000</f>
        <v>590246</v>
      </c>
      <c r="J68" s="1387">
        <v>0</v>
      </c>
      <c r="K68" s="2234"/>
      <c r="L68" s="2040"/>
      <c r="M68" s="2040"/>
      <c r="N68" s="1529"/>
      <c r="O68" s="2043"/>
    </row>
    <row r="69" spans="1:15" ht="14.25" customHeight="1" x14ac:dyDescent="0.2">
      <c r="A69" s="1867"/>
      <c r="B69" s="1868"/>
      <c r="C69" s="1869"/>
      <c r="D69" s="2064" t="s">
        <v>404</v>
      </c>
      <c r="E69" s="1743"/>
      <c r="F69" s="1871"/>
      <c r="G69" s="1367"/>
      <c r="H69" s="1781"/>
      <c r="I69" s="1532"/>
      <c r="J69" s="1532"/>
      <c r="K69" s="1706" t="s">
        <v>137</v>
      </c>
      <c r="L69" s="1750" t="s">
        <v>405</v>
      </c>
      <c r="M69" s="1751" t="s">
        <v>425</v>
      </c>
      <c r="N69" s="1744"/>
      <c r="O69" s="1745"/>
    </row>
    <row r="70" spans="1:15" ht="24.75" customHeight="1" x14ac:dyDescent="0.2">
      <c r="A70" s="1867"/>
      <c r="B70" s="1868"/>
      <c r="C70" s="1869"/>
      <c r="D70" s="2065"/>
      <c r="E70" s="1743"/>
      <c r="F70" s="1871"/>
      <c r="G70" s="1367"/>
      <c r="H70" s="1781"/>
      <c r="I70" s="1532"/>
      <c r="J70" s="1532"/>
      <c r="K70" s="1652" t="s">
        <v>392</v>
      </c>
      <c r="L70" s="1746">
        <v>59</v>
      </c>
      <c r="M70" s="1747">
        <v>59</v>
      </c>
      <c r="N70" s="1748"/>
      <c r="O70" s="1749"/>
    </row>
    <row r="71" spans="1:15" ht="39" customHeight="1" x14ac:dyDescent="0.2">
      <c r="A71" s="1935"/>
      <c r="B71" s="1936"/>
      <c r="C71" s="1934"/>
      <c r="D71" s="1578" t="s">
        <v>55</v>
      </c>
      <c r="E71" s="1741"/>
      <c r="F71" s="1742"/>
      <c r="G71" s="1738"/>
      <c r="H71" s="1600"/>
      <c r="I71" s="1342"/>
      <c r="J71" s="1342"/>
      <c r="K71" s="1368" t="s">
        <v>83</v>
      </c>
      <c r="L71" s="461">
        <v>8.1</v>
      </c>
      <c r="M71" s="461" t="s">
        <v>426</v>
      </c>
      <c r="N71" s="1677"/>
      <c r="O71" s="347"/>
    </row>
    <row r="72" spans="1:15" ht="65.25" customHeight="1" x14ac:dyDescent="0.2">
      <c r="A72" s="1886"/>
      <c r="B72" s="1887"/>
      <c r="C72" s="1888"/>
      <c r="D72" s="1578" t="s">
        <v>54</v>
      </c>
      <c r="E72" s="1752" t="s">
        <v>131</v>
      </c>
      <c r="F72" s="1742"/>
      <c r="G72" s="1738"/>
      <c r="H72" s="1600"/>
      <c r="I72" s="1342"/>
      <c r="J72" s="1342"/>
      <c r="K72" s="1378" t="s">
        <v>389</v>
      </c>
      <c r="L72" s="346">
        <v>150</v>
      </c>
      <c r="M72" s="346">
        <v>180</v>
      </c>
      <c r="N72" s="1677" t="s">
        <v>464</v>
      </c>
      <c r="O72" s="347"/>
    </row>
    <row r="73" spans="1:15" ht="37.5" customHeight="1" x14ac:dyDescent="0.2">
      <c r="A73" s="1867"/>
      <c r="B73" s="1428"/>
      <c r="C73" s="1869"/>
      <c r="D73" s="1754" t="s">
        <v>183</v>
      </c>
      <c r="E73" s="1741"/>
      <c r="F73" s="1742"/>
      <c r="G73" s="1386"/>
      <c r="H73" s="1600"/>
      <c r="I73" s="1342"/>
      <c r="J73" s="1342"/>
      <c r="K73" s="1368" t="s">
        <v>184</v>
      </c>
      <c r="L73" s="346">
        <v>1</v>
      </c>
      <c r="M73" s="460">
        <v>1</v>
      </c>
      <c r="N73" s="888"/>
      <c r="O73" s="347"/>
    </row>
    <row r="74" spans="1:15" ht="24.75" customHeight="1" x14ac:dyDescent="0.2">
      <c r="A74" s="1867"/>
      <c r="B74" s="1868"/>
      <c r="C74" s="1869"/>
      <c r="D74" s="2034" t="s">
        <v>323</v>
      </c>
      <c r="E74" s="1703"/>
      <c r="F74" s="1760"/>
      <c r="G74" s="1726"/>
      <c r="H74" s="1727"/>
      <c r="I74" s="1728"/>
      <c r="J74" s="1728"/>
      <c r="K74" s="1761" t="s">
        <v>383</v>
      </c>
      <c r="L74" s="1762">
        <v>100</v>
      </c>
      <c r="M74" s="1763">
        <v>100</v>
      </c>
      <c r="N74" s="1337"/>
      <c r="O74" s="566"/>
    </row>
    <row r="75" spans="1:15" ht="101.25" customHeight="1" x14ac:dyDescent="0.2">
      <c r="A75" s="1867"/>
      <c r="B75" s="1868"/>
      <c r="C75" s="1869"/>
      <c r="D75" s="2035"/>
      <c r="E75" s="1870"/>
      <c r="F75" s="1871"/>
      <c r="G75" s="1367"/>
      <c r="H75" s="1411"/>
      <c r="I75" s="1343"/>
      <c r="J75" s="1343"/>
      <c r="K75" s="1899" t="s">
        <v>384</v>
      </c>
      <c r="L75" s="1900">
        <v>100</v>
      </c>
      <c r="M75" s="1901">
        <v>30</v>
      </c>
      <c r="N75" s="1902"/>
      <c r="O75" s="1903" t="s">
        <v>465</v>
      </c>
    </row>
    <row r="76" spans="1:15" ht="52.5" customHeight="1" x14ac:dyDescent="0.2">
      <c r="A76" s="1867"/>
      <c r="B76" s="1428"/>
      <c r="C76" s="1869"/>
      <c r="D76" s="1866"/>
      <c r="E76" s="1870"/>
      <c r="F76" s="1871"/>
      <c r="G76" s="1367"/>
      <c r="H76" s="1411"/>
      <c r="I76" s="1343"/>
      <c r="J76" s="1343"/>
      <c r="K76" s="1755" t="s">
        <v>466</v>
      </c>
      <c r="L76" s="1756">
        <v>100</v>
      </c>
      <c r="M76" s="1757">
        <v>20</v>
      </c>
      <c r="N76" s="1758"/>
      <c r="O76" s="1759" t="s">
        <v>467</v>
      </c>
    </row>
    <row r="77" spans="1:15" ht="51.75" customHeight="1" x14ac:dyDescent="0.2">
      <c r="A77" s="1353"/>
      <c r="B77" s="1428"/>
      <c r="C77" s="1355"/>
      <c r="D77" s="1617"/>
      <c r="E77" s="1570"/>
      <c r="F77" s="1613"/>
      <c r="G77" s="1367"/>
      <c r="H77" s="1411"/>
      <c r="I77" s="1343"/>
      <c r="J77" s="1343"/>
      <c r="K77" s="1837" t="s">
        <v>468</v>
      </c>
      <c r="L77" s="1838">
        <v>100</v>
      </c>
      <c r="M77" s="1839">
        <v>100</v>
      </c>
      <c r="N77" s="1336"/>
      <c r="O77" s="451"/>
    </row>
    <row r="78" spans="1:15" ht="52.5" customHeight="1" x14ac:dyDescent="0.2">
      <c r="A78" s="1353"/>
      <c r="B78" s="1428"/>
      <c r="C78" s="1355"/>
      <c r="D78" s="1617"/>
      <c r="E78" s="1570"/>
      <c r="F78" s="1613"/>
      <c r="G78" s="1367"/>
      <c r="H78" s="1411"/>
      <c r="I78" s="1343"/>
      <c r="J78" s="1343"/>
      <c r="K78" s="1378" t="s">
        <v>385</v>
      </c>
      <c r="L78" s="1429">
        <v>100</v>
      </c>
      <c r="M78" s="1753">
        <v>100</v>
      </c>
      <c r="N78" s="422"/>
      <c r="O78" s="347"/>
    </row>
    <row r="79" spans="1:15" ht="44.25" customHeight="1" x14ac:dyDescent="0.2">
      <c r="A79" s="1353"/>
      <c r="B79" s="1428"/>
      <c r="C79" s="1355"/>
      <c r="D79" s="1579"/>
      <c r="E79" s="1570"/>
      <c r="F79" s="1616"/>
      <c r="G79" s="1730"/>
      <c r="H79" s="1731"/>
      <c r="I79" s="1732"/>
      <c r="J79" s="1732"/>
      <c r="K79" s="1948" t="s">
        <v>386</v>
      </c>
      <c r="L79" s="1766">
        <v>100</v>
      </c>
      <c r="M79" s="1767">
        <v>100</v>
      </c>
      <c r="N79" s="1553"/>
      <c r="O79" s="595"/>
    </row>
    <row r="80" spans="1:15" ht="13.5" thickBot="1" x14ac:dyDescent="0.25">
      <c r="A80" s="1423"/>
      <c r="B80" s="1389"/>
      <c r="C80" s="1433"/>
      <c r="D80" s="1625"/>
      <c r="E80" s="1567"/>
      <c r="F80" s="1526"/>
      <c r="G80" s="1392" t="s">
        <v>9</v>
      </c>
      <c r="H80" s="1435">
        <f>SUM(H66:H79)</f>
        <v>2798993</v>
      </c>
      <c r="I80" s="1434">
        <f>SUM(I66:I79)</f>
        <v>2906679</v>
      </c>
      <c r="J80" s="1435">
        <f>SUM(J66:J79)</f>
        <v>2251608</v>
      </c>
      <c r="K80" s="1949"/>
      <c r="L80" s="597"/>
      <c r="M80" s="597"/>
      <c r="N80" s="1554"/>
      <c r="O80" s="1768"/>
    </row>
    <row r="81" spans="1:21" ht="40.5" customHeight="1" x14ac:dyDescent="0.2">
      <c r="A81" s="1975" t="s">
        <v>8</v>
      </c>
      <c r="B81" s="1977" t="s">
        <v>8</v>
      </c>
      <c r="C81" s="2027" t="s">
        <v>45</v>
      </c>
      <c r="D81" s="1580" t="s">
        <v>211</v>
      </c>
      <c r="E81" s="2060"/>
      <c r="F81" s="1981" t="s">
        <v>79</v>
      </c>
      <c r="G81" s="1818" t="s">
        <v>33</v>
      </c>
      <c r="H81" s="1599">
        <f>704/3.4528*1000</f>
        <v>203892</v>
      </c>
      <c r="I81" s="1340">
        <f>704/3.4528*1000</f>
        <v>203892</v>
      </c>
      <c r="J81" s="1341">
        <v>198249</v>
      </c>
      <c r="K81" s="1786" t="s">
        <v>368</v>
      </c>
      <c r="L81" s="1787">
        <v>65</v>
      </c>
      <c r="M81" s="1787">
        <v>65</v>
      </c>
      <c r="N81" s="1788"/>
      <c r="O81" s="1789"/>
    </row>
    <row r="82" spans="1:21" ht="49.5" customHeight="1" x14ac:dyDescent="0.2">
      <c r="A82" s="1976"/>
      <c r="B82" s="1978"/>
      <c r="C82" s="2007"/>
      <c r="D82" s="2062" t="s">
        <v>212</v>
      </c>
      <c r="E82" s="2013"/>
      <c r="F82" s="1982"/>
      <c r="G82" s="1387"/>
      <c r="H82" s="1430"/>
      <c r="I82" s="1421"/>
      <c r="J82" s="1403"/>
      <c r="K82" s="1652" t="s">
        <v>213</v>
      </c>
      <c r="L82" s="478">
        <v>5</v>
      </c>
      <c r="M82" s="478">
        <v>5</v>
      </c>
      <c r="N82" s="1954" t="s">
        <v>469</v>
      </c>
      <c r="O82" s="1872"/>
    </row>
    <row r="83" spans="1:21" ht="15" customHeight="1" thickBot="1" x14ac:dyDescent="0.25">
      <c r="A83" s="2047"/>
      <c r="B83" s="2048"/>
      <c r="C83" s="2049"/>
      <c r="D83" s="2063"/>
      <c r="E83" s="2061"/>
      <c r="F83" s="2056"/>
      <c r="G83" s="1392" t="s">
        <v>9</v>
      </c>
      <c r="H83" s="1393">
        <f>H81</f>
        <v>203892</v>
      </c>
      <c r="I83" s="1434">
        <f>I81</f>
        <v>203892</v>
      </c>
      <c r="J83" s="1437">
        <f>SUM(J81:J82)</f>
        <v>198249</v>
      </c>
      <c r="K83" s="1725"/>
      <c r="L83" s="597"/>
      <c r="M83" s="597"/>
      <c r="N83" s="1953"/>
      <c r="O83" s="598"/>
    </row>
    <row r="84" spans="1:21" ht="16.5" customHeight="1" x14ac:dyDescent="0.2">
      <c r="A84" s="1975" t="s">
        <v>8</v>
      </c>
      <c r="B84" s="1977" t="s">
        <v>8</v>
      </c>
      <c r="C84" s="2027" t="s">
        <v>37</v>
      </c>
      <c r="D84" s="2050" t="s">
        <v>203</v>
      </c>
      <c r="E84" s="2053" t="s">
        <v>123</v>
      </c>
      <c r="F84" s="1981" t="s">
        <v>74</v>
      </c>
      <c r="G84" s="1436" t="s">
        <v>76</v>
      </c>
      <c r="H84" s="1499">
        <v>116287</v>
      </c>
      <c r="I84" s="1340">
        <v>116287</v>
      </c>
      <c r="J84" s="1438">
        <v>67966</v>
      </c>
      <c r="K84" s="2229" t="s">
        <v>171</v>
      </c>
      <c r="L84" s="101">
        <v>100</v>
      </c>
      <c r="M84" s="101">
        <v>100</v>
      </c>
      <c r="N84" s="1557"/>
      <c r="O84" s="102"/>
    </row>
    <row r="85" spans="1:21" ht="24.75" customHeight="1" x14ac:dyDescent="0.2">
      <c r="A85" s="1976"/>
      <c r="B85" s="1978"/>
      <c r="C85" s="2007"/>
      <c r="D85" s="2051"/>
      <c r="E85" s="2054"/>
      <c r="F85" s="1982"/>
      <c r="G85" s="1386" t="s">
        <v>33</v>
      </c>
      <c r="H85" s="1600">
        <f>0.1/3.4528*1000</f>
        <v>29</v>
      </c>
      <c r="I85" s="1342">
        <f>29+69670</f>
        <v>69699</v>
      </c>
      <c r="J85" s="1439">
        <v>28</v>
      </c>
      <c r="K85" s="2230"/>
      <c r="L85" s="606"/>
      <c r="M85" s="606"/>
      <c r="N85" s="1558"/>
      <c r="O85" s="607"/>
    </row>
    <row r="86" spans="1:21" ht="15" customHeight="1" x14ac:dyDescent="0.2">
      <c r="A86" s="1976"/>
      <c r="B86" s="1978"/>
      <c r="C86" s="2007"/>
      <c r="D86" s="2051"/>
      <c r="E86" s="2054"/>
      <c r="F86" s="1982"/>
      <c r="G86" s="1401" t="s">
        <v>77</v>
      </c>
      <c r="H86" s="1411">
        <v>23758</v>
      </c>
      <c r="I86" s="1343">
        <v>23758</v>
      </c>
      <c r="J86" s="1440">
        <v>26320</v>
      </c>
      <c r="K86" s="2036" t="s">
        <v>224</v>
      </c>
      <c r="L86" s="1970">
        <v>100</v>
      </c>
      <c r="M86" s="1970">
        <v>100</v>
      </c>
      <c r="N86" s="1764"/>
      <c r="O86" s="1972"/>
    </row>
    <row r="87" spans="1:21" ht="15" customHeight="1" thickBot="1" x14ac:dyDescent="0.25">
      <c r="A87" s="2047"/>
      <c r="B87" s="2048"/>
      <c r="C87" s="2049"/>
      <c r="D87" s="2052"/>
      <c r="E87" s="2055"/>
      <c r="F87" s="2056"/>
      <c r="G87" s="1392" t="s">
        <v>9</v>
      </c>
      <c r="H87" s="1435">
        <f>SUM(H84:H86)</f>
        <v>140074</v>
      </c>
      <c r="I87" s="1434">
        <f>SUM(I84:I86)</f>
        <v>209744</v>
      </c>
      <c r="J87" s="1393">
        <f t="shared" ref="J87" si="2">SUM(J84:J86)</f>
        <v>94314</v>
      </c>
      <c r="K87" s="2037"/>
      <c r="L87" s="1971"/>
      <c r="M87" s="1971"/>
      <c r="N87" s="1765"/>
      <c r="O87" s="1973"/>
      <c r="P87" s="1384"/>
    </row>
    <row r="88" spans="1:21" ht="17.25" customHeight="1" x14ac:dyDescent="0.2">
      <c r="A88" s="1538" t="s">
        <v>8</v>
      </c>
      <c r="B88" s="1539" t="s">
        <v>8</v>
      </c>
      <c r="C88" s="1540" t="s">
        <v>46</v>
      </c>
      <c r="D88" s="2050" t="s">
        <v>127</v>
      </c>
      <c r="E88" s="1619"/>
      <c r="F88" s="1444"/>
      <c r="G88" s="1445" t="s">
        <v>33</v>
      </c>
      <c r="H88" s="1601">
        <f>22/3.4528*1000</f>
        <v>6372</v>
      </c>
      <c r="I88" s="1344">
        <f>22/3.4528*1000</f>
        <v>6372</v>
      </c>
      <c r="J88" s="1598">
        <v>6349</v>
      </c>
      <c r="K88" s="2232" t="s">
        <v>272</v>
      </c>
      <c r="L88" s="133">
        <v>5</v>
      </c>
      <c r="M88" s="133">
        <v>5</v>
      </c>
      <c r="N88" s="1560"/>
      <c r="O88" s="580"/>
    </row>
    <row r="89" spans="1:21" ht="19.5" customHeight="1" x14ac:dyDescent="0.2">
      <c r="A89" s="1533"/>
      <c r="B89" s="1542"/>
      <c r="C89" s="1541"/>
      <c r="D89" s="2231"/>
      <c r="E89" s="1621"/>
      <c r="F89" s="1769" t="s">
        <v>74</v>
      </c>
      <c r="G89" s="1446" t="s">
        <v>76</v>
      </c>
      <c r="H89" s="1521">
        <f>53.5/3.4528*1000</f>
        <v>15495</v>
      </c>
      <c r="I89" s="1382">
        <f>53.5/3.4528*1000</f>
        <v>15495</v>
      </c>
      <c r="J89" s="1524">
        <v>15483</v>
      </c>
      <c r="K89" s="2233"/>
      <c r="L89" s="132"/>
      <c r="M89" s="1544"/>
      <c r="N89" s="1529"/>
      <c r="O89" s="1546"/>
    </row>
    <row r="90" spans="1:21" ht="41.25" customHeight="1" x14ac:dyDescent="0.2">
      <c r="A90" s="1533"/>
      <c r="B90" s="1542"/>
      <c r="C90" s="1541"/>
      <c r="D90" s="1770" t="s">
        <v>225</v>
      </c>
      <c r="E90" s="1771" t="s">
        <v>240</v>
      </c>
      <c r="F90" s="1644"/>
      <c r="G90" s="1415"/>
      <c r="H90" s="1519"/>
      <c r="I90" s="1370"/>
      <c r="J90" s="1447"/>
      <c r="K90" s="1772" t="s">
        <v>264</v>
      </c>
      <c r="L90" s="446">
        <v>1</v>
      </c>
      <c r="M90" s="1773">
        <v>1</v>
      </c>
      <c r="N90" s="1774"/>
      <c r="O90" s="1432"/>
    </row>
    <row r="91" spans="1:21" ht="40.5" customHeight="1" x14ac:dyDescent="0.2">
      <c r="A91" s="1611"/>
      <c r="B91" s="1612"/>
      <c r="C91" s="1614"/>
      <c r="D91" s="1775" t="s">
        <v>269</v>
      </c>
      <c r="E91" s="1776" t="s">
        <v>130</v>
      </c>
      <c r="F91" s="1826"/>
      <c r="G91" s="1415"/>
      <c r="H91" s="1519"/>
      <c r="I91" s="1370"/>
      <c r="J91" s="1447"/>
      <c r="K91" s="1777" t="s">
        <v>264</v>
      </c>
      <c r="L91" s="346">
        <v>1</v>
      </c>
      <c r="M91" s="1778">
        <v>1</v>
      </c>
      <c r="N91" s="1422"/>
      <c r="O91" s="1779"/>
    </row>
    <row r="92" spans="1:21" ht="32.25" customHeight="1" x14ac:dyDescent="0.2">
      <c r="A92" s="1353"/>
      <c r="B92" s="1354"/>
      <c r="C92" s="1355"/>
      <c r="D92" s="1954" t="s">
        <v>243</v>
      </c>
      <c r="E92" s="2195"/>
      <c r="F92" s="1982"/>
      <c r="G92" s="1387"/>
      <c r="H92" s="1431"/>
      <c r="I92" s="1421"/>
      <c r="J92" s="1597"/>
      <c r="K92" s="1691" t="s">
        <v>244</v>
      </c>
      <c r="L92" s="1692">
        <v>1</v>
      </c>
      <c r="M92" s="1722">
        <v>1</v>
      </c>
      <c r="N92" s="1692"/>
      <c r="O92" s="1648"/>
      <c r="U92" s="1592"/>
    </row>
    <row r="93" spans="1:21" ht="20.25" customHeight="1" thickBot="1" x14ac:dyDescent="0.25">
      <c r="A93" s="1423"/>
      <c r="B93" s="1389"/>
      <c r="C93" s="1433"/>
      <c r="D93" s="2115"/>
      <c r="E93" s="2196"/>
      <c r="F93" s="2056"/>
      <c r="G93" s="1452" t="s">
        <v>9</v>
      </c>
      <c r="H93" s="1483">
        <f>H88+H89</f>
        <v>21867</v>
      </c>
      <c r="I93" s="1394">
        <f>I88+I89</f>
        <v>21867</v>
      </c>
      <c r="J93" s="1504">
        <f>J88+J89</f>
        <v>21832</v>
      </c>
      <c r="K93" s="1409" t="s">
        <v>245</v>
      </c>
      <c r="L93" s="406">
        <v>2</v>
      </c>
      <c r="M93" s="1556">
        <v>2</v>
      </c>
      <c r="N93" s="406"/>
      <c r="O93" s="407"/>
    </row>
    <row r="94" spans="1:21" ht="21" customHeight="1" x14ac:dyDescent="0.2">
      <c r="A94" s="1636" t="s">
        <v>8</v>
      </c>
      <c r="B94" s="1637" t="s">
        <v>8</v>
      </c>
      <c r="C94" s="2027" t="s">
        <v>39</v>
      </c>
      <c r="D94" s="2114" t="s">
        <v>250</v>
      </c>
      <c r="E94" s="1638"/>
      <c r="F94" s="1634" t="s">
        <v>36</v>
      </c>
      <c r="G94" s="1453" t="s">
        <v>33</v>
      </c>
      <c r="H94" s="1454">
        <f>145.2/3.4528*1000</f>
        <v>42053</v>
      </c>
      <c r="I94" s="1454">
        <f>145.2/3.4528*1000</f>
        <v>42053</v>
      </c>
      <c r="J94" s="1455">
        <v>42053</v>
      </c>
      <c r="K94" s="1780" t="s">
        <v>228</v>
      </c>
      <c r="L94" s="1840">
        <v>210</v>
      </c>
      <c r="M94" s="1675">
        <v>210</v>
      </c>
      <c r="N94" s="600"/>
      <c r="O94" s="1676"/>
    </row>
    <row r="95" spans="1:21" ht="13.5" thickBot="1" x14ac:dyDescent="0.25">
      <c r="A95" s="1388"/>
      <c r="B95" s="1639"/>
      <c r="C95" s="2049"/>
      <c r="D95" s="2115"/>
      <c r="E95" s="1841"/>
      <c r="F95" s="1456"/>
      <c r="G95" s="1392" t="s">
        <v>9</v>
      </c>
      <c r="H95" s="1434">
        <f>SUM(H94:H94)</f>
        <v>42053</v>
      </c>
      <c r="I95" s="1434">
        <f>SUM(I94:I94)</f>
        <v>42053</v>
      </c>
      <c r="J95" s="1434">
        <f>SUM(J94:J94)</f>
        <v>42053</v>
      </c>
      <c r="K95" s="1426"/>
      <c r="L95" s="406"/>
      <c r="M95" s="1556"/>
      <c r="N95" s="406"/>
      <c r="O95" s="407"/>
    </row>
    <row r="96" spans="1:21" ht="166.5" customHeight="1" x14ac:dyDescent="0.2">
      <c r="A96" s="1975" t="s">
        <v>8</v>
      </c>
      <c r="B96" s="1977" t="s">
        <v>8</v>
      </c>
      <c r="C96" s="2027" t="s">
        <v>120</v>
      </c>
      <c r="D96" s="2107" t="s">
        <v>105</v>
      </c>
      <c r="E96" s="2109"/>
      <c r="F96" s="1457" t="s">
        <v>36</v>
      </c>
      <c r="G96" s="1396" t="s">
        <v>33</v>
      </c>
      <c r="H96" s="1397">
        <f>300/3.4528*1000</f>
        <v>86886</v>
      </c>
      <c r="I96" s="1397">
        <f>300/3.4528*1000</f>
        <v>86886</v>
      </c>
      <c r="J96" s="1397">
        <v>86718</v>
      </c>
      <c r="K96" s="1785" t="s">
        <v>48</v>
      </c>
      <c r="L96" s="600">
        <v>7</v>
      </c>
      <c r="M96" s="600">
        <v>15</v>
      </c>
      <c r="N96" s="1955" t="s">
        <v>470</v>
      </c>
      <c r="O96" s="1957" t="s">
        <v>471</v>
      </c>
    </row>
    <row r="97" spans="1:26" ht="27" customHeight="1" thickBot="1" x14ac:dyDescent="0.25">
      <c r="A97" s="2047"/>
      <c r="B97" s="2048"/>
      <c r="C97" s="2049"/>
      <c r="D97" s="2108"/>
      <c r="E97" s="2110"/>
      <c r="F97" s="1407"/>
      <c r="G97" s="1392" t="s">
        <v>9</v>
      </c>
      <c r="H97" s="1434">
        <f>H96</f>
        <v>86886</v>
      </c>
      <c r="I97" s="1434">
        <f>I96</f>
        <v>86886</v>
      </c>
      <c r="J97" s="1434">
        <f t="shared" ref="J97" si="3">SUM(J96:J96)</f>
        <v>86718</v>
      </c>
      <c r="K97" s="1725"/>
      <c r="L97" s="597"/>
      <c r="M97" s="597"/>
      <c r="N97" s="1956"/>
      <c r="O97" s="1958"/>
    </row>
    <row r="98" spans="1:26" ht="16.5" customHeight="1" thickBot="1" x14ac:dyDescent="0.25">
      <c r="A98" s="1100" t="s">
        <v>8</v>
      </c>
      <c r="B98" s="1458" t="s">
        <v>8</v>
      </c>
      <c r="C98" s="2172" t="s">
        <v>11</v>
      </c>
      <c r="D98" s="2172"/>
      <c r="E98" s="2172"/>
      <c r="F98" s="2172"/>
      <c r="G98" s="2119"/>
      <c r="H98" s="1459">
        <f>H97+H95+H93+H87+H83+H80+H65+H48+H35</f>
        <v>6557080</v>
      </c>
      <c r="I98" s="1459">
        <f t="shared" ref="I98:J98" si="4">I97+I95+I93+I87+I83+I80+I65+I48+I35</f>
        <v>6653166</v>
      </c>
      <c r="J98" s="1459">
        <f t="shared" si="4"/>
        <v>5859191</v>
      </c>
      <c r="K98" s="1460"/>
      <c r="L98" s="1461"/>
      <c r="M98" s="1461"/>
      <c r="N98" s="1461"/>
      <c r="O98" s="1462"/>
    </row>
    <row r="99" spans="1:26" ht="17.25" customHeight="1" thickBot="1" x14ac:dyDescent="0.25">
      <c r="A99" s="1100" t="s">
        <v>8</v>
      </c>
      <c r="B99" s="1458" t="s">
        <v>10</v>
      </c>
      <c r="C99" s="2223" t="s">
        <v>59</v>
      </c>
      <c r="D99" s="2224"/>
      <c r="E99" s="2224"/>
      <c r="F99" s="2224"/>
      <c r="G99" s="2224"/>
      <c r="H99" s="2224"/>
      <c r="I99" s="2224"/>
      <c r="J99" s="2224"/>
      <c r="K99" s="2224"/>
      <c r="L99" s="2224"/>
      <c r="M99" s="2224"/>
      <c r="N99" s="2224"/>
      <c r="O99" s="2225"/>
    </row>
    <row r="100" spans="1:26" ht="13.5" customHeight="1" x14ac:dyDescent="0.2">
      <c r="A100" s="1442" t="s">
        <v>8</v>
      </c>
      <c r="B100" s="1463" t="s">
        <v>10</v>
      </c>
      <c r="C100" s="1443" t="s">
        <v>8</v>
      </c>
      <c r="D100" s="2226" t="s">
        <v>191</v>
      </c>
      <c r="E100" s="1581"/>
      <c r="F100" s="1457" t="s">
        <v>36</v>
      </c>
      <c r="G100" s="1464" t="s">
        <v>33</v>
      </c>
      <c r="H100" s="1604">
        <f>(966.4+113)/3.4528*1000</f>
        <v>312616</v>
      </c>
      <c r="I100" s="1604">
        <f>312616+3082-2239+15000</f>
        <v>328459</v>
      </c>
      <c r="J100" s="1605">
        <f>66247.24+175401.52+9400.38+1713.36+2178+26129.21+2299.59+30487.99+1403.79</f>
        <v>315261</v>
      </c>
      <c r="K100" s="1790"/>
      <c r="L100" s="1791"/>
      <c r="M100" s="1791"/>
      <c r="N100" s="1792"/>
      <c r="O100" s="1793"/>
    </row>
    <row r="101" spans="1:26" ht="14.25" customHeight="1" x14ac:dyDescent="0.2">
      <c r="A101" s="1353"/>
      <c r="B101" s="1413"/>
      <c r="C101" s="1355"/>
      <c r="D101" s="2227"/>
      <c r="E101" s="1582"/>
      <c r="F101" s="1419"/>
      <c r="G101" s="1465" t="s">
        <v>106</v>
      </c>
      <c r="H101" s="1606">
        <v>8171</v>
      </c>
      <c r="I101" s="1606">
        <v>8171</v>
      </c>
      <c r="J101" s="1798">
        <v>8171</v>
      </c>
      <c r="K101" s="1794"/>
      <c r="L101" s="1795"/>
      <c r="M101" s="1795"/>
      <c r="N101" s="1796"/>
      <c r="O101" s="1797"/>
    </row>
    <row r="102" spans="1:26" ht="12.75" customHeight="1" x14ac:dyDescent="0.2">
      <c r="A102" s="1353"/>
      <c r="B102" s="1413"/>
      <c r="C102" s="1355"/>
      <c r="D102" s="2210" t="s">
        <v>85</v>
      </c>
      <c r="E102" s="1583"/>
      <c r="F102" s="1414"/>
      <c r="G102" s="1466"/>
      <c r="H102" s="1527"/>
      <c r="I102" s="1527"/>
      <c r="J102" s="1467"/>
      <c r="K102" s="1427" t="s">
        <v>63</v>
      </c>
      <c r="L102" s="95">
        <v>350</v>
      </c>
      <c r="M102" s="95">
        <v>319</v>
      </c>
      <c r="N102" s="1629"/>
      <c r="O102" s="2111" t="s">
        <v>472</v>
      </c>
    </row>
    <row r="103" spans="1:26" ht="41.25" customHeight="1" x14ac:dyDescent="0.2">
      <c r="A103" s="1353"/>
      <c r="B103" s="1413"/>
      <c r="C103" s="1355"/>
      <c r="D103" s="2162"/>
      <c r="E103" s="1583"/>
      <c r="F103" s="1414"/>
      <c r="G103" s="1466"/>
      <c r="H103" s="1527"/>
      <c r="I103" s="1527"/>
      <c r="J103" s="1467"/>
      <c r="K103" s="1468" t="s">
        <v>64</v>
      </c>
      <c r="L103" s="377">
        <v>300</v>
      </c>
      <c r="M103" s="377">
        <v>313</v>
      </c>
      <c r="N103" s="1805"/>
      <c r="O103" s="2112"/>
    </row>
    <row r="104" spans="1:26" ht="22.5" customHeight="1" x14ac:dyDescent="0.2">
      <c r="A104" s="1353"/>
      <c r="B104" s="1413"/>
      <c r="C104" s="1355"/>
      <c r="D104" s="2228"/>
      <c r="E104" s="1583"/>
      <c r="F104" s="1414"/>
      <c r="G104" s="1466"/>
      <c r="H104" s="1527"/>
      <c r="I104" s="1527"/>
      <c r="J104" s="1467"/>
      <c r="K104" s="1469" t="s">
        <v>266</v>
      </c>
      <c r="L104" s="384">
        <v>36</v>
      </c>
      <c r="M104" s="384">
        <v>34</v>
      </c>
      <c r="N104" s="804"/>
      <c r="O104" s="2113"/>
    </row>
    <row r="105" spans="1:26" ht="25.5" customHeight="1" x14ac:dyDescent="0.2">
      <c r="A105" s="1353"/>
      <c r="B105" s="1413"/>
      <c r="C105" s="1355"/>
      <c r="D105" s="2162" t="s">
        <v>88</v>
      </c>
      <c r="E105" s="1583"/>
      <c r="F105" s="1414"/>
      <c r="G105" s="1466"/>
      <c r="H105" s="1527"/>
      <c r="I105" s="1527"/>
      <c r="J105" s="1467"/>
      <c r="K105" s="1706" t="s">
        <v>185</v>
      </c>
      <c r="L105" s="1800">
        <v>18</v>
      </c>
      <c r="M105" s="1800">
        <v>18</v>
      </c>
      <c r="N105" s="1800"/>
      <c r="O105" s="2111"/>
    </row>
    <row r="106" spans="1:26" ht="40.5" customHeight="1" x14ac:dyDescent="0.2">
      <c r="A106" s="1353"/>
      <c r="B106" s="1413"/>
      <c r="C106" s="1355"/>
      <c r="D106" s="2211"/>
      <c r="E106" s="1583"/>
      <c r="F106" s="1414"/>
      <c r="G106" s="1466"/>
      <c r="H106" s="1527"/>
      <c r="I106" s="1527"/>
      <c r="J106" s="1467"/>
      <c r="K106" s="1806"/>
      <c r="L106" s="1802"/>
      <c r="M106" s="1802"/>
      <c r="N106" s="1651"/>
      <c r="O106" s="2113"/>
    </row>
    <row r="107" spans="1:26" ht="53.25" customHeight="1" x14ac:dyDescent="0.2">
      <c r="A107" s="1353"/>
      <c r="B107" s="1413"/>
      <c r="C107" s="1355"/>
      <c r="D107" s="2210" t="s">
        <v>62</v>
      </c>
      <c r="E107" s="1583"/>
      <c r="F107" s="1414"/>
      <c r="G107" s="1466"/>
      <c r="H107" s="1527"/>
      <c r="I107" s="1527"/>
      <c r="J107" s="1467"/>
      <c r="K107" s="1706" t="s">
        <v>86</v>
      </c>
      <c r="L107" s="1800">
        <v>2</v>
      </c>
      <c r="M107" s="1800">
        <v>0</v>
      </c>
      <c r="N107" s="1804"/>
      <c r="O107" s="2111" t="s">
        <v>473</v>
      </c>
    </row>
    <row r="108" spans="1:26" ht="26.25" customHeight="1" x14ac:dyDescent="0.2">
      <c r="A108" s="1353"/>
      <c r="B108" s="1413"/>
      <c r="C108" s="1355"/>
      <c r="D108" s="2211"/>
      <c r="E108" s="1583"/>
      <c r="F108" s="1414"/>
      <c r="G108" s="1466"/>
      <c r="H108" s="1527"/>
      <c r="I108" s="1527"/>
      <c r="J108" s="1467"/>
      <c r="K108" s="1470" t="s">
        <v>186</v>
      </c>
      <c r="L108" s="53">
        <v>100</v>
      </c>
      <c r="M108" s="53">
        <v>0</v>
      </c>
      <c r="N108" s="914"/>
      <c r="O108" s="2113"/>
    </row>
    <row r="109" spans="1:26" ht="56.25" customHeight="1" x14ac:dyDescent="0.2">
      <c r="A109" s="1830"/>
      <c r="B109" s="1846"/>
      <c r="C109" s="1831"/>
      <c r="D109" s="1847" t="s">
        <v>66</v>
      </c>
      <c r="E109" s="1848"/>
      <c r="F109" s="1369"/>
      <c r="G109" s="1849"/>
      <c r="H109" s="1646"/>
      <c r="I109" s="1646"/>
      <c r="J109" s="1732"/>
      <c r="K109" s="1862" t="s">
        <v>67</v>
      </c>
      <c r="L109" s="1863">
        <v>20</v>
      </c>
      <c r="M109" s="1863">
        <v>6</v>
      </c>
      <c r="N109" s="1864"/>
      <c r="O109" s="1865" t="s">
        <v>474</v>
      </c>
    </row>
    <row r="110" spans="1:26" ht="19.5" customHeight="1" x14ac:dyDescent="0.2">
      <c r="A110" s="1353"/>
      <c r="B110" s="1413"/>
      <c r="C110" s="1355"/>
      <c r="D110" s="804" t="s">
        <v>251</v>
      </c>
      <c r="E110" s="1583"/>
      <c r="F110" s="1471"/>
      <c r="G110" s="1466"/>
      <c r="H110" s="1370"/>
      <c r="I110" s="1370"/>
      <c r="J110" s="1343"/>
      <c r="K110" s="1842" t="s">
        <v>428</v>
      </c>
      <c r="L110" s="1843" t="s">
        <v>429</v>
      </c>
      <c r="M110" s="1844" t="s">
        <v>427</v>
      </c>
      <c r="N110" s="1561"/>
      <c r="O110" s="1845"/>
      <c r="Q110" s="1384"/>
      <c r="R110" s="1384"/>
      <c r="S110" s="1384"/>
      <c r="T110" s="1384"/>
      <c r="U110" s="1384"/>
      <c r="V110" s="1384"/>
      <c r="W110" s="1384"/>
      <c r="X110" s="1384"/>
      <c r="Y110" s="1384"/>
      <c r="Z110" s="1384"/>
    </row>
    <row r="111" spans="1:26" ht="16.5" customHeight="1" x14ac:dyDescent="0.2">
      <c r="A111" s="1353"/>
      <c r="B111" s="1413"/>
      <c r="C111" s="1355"/>
      <c r="D111" s="2200" t="s">
        <v>231</v>
      </c>
      <c r="E111" s="1584"/>
      <c r="F111" s="1472"/>
      <c r="G111" s="1473"/>
      <c r="H111" s="1450"/>
      <c r="I111" s="1450"/>
      <c r="J111" s="1421"/>
      <c r="K111" s="1799" t="s">
        <v>196</v>
      </c>
      <c r="L111" s="1800">
        <v>100</v>
      </c>
      <c r="M111" s="1800">
        <v>100</v>
      </c>
      <c r="N111" s="1647"/>
      <c r="O111" s="1133"/>
      <c r="Q111" s="1384"/>
      <c r="R111" s="1384"/>
      <c r="S111" s="1384"/>
      <c r="T111" s="1384"/>
      <c r="U111" s="1384"/>
      <c r="V111" s="1384"/>
      <c r="W111" s="1384"/>
      <c r="X111" s="1384"/>
      <c r="Y111" s="1384"/>
      <c r="Z111" s="1384"/>
    </row>
    <row r="112" spans="1:26" ht="23.25" customHeight="1" thickBot="1" x14ac:dyDescent="0.25">
      <c r="A112" s="1353"/>
      <c r="B112" s="1413"/>
      <c r="C112" s="1355"/>
      <c r="D112" s="2201"/>
      <c r="E112" s="1585"/>
      <c r="F112" s="1407"/>
      <c r="G112" s="1098" t="s">
        <v>9</v>
      </c>
      <c r="H112" s="1394">
        <f>H100+H101</f>
        <v>320787</v>
      </c>
      <c r="I112" s="1394">
        <f>I100+I101</f>
        <v>336630</v>
      </c>
      <c r="J112" s="1394">
        <f>J100+J101</f>
        <v>323432</v>
      </c>
      <c r="K112" s="1801"/>
      <c r="L112" s="1802"/>
      <c r="M112" s="1802"/>
      <c r="N112" s="1651"/>
      <c r="O112" s="1803"/>
      <c r="Q112" s="1384"/>
      <c r="R112" s="1384"/>
      <c r="S112" s="1384"/>
      <c r="T112" s="1384"/>
      <c r="U112" s="1384"/>
      <c r="V112" s="1384"/>
      <c r="W112" s="1384"/>
      <c r="X112" s="1384"/>
      <c r="Y112" s="1384"/>
      <c r="Z112" s="1384"/>
    </row>
    <row r="113" spans="1:26" ht="13.5" thickBot="1" x14ac:dyDescent="0.25">
      <c r="A113" s="1474" t="s">
        <v>8</v>
      </c>
      <c r="B113" s="1458" t="s">
        <v>10</v>
      </c>
      <c r="C113" s="2172" t="s">
        <v>11</v>
      </c>
      <c r="D113" s="2172"/>
      <c r="E113" s="2118"/>
      <c r="F113" s="2118"/>
      <c r="G113" s="2119"/>
      <c r="H113" s="1475">
        <f>H112</f>
        <v>320787</v>
      </c>
      <c r="I113" s="1809">
        <f>I112</f>
        <v>336630</v>
      </c>
      <c r="J113" s="1475">
        <f t="shared" ref="J113" si="5">J112</f>
        <v>323432</v>
      </c>
      <c r="K113" s="2122"/>
      <c r="L113" s="2123"/>
      <c r="M113" s="2123"/>
      <c r="N113" s="2123"/>
      <c r="O113" s="2124"/>
      <c r="Q113" s="1384"/>
      <c r="R113" s="1384"/>
      <c r="S113" s="1384"/>
      <c r="T113" s="1384"/>
      <c r="U113" s="1384"/>
      <c r="V113" s="1384"/>
      <c r="W113" s="1384"/>
      <c r="X113" s="1384"/>
      <c r="Y113" s="1384"/>
      <c r="Z113" s="1384"/>
    </row>
    <row r="114" spans="1:26" ht="13.5" thickBot="1" x14ac:dyDescent="0.25">
      <c r="A114" s="1100" t="s">
        <v>8</v>
      </c>
      <c r="B114" s="1458" t="s">
        <v>35</v>
      </c>
      <c r="C114" s="2223" t="s">
        <v>60</v>
      </c>
      <c r="D114" s="2224"/>
      <c r="E114" s="2224"/>
      <c r="F114" s="2224"/>
      <c r="G114" s="2224"/>
      <c r="H114" s="2224"/>
      <c r="I114" s="2224"/>
      <c r="J114" s="2224"/>
      <c r="K114" s="2224"/>
      <c r="L114" s="2224"/>
      <c r="M114" s="2224"/>
      <c r="N114" s="2224"/>
      <c r="O114" s="2225"/>
      <c r="Q114" s="1384"/>
      <c r="R114" s="1384"/>
      <c r="S114" s="1384"/>
      <c r="T114" s="1384"/>
      <c r="U114" s="1384"/>
      <c r="V114" s="1384"/>
      <c r="W114" s="1384"/>
      <c r="X114" s="1384"/>
      <c r="Y114" s="1384"/>
      <c r="Z114" s="1384"/>
    </row>
    <row r="115" spans="1:26" ht="18" customHeight="1" x14ac:dyDescent="0.2">
      <c r="A115" s="1975" t="s">
        <v>8</v>
      </c>
      <c r="B115" s="2025" t="s">
        <v>35</v>
      </c>
      <c r="C115" s="2158" t="s">
        <v>8</v>
      </c>
      <c r="D115" s="2161" t="s">
        <v>68</v>
      </c>
      <c r="E115" s="2109"/>
      <c r="F115" s="2099" t="s">
        <v>36</v>
      </c>
      <c r="G115" s="1476" t="s">
        <v>33</v>
      </c>
      <c r="H115" s="1593">
        <f>(2297.3-102.7-48.2)/3.4528*1000</f>
        <v>621640</v>
      </c>
      <c r="I115" s="1531">
        <f>(2297.3-102.7-48.2)/3.4528*1000</f>
        <v>621640</v>
      </c>
      <c r="J115" s="1590">
        <v>605460</v>
      </c>
      <c r="K115" s="2165" t="s">
        <v>229</v>
      </c>
      <c r="L115" s="1791">
        <v>4</v>
      </c>
      <c r="M115" s="1791">
        <v>4</v>
      </c>
      <c r="N115" s="1792"/>
      <c r="O115" s="2041"/>
      <c r="Q115" s="1384"/>
      <c r="R115" s="1384"/>
      <c r="S115" s="1384"/>
      <c r="T115" s="1384"/>
      <c r="U115" s="1384"/>
      <c r="V115" s="1384"/>
      <c r="W115" s="1384"/>
      <c r="X115" s="1384"/>
      <c r="Y115" s="1384"/>
      <c r="Z115" s="1384"/>
    </row>
    <row r="116" spans="1:26" ht="15.75" customHeight="1" x14ac:dyDescent="0.2">
      <c r="A116" s="1976"/>
      <c r="B116" s="2026"/>
      <c r="C116" s="2159"/>
      <c r="D116" s="2162"/>
      <c r="E116" s="2156"/>
      <c r="F116" s="2010"/>
      <c r="G116" s="1448"/>
      <c r="H116" s="1594"/>
      <c r="I116" s="1525"/>
      <c r="J116" s="1404"/>
      <c r="K116" s="2166"/>
      <c r="L116" s="1807"/>
      <c r="M116" s="1795"/>
      <c r="N116" s="1796"/>
      <c r="O116" s="2042"/>
      <c r="Q116" s="1384"/>
      <c r="R116" s="1384"/>
      <c r="S116" s="1384"/>
      <c r="T116" s="1384"/>
      <c r="U116" s="1384"/>
      <c r="V116" s="1384"/>
      <c r="W116" s="1384"/>
      <c r="X116" s="1384"/>
      <c r="Y116" s="1384"/>
      <c r="Z116" s="1384"/>
    </row>
    <row r="117" spans="1:26" ht="18.75" customHeight="1" thickBot="1" x14ac:dyDescent="0.25">
      <c r="A117" s="2047"/>
      <c r="B117" s="2157"/>
      <c r="C117" s="2160"/>
      <c r="D117" s="2163"/>
      <c r="E117" s="2110"/>
      <c r="F117" s="2164"/>
      <c r="G117" s="1477" t="s">
        <v>9</v>
      </c>
      <c r="H117" s="1478">
        <f>H115</f>
        <v>621640</v>
      </c>
      <c r="I117" s="1479">
        <f>I115</f>
        <v>621640</v>
      </c>
      <c r="J117" s="1480">
        <f>SUM(J115:J116)</f>
        <v>605460</v>
      </c>
      <c r="K117" s="2167"/>
      <c r="L117" s="1808"/>
      <c r="M117" s="1808"/>
      <c r="N117" s="1765"/>
      <c r="O117" s="2222"/>
      <c r="Q117" s="1384"/>
      <c r="R117" s="1384"/>
      <c r="S117" s="1384"/>
      <c r="T117" s="1384"/>
      <c r="U117" s="1384"/>
      <c r="V117" s="1384"/>
      <c r="W117" s="1384"/>
      <c r="X117" s="1384"/>
      <c r="Y117" s="1384"/>
      <c r="Z117" s="1384"/>
    </row>
    <row r="118" spans="1:26" ht="18" customHeight="1" x14ac:dyDescent="0.2">
      <c r="A118" s="1975" t="s">
        <v>8</v>
      </c>
      <c r="B118" s="2025" t="s">
        <v>35</v>
      </c>
      <c r="C118" s="2158" t="s">
        <v>10</v>
      </c>
      <c r="D118" s="2161" t="s">
        <v>321</v>
      </c>
      <c r="E118" s="2109"/>
      <c r="F118" s="2099" t="s">
        <v>36</v>
      </c>
      <c r="G118" s="1476" t="s">
        <v>78</v>
      </c>
      <c r="H118" s="1593">
        <v>1880</v>
      </c>
      <c r="I118" s="1531">
        <v>1880</v>
      </c>
      <c r="J118" s="1590">
        <v>1880</v>
      </c>
      <c r="K118" s="2165" t="s">
        <v>322</v>
      </c>
      <c r="L118" s="1791">
        <v>10</v>
      </c>
      <c r="M118" s="1791">
        <v>19</v>
      </c>
      <c r="N118" s="1792"/>
      <c r="O118" s="1957" t="s">
        <v>475</v>
      </c>
      <c r="Q118" s="1384"/>
      <c r="R118" s="1384"/>
      <c r="S118" s="1384"/>
      <c r="T118" s="1384"/>
      <c r="U118" s="1384"/>
      <c r="V118" s="1384"/>
      <c r="W118" s="1384"/>
      <c r="X118" s="1384"/>
      <c r="Y118" s="1384"/>
      <c r="Z118" s="1384"/>
    </row>
    <row r="119" spans="1:26" ht="15.75" customHeight="1" x14ac:dyDescent="0.2">
      <c r="A119" s="1976"/>
      <c r="B119" s="2026"/>
      <c r="C119" s="2159"/>
      <c r="D119" s="2162"/>
      <c r="E119" s="2156"/>
      <c r="F119" s="2010"/>
      <c r="G119" s="1448"/>
      <c r="H119" s="1594"/>
      <c r="I119" s="1525"/>
      <c r="J119" s="1404"/>
      <c r="K119" s="2166"/>
      <c r="L119" s="1807"/>
      <c r="M119" s="1795"/>
      <c r="N119" s="1796"/>
      <c r="O119" s="2112"/>
      <c r="Q119" s="1384"/>
      <c r="R119" s="1384"/>
      <c r="S119" s="1384"/>
      <c r="T119" s="1384"/>
      <c r="U119" s="1384"/>
      <c r="V119" s="1384"/>
      <c r="W119" s="1384"/>
      <c r="X119" s="1384"/>
      <c r="Y119" s="1384"/>
      <c r="Z119" s="1384"/>
    </row>
    <row r="120" spans="1:26" ht="18.75" customHeight="1" thickBot="1" x14ac:dyDescent="0.25">
      <c r="A120" s="2047"/>
      <c r="B120" s="2157"/>
      <c r="C120" s="2160"/>
      <c r="D120" s="2163"/>
      <c r="E120" s="2110"/>
      <c r="F120" s="2164"/>
      <c r="G120" s="1477" t="s">
        <v>9</v>
      </c>
      <c r="H120" s="1478">
        <f>H118</f>
        <v>1880</v>
      </c>
      <c r="I120" s="1479">
        <f>I118</f>
        <v>1880</v>
      </c>
      <c r="J120" s="1480">
        <f>SUM(J118:J119)</f>
        <v>1880</v>
      </c>
      <c r="K120" s="2167"/>
      <c r="L120" s="1640"/>
      <c r="M120" s="1640"/>
      <c r="N120" s="1559"/>
      <c r="O120" s="1958"/>
      <c r="Q120" s="1384"/>
      <c r="R120" s="1384"/>
      <c r="S120" s="1384"/>
      <c r="T120" s="1384"/>
      <c r="U120" s="1384"/>
      <c r="V120" s="1384"/>
      <c r="W120" s="1384"/>
      <c r="X120" s="1384"/>
      <c r="Y120" s="1384"/>
      <c r="Z120" s="1384"/>
    </row>
    <row r="121" spans="1:26" ht="13.5" thickBot="1" x14ac:dyDescent="0.25">
      <c r="A121" s="1474" t="s">
        <v>8</v>
      </c>
      <c r="B121" s="1458" t="s">
        <v>35</v>
      </c>
      <c r="C121" s="2172" t="s">
        <v>11</v>
      </c>
      <c r="D121" s="2172"/>
      <c r="E121" s="2172"/>
      <c r="F121" s="2172"/>
      <c r="G121" s="2119"/>
      <c r="H121" s="1481">
        <f>H117+H120</f>
        <v>623520</v>
      </c>
      <c r="I121" s="1481">
        <f t="shared" ref="I121:J121" si="6">I117+I120</f>
        <v>623520</v>
      </c>
      <c r="J121" s="1481">
        <f t="shared" si="6"/>
        <v>607340</v>
      </c>
      <c r="K121" s="2122"/>
      <c r="L121" s="2123"/>
      <c r="M121" s="2123"/>
      <c r="N121" s="2123"/>
      <c r="O121" s="2124"/>
      <c r="Q121" s="1384"/>
      <c r="R121" s="1384"/>
      <c r="S121" s="1384"/>
      <c r="T121" s="1384"/>
      <c r="U121" s="1384"/>
      <c r="V121" s="1384"/>
      <c r="W121" s="1384"/>
      <c r="X121" s="1384"/>
      <c r="Y121" s="1384"/>
      <c r="Z121" s="1384"/>
    </row>
    <row r="122" spans="1:26" ht="14.25" customHeight="1" thickBot="1" x14ac:dyDescent="0.25">
      <c r="A122" s="1100" t="s">
        <v>8</v>
      </c>
      <c r="B122" s="1458" t="s">
        <v>44</v>
      </c>
      <c r="C122" s="2173" t="s">
        <v>61</v>
      </c>
      <c r="D122" s="2174"/>
      <c r="E122" s="2174"/>
      <c r="F122" s="2174"/>
      <c r="G122" s="2174"/>
      <c r="H122" s="2174"/>
      <c r="I122" s="2174"/>
      <c r="J122" s="2174"/>
      <c r="K122" s="2174"/>
      <c r="L122" s="2174"/>
      <c r="M122" s="2174"/>
      <c r="N122" s="2174"/>
      <c r="O122" s="2175"/>
      <c r="Q122" s="1384"/>
      <c r="R122" s="1384"/>
      <c r="S122" s="1384"/>
      <c r="T122" s="1384"/>
      <c r="U122" s="1384"/>
      <c r="V122" s="1384"/>
      <c r="W122" s="1384"/>
      <c r="X122" s="1384"/>
      <c r="Y122" s="1384"/>
      <c r="Z122" s="1384"/>
    </row>
    <row r="123" spans="1:26" ht="17.25" customHeight="1" x14ac:dyDescent="0.2">
      <c r="A123" s="1442" t="s">
        <v>8</v>
      </c>
      <c r="B123" s="1463" t="s">
        <v>44</v>
      </c>
      <c r="C123" s="1641" t="s">
        <v>8</v>
      </c>
      <c r="D123" s="1810" t="s">
        <v>399</v>
      </c>
      <c r="E123" s="1811"/>
      <c r="F123" s="1702" t="s">
        <v>36</v>
      </c>
      <c r="G123" s="1396" t="s">
        <v>33</v>
      </c>
      <c r="H123" s="1591">
        <f>300/3.4528*1000</f>
        <v>86886</v>
      </c>
      <c r="I123" s="1344">
        <f>86886+17200</f>
        <v>104086</v>
      </c>
      <c r="J123" s="1398">
        <v>104084</v>
      </c>
      <c r="K123" s="1814" t="s">
        <v>70</v>
      </c>
      <c r="L123" s="1815">
        <v>285</v>
      </c>
      <c r="M123" s="1816">
        <v>285</v>
      </c>
      <c r="N123" s="1815"/>
      <c r="O123" s="1793"/>
      <c r="P123" s="1441"/>
    </row>
    <row r="124" spans="1:26" ht="15" customHeight="1" thickBot="1" x14ac:dyDescent="0.25">
      <c r="A124" s="1423"/>
      <c r="B124" s="1482"/>
      <c r="C124" s="1390"/>
      <c r="D124" s="1812"/>
      <c r="E124" s="1813"/>
      <c r="F124" s="1456"/>
      <c r="G124" s="1452" t="s">
        <v>9</v>
      </c>
      <c r="H124" s="1483">
        <f>H123</f>
        <v>86886</v>
      </c>
      <c r="I124" s="1394">
        <f>I123</f>
        <v>104086</v>
      </c>
      <c r="J124" s="1395">
        <f t="shared" ref="J124" si="7">J123</f>
        <v>104084</v>
      </c>
      <c r="K124" s="1635"/>
      <c r="L124" s="1484"/>
      <c r="M124" s="1562"/>
      <c r="N124" s="1484"/>
      <c r="O124" s="1339"/>
      <c r="P124" s="1441"/>
    </row>
    <row r="125" spans="1:26" ht="15.75" customHeight="1" x14ac:dyDescent="0.2">
      <c r="A125" s="1353" t="s">
        <v>8</v>
      </c>
      <c r="B125" s="1413" t="s">
        <v>44</v>
      </c>
      <c r="C125" s="1642" t="s">
        <v>10</v>
      </c>
      <c r="D125" s="1955" t="s">
        <v>477</v>
      </c>
      <c r="E125" s="1821"/>
      <c r="F125" s="1644" t="s">
        <v>36</v>
      </c>
      <c r="G125" s="1818" t="s">
        <v>395</v>
      </c>
      <c r="H125" s="1499"/>
      <c r="I125" s="1340">
        <v>50000</v>
      </c>
      <c r="J125" s="1590">
        <v>10980</v>
      </c>
      <c r="K125" s="1786" t="s">
        <v>401</v>
      </c>
      <c r="L125" s="1819">
        <v>1</v>
      </c>
      <c r="M125" s="1820">
        <v>1</v>
      </c>
      <c r="N125" s="1819"/>
      <c r="O125" s="1825" t="s">
        <v>476</v>
      </c>
      <c r="P125" s="1441"/>
    </row>
    <row r="126" spans="1:26" ht="14.25" customHeight="1" x14ac:dyDescent="0.2">
      <c r="A126" s="1630"/>
      <c r="B126" s="1631"/>
      <c r="C126" s="1642"/>
      <c r="D126" s="2035"/>
      <c r="E126" s="1821"/>
      <c r="F126" s="1644"/>
      <c r="G126" s="1420"/>
      <c r="H126" s="1431"/>
      <c r="I126" s="1421"/>
      <c r="J126" s="1597"/>
      <c r="K126" s="1700" t="s">
        <v>400</v>
      </c>
      <c r="L126" s="1822">
        <v>45</v>
      </c>
      <c r="M126" s="1823">
        <v>73</v>
      </c>
      <c r="N126" s="1959" t="s">
        <v>478</v>
      </c>
      <c r="O126" s="1553"/>
      <c r="P126" s="1441"/>
    </row>
    <row r="127" spans="1:26" ht="14.25" customHeight="1" thickBot="1" x14ac:dyDescent="0.25">
      <c r="A127" s="1485"/>
      <c r="B127" s="1486"/>
      <c r="C127" s="1817"/>
      <c r="D127" s="2063"/>
      <c r="E127" s="1586"/>
      <c r="F127" s="1487"/>
      <c r="G127" s="1452" t="s">
        <v>9</v>
      </c>
      <c r="H127" s="1483">
        <f>H125</f>
        <v>0</v>
      </c>
      <c r="I127" s="1394">
        <f>I125</f>
        <v>50000</v>
      </c>
      <c r="J127" s="1395">
        <f>+J125</f>
        <v>10980</v>
      </c>
      <c r="K127" s="1824"/>
      <c r="L127" s="991"/>
      <c r="M127" s="1651"/>
      <c r="N127" s="2121"/>
      <c r="O127" s="1803"/>
    </row>
    <row r="128" spans="1:26" ht="16.5" customHeight="1" x14ac:dyDescent="0.2">
      <c r="A128" s="1976" t="s">
        <v>8</v>
      </c>
      <c r="B128" s="2026" t="s">
        <v>44</v>
      </c>
      <c r="C128" s="2193" t="s">
        <v>35</v>
      </c>
      <c r="D128" s="2009" t="s">
        <v>101</v>
      </c>
      <c r="E128" s="2195"/>
      <c r="F128" s="2010" t="s">
        <v>36</v>
      </c>
      <c r="G128" s="1818" t="s">
        <v>33</v>
      </c>
      <c r="H128" s="1499">
        <f>20.3/3.4528*1000</f>
        <v>5879</v>
      </c>
      <c r="I128" s="1340">
        <f>20.3/3.4528*1000</f>
        <v>5879</v>
      </c>
      <c r="J128" s="1590">
        <v>5551</v>
      </c>
      <c r="K128" s="1785" t="s">
        <v>103</v>
      </c>
      <c r="L128" s="1791">
        <v>44</v>
      </c>
      <c r="M128" s="1792">
        <v>41</v>
      </c>
      <c r="N128" s="2114" t="s">
        <v>430</v>
      </c>
      <c r="O128" s="1793"/>
    </row>
    <row r="129" spans="1:19" ht="20.25" customHeight="1" x14ac:dyDescent="0.2">
      <c r="A129" s="1976"/>
      <c r="B129" s="2026"/>
      <c r="C129" s="2193"/>
      <c r="D129" s="2009"/>
      <c r="E129" s="2195"/>
      <c r="F129" s="2010"/>
      <c r="G129" s="1420"/>
      <c r="H129" s="1431"/>
      <c r="I129" s="1421"/>
      <c r="J129" s="1447"/>
      <c r="K129" s="1405" t="s">
        <v>102</v>
      </c>
      <c r="L129" s="1795">
        <v>3</v>
      </c>
      <c r="M129" s="1172">
        <v>0</v>
      </c>
      <c r="N129" s="1954"/>
      <c r="O129" s="1797"/>
    </row>
    <row r="130" spans="1:19" ht="16.5" customHeight="1" thickBot="1" x14ac:dyDescent="0.25">
      <c r="A130" s="2047"/>
      <c r="B130" s="2157"/>
      <c r="C130" s="2194"/>
      <c r="D130" s="2108"/>
      <c r="E130" s="2196"/>
      <c r="F130" s="2164"/>
      <c r="G130" s="1452" t="s">
        <v>9</v>
      </c>
      <c r="H130" s="1483">
        <f>H128</f>
        <v>5879</v>
      </c>
      <c r="I130" s="1394">
        <f>I128</f>
        <v>5879</v>
      </c>
      <c r="J130" s="1488">
        <f t="shared" ref="J130" si="8">J128</f>
        <v>5551</v>
      </c>
      <c r="K130" s="1725" t="s">
        <v>159</v>
      </c>
      <c r="L130" s="1808">
        <v>230</v>
      </c>
      <c r="M130" s="1335">
        <v>573</v>
      </c>
      <c r="N130" s="2120"/>
      <c r="O130" s="1768"/>
    </row>
    <row r="131" spans="1:19" ht="13.5" thickBot="1" x14ac:dyDescent="0.25">
      <c r="A131" s="1423" t="s">
        <v>8</v>
      </c>
      <c r="B131" s="1482" t="s">
        <v>44</v>
      </c>
      <c r="C131" s="2171" t="s">
        <v>11</v>
      </c>
      <c r="D131" s="2172"/>
      <c r="E131" s="2172"/>
      <c r="F131" s="2172"/>
      <c r="G131" s="2119"/>
      <c r="H131" s="1490">
        <f>H130+H127+H124</f>
        <v>92765</v>
      </c>
      <c r="I131" s="1459">
        <f>I130+I127+I124</f>
        <v>159965</v>
      </c>
      <c r="J131" s="1490">
        <f>J130+J127+J124</f>
        <v>120615</v>
      </c>
      <c r="K131" s="1491"/>
      <c r="L131" s="1492"/>
      <c r="M131" s="1493"/>
      <c r="N131" s="1493"/>
      <c r="O131" s="1494"/>
    </row>
    <row r="132" spans="1:19" ht="13.5" thickBot="1" x14ac:dyDescent="0.25">
      <c r="A132" s="1100" t="s">
        <v>8</v>
      </c>
      <c r="B132" s="1458" t="s">
        <v>89</v>
      </c>
      <c r="C132" s="2173" t="s">
        <v>90</v>
      </c>
      <c r="D132" s="2174"/>
      <c r="E132" s="2174"/>
      <c r="F132" s="2174"/>
      <c r="G132" s="2174"/>
      <c r="H132" s="2174"/>
      <c r="I132" s="2174"/>
      <c r="J132" s="2174"/>
      <c r="K132" s="2174"/>
      <c r="L132" s="2174"/>
      <c r="M132" s="2174"/>
      <c r="N132" s="2174"/>
      <c r="O132" s="2175"/>
    </row>
    <row r="133" spans="1:19" ht="14.25" customHeight="1" x14ac:dyDescent="0.2">
      <c r="A133" s="1495" t="s">
        <v>8</v>
      </c>
      <c r="B133" s="1496" t="s">
        <v>45</v>
      </c>
      <c r="C133" s="1497" t="s">
        <v>8</v>
      </c>
      <c r="D133" s="1587" t="s">
        <v>95</v>
      </c>
      <c r="E133" s="2176"/>
      <c r="F133" s="2178">
        <v>6</v>
      </c>
      <c r="G133" s="1498" t="s">
        <v>33</v>
      </c>
      <c r="H133" s="1499">
        <f>12076.5/3.4528*1000</f>
        <v>3497596</v>
      </c>
      <c r="I133" s="1340">
        <f>3497596-106990-60000-264500</f>
        <v>3066106</v>
      </c>
      <c r="J133" s="1590">
        <v>2752854</v>
      </c>
      <c r="K133" s="1372"/>
      <c r="L133" s="28"/>
      <c r="M133" s="1561"/>
      <c r="N133" s="1194"/>
      <c r="O133" s="99"/>
    </row>
    <row r="134" spans="1:19" ht="12.75" customHeight="1" x14ac:dyDescent="0.2">
      <c r="A134" s="1495"/>
      <c r="B134" s="1496"/>
      <c r="C134" s="1497"/>
      <c r="D134" s="1633" t="s">
        <v>97</v>
      </c>
      <c r="E134" s="2176"/>
      <c r="F134" s="2179"/>
      <c r="G134" s="1367"/>
      <c r="H134" s="1411"/>
      <c r="I134" s="1343"/>
      <c r="J134" s="1447"/>
      <c r="K134" s="1503" t="s">
        <v>252</v>
      </c>
      <c r="L134" s="95">
        <v>7</v>
      </c>
      <c r="M134" s="95">
        <v>7</v>
      </c>
      <c r="N134" s="95"/>
      <c r="O134" s="96"/>
      <c r="S134" s="1592"/>
    </row>
    <row r="135" spans="1:19" x14ac:dyDescent="0.2">
      <c r="A135" s="1495"/>
      <c r="B135" s="1496"/>
      <c r="C135" s="1497"/>
      <c r="D135" s="1578" t="s">
        <v>98</v>
      </c>
      <c r="E135" s="2176"/>
      <c r="F135" s="2179"/>
      <c r="G135" s="1367"/>
      <c r="H135" s="1411"/>
      <c r="I135" s="1343"/>
      <c r="J135" s="1447"/>
      <c r="K135" s="1368" t="s">
        <v>253</v>
      </c>
      <c r="L135" s="377">
        <v>6</v>
      </c>
      <c r="M135" s="377">
        <v>6</v>
      </c>
      <c r="N135" s="377"/>
      <c r="O135" s="378"/>
    </row>
    <row r="136" spans="1:19" x14ac:dyDescent="0.2">
      <c r="A136" s="1495"/>
      <c r="B136" s="1496"/>
      <c r="C136" s="1497"/>
      <c r="D136" s="1578" t="s">
        <v>99</v>
      </c>
      <c r="E136" s="2176"/>
      <c r="F136" s="2179"/>
      <c r="G136" s="1367"/>
      <c r="H136" s="1411"/>
      <c r="I136" s="1343"/>
      <c r="J136" s="1447"/>
      <c r="K136" s="1368" t="s">
        <v>253</v>
      </c>
      <c r="L136" s="377">
        <v>8</v>
      </c>
      <c r="M136" s="377">
        <v>8</v>
      </c>
      <c r="N136" s="377"/>
      <c r="O136" s="378"/>
    </row>
    <row r="137" spans="1:19" s="1501" customFormat="1" x14ac:dyDescent="0.2">
      <c r="A137" s="1353"/>
      <c r="B137" s="1413"/>
      <c r="C137" s="1500"/>
      <c r="D137" s="1578" t="s">
        <v>100</v>
      </c>
      <c r="E137" s="2176"/>
      <c r="F137" s="2179"/>
      <c r="G137" s="1367"/>
      <c r="H137" s="1411"/>
      <c r="I137" s="1343"/>
      <c r="J137" s="1447"/>
      <c r="K137" s="1368" t="s">
        <v>253</v>
      </c>
      <c r="L137" s="377">
        <v>96</v>
      </c>
      <c r="M137" s="377">
        <v>96</v>
      </c>
      <c r="N137" s="377"/>
      <c r="O137" s="1779"/>
    </row>
    <row r="138" spans="1:19" x14ac:dyDescent="0.2">
      <c r="A138" s="2197"/>
      <c r="B138" s="2208"/>
      <c r="C138" s="2206"/>
      <c r="D138" s="2009" t="s">
        <v>96</v>
      </c>
      <c r="E138" s="2176"/>
      <c r="F138" s="2179"/>
      <c r="G138" s="1502"/>
      <c r="H138" s="1431"/>
      <c r="I138" s="1421"/>
      <c r="J138" s="1451"/>
      <c r="K138" s="1652" t="s">
        <v>253</v>
      </c>
      <c r="L138" s="1795">
        <v>1</v>
      </c>
      <c r="M138" s="1795">
        <v>1</v>
      </c>
      <c r="N138" s="1795"/>
      <c r="O138" s="1797"/>
    </row>
    <row r="139" spans="1:19" ht="13.5" thickBot="1" x14ac:dyDescent="0.25">
      <c r="A139" s="2198"/>
      <c r="B139" s="2209"/>
      <c r="C139" s="2207"/>
      <c r="D139" s="2108"/>
      <c r="E139" s="2177"/>
      <c r="F139" s="2180"/>
      <c r="G139" s="1452" t="s">
        <v>9</v>
      </c>
      <c r="H139" s="1483">
        <f>H133</f>
        <v>3497596</v>
      </c>
      <c r="I139" s="1394">
        <f>I133</f>
        <v>3066106</v>
      </c>
      <c r="J139" s="1504">
        <f>SUM(J133:J138)</f>
        <v>2752854</v>
      </c>
      <c r="K139" s="1489"/>
      <c r="L139" s="1338"/>
      <c r="M139" s="1640"/>
      <c r="N139" s="1549"/>
      <c r="O139" s="1339"/>
    </row>
    <row r="140" spans="1:19" ht="15" customHeight="1" x14ac:dyDescent="0.2">
      <c r="A140" s="1976" t="s">
        <v>8</v>
      </c>
      <c r="B140" s="2026" t="s">
        <v>45</v>
      </c>
      <c r="C140" s="2206" t="s">
        <v>10</v>
      </c>
      <c r="D140" s="2009" t="s">
        <v>397</v>
      </c>
      <c r="E140" s="2195"/>
      <c r="F140" s="2010" t="s">
        <v>36</v>
      </c>
      <c r="G140" s="1436" t="s">
        <v>33</v>
      </c>
      <c r="H140" s="1499"/>
      <c r="I140" s="1340">
        <v>60000</v>
      </c>
      <c r="J140" s="1590">
        <v>56507</v>
      </c>
      <c r="K140" s="1785" t="s">
        <v>398</v>
      </c>
      <c r="L140" s="1792">
        <v>18</v>
      </c>
      <c r="M140" s="1792">
        <v>18</v>
      </c>
      <c r="N140" s="1791"/>
      <c r="O140" s="1793"/>
    </row>
    <row r="141" spans="1:19" ht="26.25" customHeight="1" x14ac:dyDescent="0.2">
      <c r="A141" s="1976"/>
      <c r="B141" s="2026"/>
      <c r="C141" s="2206"/>
      <c r="D141" s="2009"/>
      <c r="E141" s="2195"/>
      <c r="F141" s="2010"/>
      <c r="G141" s="1387"/>
      <c r="H141" s="1431"/>
      <c r="I141" s="1421"/>
      <c r="J141" s="1447"/>
      <c r="K141" s="1405" t="s">
        <v>479</v>
      </c>
      <c r="L141" s="1795"/>
      <c r="M141" s="1172"/>
      <c r="N141" s="1795"/>
      <c r="O141" s="1797"/>
    </row>
    <row r="142" spans="1:19" ht="19.5" customHeight="1" thickBot="1" x14ac:dyDescent="0.25">
      <c r="A142" s="2047"/>
      <c r="B142" s="2157"/>
      <c r="C142" s="2207"/>
      <c r="D142" s="2108"/>
      <c r="E142" s="2196"/>
      <c r="F142" s="2164"/>
      <c r="G142" s="1452" t="s">
        <v>9</v>
      </c>
      <c r="H142" s="1483">
        <f>H140</f>
        <v>0</v>
      </c>
      <c r="I142" s="1394">
        <f>I140</f>
        <v>60000</v>
      </c>
      <c r="J142" s="1488">
        <f t="shared" ref="J142" si="9">J140</f>
        <v>56507</v>
      </c>
      <c r="K142" s="1725"/>
      <c r="L142" s="1808"/>
      <c r="M142" s="1335"/>
      <c r="N142" s="1808"/>
      <c r="O142" s="1768"/>
    </row>
    <row r="143" spans="1:19" ht="14.25" customHeight="1" thickBot="1" x14ac:dyDescent="0.25">
      <c r="A143" s="1423" t="s">
        <v>8</v>
      </c>
      <c r="B143" s="1482" t="s">
        <v>45</v>
      </c>
      <c r="C143" s="2117" t="s">
        <v>11</v>
      </c>
      <c r="D143" s="2118"/>
      <c r="E143" s="2118"/>
      <c r="F143" s="2118"/>
      <c r="G143" s="2119"/>
      <c r="H143" s="1459">
        <f>H139+H142</f>
        <v>3497596</v>
      </c>
      <c r="I143" s="1459">
        <f>I139+I142</f>
        <v>3126106</v>
      </c>
      <c r="J143" s="1535">
        <f t="shared" ref="J143" si="10">J139+J142</f>
        <v>2809361</v>
      </c>
      <c r="K143" s="2122"/>
      <c r="L143" s="2123"/>
      <c r="M143" s="2123"/>
      <c r="N143" s="2123"/>
      <c r="O143" s="2124"/>
    </row>
    <row r="144" spans="1:19" ht="14.25" customHeight="1" thickBot="1" x14ac:dyDescent="0.25">
      <c r="A144" s="1474" t="s">
        <v>8</v>
      </c>
      <c r="B144" s="2181" t="s">
        <v>12</v>
      </c>
      <c r="C144" s="2182"/>
      <c r="D144" s="2182"/>
      <c r="E144" s="2182"/>
      <c r="F144" s="2182"/>
      <c r="G144" s="2183"/>
      <c r="H144" s="1505">
        <f>H143+H131+H121+H113+H98</f>
        <v>11091748</v>
      </c>
      <c r="I144" s="1505">
        <f>I143+I131+I121+I113+I98</f>
        <v>10899387</v>
      </c>
      <c r="J144" s="1536">
        <f>J143+J131+J121+J113+J98</f>
        <v>9719939</v>
      </c>
      <c r="K144" s="2184"/>
      <c r="L144" s="2185"/>
      <c r="M144" s="2185"/>
      <c r="N144" s="2185"/>
      <c r="O144" s="2186"/>
    </row>
    <row r="145" spans="1:34" ht="14.25" customHeight="1" thickBot="1" x14ac:dyDescent="0.25">
      <c r="A145" s="1101" t="s">
        <v>46</v>
      </c>
      <c r="B145" s="2187" t="s">
        <v>104</v>
      </c>
      <c r="C145" s="2188"/>
      <c r="D145" s="2188"/>
      <c r="E145" s="2188"/>
      <c r="F145" s="2188"/>
      <c r="G145" s="2189"/>
      <c r="H145" s="1506">
        <f>H144</f>
        <v>11091748</v>
      </c>
      <c r="I145" s="1506">
        <f>I144</f>
        <v>10899387</v>
      </c>
      <c r="J145" s="1537">
        <f t="shared" ref="J145" si="11">J144</f>
        <v>9719939</v>
      </c>
      <c r="K145" s="2190"/>
      <c r="L145" s="2191"/>
      <c r="M145" s="2191"/>
      <c r="N145" s="2191"/>
      <c r="O145" s="2192"/>
    </row>
    <row r="146" spans="1:34" s="1508" customFormat="1" ht="14.25" customHeight="1" x14ac:dyDescent="0.2">
      <c r="A146" s="2199" t="s">
        <v>480</v>
      </c>
      <c r="B146" s="2199"/>
      <c r="C146" s="2199"/>
      <c r="D146" s="2199"/>
      <c r="E146" s="2199"/>
      <c r="F146" s="2199"/>
      <c r="G146" s="2199"/>
      <c r="H146" s="2199"/>
      <c r="I146" s="2199"/>
      <c r="J146" s="2199"/>
      <c r="K146" s="2199"/>
      <c r="L146" s="2199"/>
      <c r="M146" s="2199"/>
      <c r="N146" s="2199"/>
      <c r="O146" s="2199"/>
      <c r="P146" s="1507"/>
      <c r="Q146" s="1507"/>
      <c r="R146" s="1507"/>
      <c r="S146" s="1507"/>
      <c r="T146" s="1507"/>
      <c r="U146" s="1507"/>
      <c r="V146" s="1507"/>
      <c r="W146" s="1507"/>
      <c r="X146" s="1507"/>
      <c r="Y146" s="1507"/>
      <c r="Z146" s="1507"/>
      <c r="AA146" s="1507"/>
      <c r="AB146" s="1507"/>
      <c r="AC146" s="1507"/>
      <c r="AD146" s="1507"/>
      <c r="AE146" s="1507"/>
      <c r="AF146" s="1507"/>
      <c r="AG146" s="1507"/>
      <c r="AH146" s="1507"/>
    </row>
    <row r="147" spans="1:34" s="1508" customFormat="1" ht="14.25" customHeight="1" x14ac:dyDescent="0.2">
      <c r="A147" s="1607" t="s">
        <v>481</v>
      </c>
      <c r="B147" s="1607"/>
      <c r="C147" s="1607"/>
      <c r="D147" s="1607"/>
      <c r="E147" s="1607"/>
      <c r="F147" s="1607"/>
      <c r="G147" s="1607"/>
      <c r="H147" s="1607"/>
      <c r="I147" s="1607"/>
      <c r="J147" s="1607"/>
      <c r="K147" s="1607"/>
      <c r="L147" s="1607"/>
      <c r="M147" s="1607"/>
      <c r="N147" s="1607"/>
      <c r="O147" s="1607"/>
      <c r="P147" s="1507"/>
      <c r="Q147" s="1507"/>
      <c r="R147" s="1507"/>
      <c r="S147" s="1507"/>
      <c r="T147" s="1507"/>
      <c r="U147" s="1507"/>
      <c r="V147" s="1507"/>
      <c r="W147" s="1507"/>
      <c r="X147" s="1507"/>
      <c r="Y147" s="1507"/>
      <c r="Z147" s="1507"/>
      <c r="AA147" s="1507"/>
      <c r="AB147" s="1507"/>
      <c r="AC147" s="1507"/>
      <c r="AD147" s="1507"/>
      <c r="AE147" s="1507"/>
      <c r="AF147" s="1507"/>
      <c r="AG147" s="1507"/>
      <c r="AH147" s="1507"/>
    </row>
    <row r="148" spans="1:34" s="1508" customFormat="1" ht="14.25" customHeight="1" x14ac:dyDescent="0.2">
      <c r="A148" s="1607"/>
      <c r="B148" s="1607"/>
      <c r="C148" s="1607"/>
      <c r="D148" s="1607"/>
      <c r="E148" s="1607"/>
      <c r="F148" s="1607"/>
      <c r="G148" s="1607"/>
      <c r="H148" s="1607"/>
      <c r="I148" s="1607"/>
      <c r="J148" s="1607"/>
      <c r="K148" s="1607"/>
      <c r="L148" s="1607"/>
      <c r="M148" s="1607"/>
      <c r="N148" s="1607"/>
      <c r="O148" s="1607"/>
      <c r="P148" s="1507"/>
      <c r="Q148" s="1507"/>
      <c r="R148" s="1507"/>
      <c r="S148" s="1507"/>
      <c r="T148" s="1507"/>
      <c r="U148" s="1507"/>
      <c r="V148" s="1507"/>
      <c r="W148" s="1507"/>
      <c r="X148" s="1507"/>
      <c r="Y148" s="1507"/>
      <c r="Z148" s="1507"/>
      <c r="AA148" s="1507"/>
      <c r="AB148" s="1507"/>
      <c r="AC148" s="1507"/>
      <c r="AD148" s="1507"/>
      <c r="AE148" s="1507"/>
      <c r="AF148" s="1507"/>
      <c r="AG148" s="1507"/>
      <c r="AH148" s="1507"/>
    </row>
    <row r="149" spans="1:34" s="1508" customFormat="1" ht="14.25" customHeight="1" thickBot="1" x14ac:dyDescent="0.25">
      <c r="A149" s="2116" t="s">
        <v>17</v>
      </c>
      <c r="B149" s="2116"/>
      <c r="C149" s="2116"/>
      <c r="D149" s="2116"/>
      <c r="E149" s="2116"/>
      <c r="F149" s="2116"/>
      <c r="G149" s="2116"/>
      <c r="H149" s="2116"/>
      <c r="I149" s="1509"/>
      <c r="J149" s="1510"/>
      <c r="K149" s="29"/>
      <c r="L149" s="29"/>
      <c r="M149" s="29"/>
      <c r="N149" s="29"/>
      <c r="O149" s="29"/>
      <c r="P149" s="1507"/>
      <c r="Q149" s="1507"/>
      <c r="R149" s="1507"/>
      <c r="S149" s="1507"/>
      <c r="T149" s="1507"/>
      <c r="U149" s="1507"/>
      <c r="V149" s="1507"/>
      <c r="W149" s="1507"/>
      <c r="X149" s="1507"/>
      <c r="Y149" s="1507"/>
      <c r="Z149" s="1507"/>
      <c r="AA149" s="1507"/>
      <c r="AB149" s="1507"/>
      <c r="AC149" s="1507"/>
      <c r="AD149" s="1507"/>
      <c r="AE149" s="1507"/>
      <c r="AF149" s="1507"/>
      <c r="AG149" s="1507"/>
      <c r="AH149" s="1507"/>
    </row>
    <row r="150" spans="1:34" ht="66.75" customHeight="1" thickBot="1" x14ac:dyDescent="0.25">
      <c r="A150" s="2168" t="s">
        <v>13</v>
      </c>
      <c r="B150" s="2169"/>
      <c r="C150" s="2169"/>
      <c r="D150" s="2169"/>
      <c r="E150" s="2169"/>
      <c r="F150" s="2169"/>
      <c r="G150" s="2170"/>
      <c r="H150" s="1588" t="s">
        <v>411</v>
      </c>
      <c r="I150" s="1589" t="s">
        <v>412</v>
      </c>
      <c r="J150" s="1498" t="s">
        <v>413</v>
      </c>
    </row>
    <row r="151" spans="1:34" ht="14.25" customHeight="1" x14ac:dyDescent="0.2">
      <c r="A151" s="2140" t="s">
        <v>18</v>
      </c>
      <c r="B151" s="2141"/>
      <c r="C151" s="2141"/>
      <c r="D151" s="2141"/>
      <c r="E151" s="2141"/>
      <c r="F151" s="2141"/>
      <c r="G151" s="2142"/>
      <c r="H151" s="1511">
        <f ca="1">H152+H161+H159+H160</f>
        <v>10344082</v>
      </c>
      <c r="I151" s="1511">
        <f ca="1">I152+I161+I159+I160</f>
        <v>10151721</v>
      </c>
      <c r="J151" s="1511">
        <f>J152+J161+J159+J160</f>
        <v>9608290</v>
      </c>
      <c r="K151" s="1512"/>
    </row>
    <row r="152" spans="1:34" ht="14.25" customHeight="1" x14ac:dyDescent="0.2">
      <c r="A152" s="2151" t="s">
        <v>370</v>
      </c>
      <c r="B152" s="2152"/>
      <c r="C152" s="2152"/>
      <c r="D152" s="2152"/>
      <c r="E152" s="2152"/>
      <c r="F152" s="2152"/>
      <c r="G152" s="2153"/>
      <c r="H152" s="1513">
        <f ca="1">H153+H154+H155+H157+H158+H156</f>
        <v>10169663</v>
      </c>
      <c r="I152" s="1513">
        <f ca="1">I153+I154+I155+I157+I158+I156</f>
        <v>9927302</v>
      </c>
      <c r="J152" s="1513">
        <f>J153+J154+J155+J157+J158+J156</f>
        <v>9474668</v>
      </c>
      <c r="K152" s="1512"/>
    </row>
    <row r="153" spans="1:34" ht="14.25" customHeight="1" x14ac:dyDescent="0.2">
      <c r="A153" s="2143" t="s">
        <v>24</v>
      </c>
      <c r="B153" s="2144"/>
      <c r="C153" s="2144"/>
      <c r="D153" s="2144"/>
      <c r="E153" s="2144"/>
      <c r="F153" s="2144"/>
      <c r="G153" s="2145"/>
      <c r="H153" s="1450">
        <f>SUMIF(G15:G145,"SB",H15:H145)</f>
        <v>10067568</v>
      </c>
      <c r="I153" s="1450">
        <f>SUMIF(G15:G145,"SB",I15:I145)</f>
        <v>9816011</v>
      </c>
      <c r="J153" s="1514">
        <f>SUMIF(G15:G145,"SB",J15:J145)</f>
        <v>9371741</v>
      </c>
    </row>
    <row r="154" spans="1:34" ht="25.5" customHeight="1" x14ac:dyDescent="0.2">
      <c r="A154" s="2128" t="s">
        <v>25</v>
      </c>
      <c r="B154" s="2129"/>
      <c r="C154" s="2129"/>
      <c r="D154" s="2129"/>
      <c r="E154" s="2129"/>
      <c r="F154" s="2129"/>
      <c r="G154" s="2130"/>
      <c r="H154" s="1450">
        <f>SUMIF(G16:G145,"SB(SP)",H16:H145)</f>
        <v>34523</v>
      </c>
      <c r="I154" s="1450">
        <f>SUMIF(G16:G145,"SB(SP)",I16:I145)</f>
        <v>36110</v>
      </c>
      <c r="J154" s="1514">
        <f>SUMIF(G16:G145,"SB(SP)",J16:J145)</f>
        <v>27749</v>
      </c>
    </row>
    <row r="155" spans="1:34" x14ac:dyDescent="0.2">
      <c r="A155" s="2128" t="s">
        <v>128</v>
      </c>
      <c r="B155" s="2149"/>
      <c r="C155" s="2149"/>
      <c r="D155" s="2149"/>
      <c r="E155" s="2149"/>
      <c r="F155" s="2149"/>
      <c r="G155" s="2150"/>
      <c r="H155" s="1450">
        <f>SUMIF(G8:G138,"SB(VR)",H8:H138)</f>
        <v>59401</v>
      </c>
      <c r="I155" s="1450">
        <f>SUMIF(G8:G138,"SB(VR)",I8:I138)</f>
        <v>59401</v>
      </c>
      <c r="J155" s="1514">
        <f>SUMIF(G8:G138,"SB(VR)",J8:J138)</f>
        <v>59398</v>
      </c>
      <c r="K155" s="1345"/>
      <c r="L155" s="1345"/>
      <c r="M155" s="1345"/>
      <c r="N155" s="1345"/>
      <c r="O155" s="1345"/>
      <c r="P155" s="1345"/>
    </row>
    <row r="156" spans="1:34" x14ac:dyDescent="0.2">
      <c r="A156" s="2137" t="s">
        <v>394</v>
      </c>
      <c r="B156" s="2204"/>
      <c r="C156" s="2204"/>
      <c r="D156" s="2204"/>
      <c r="E156" s="2204"/>
      <c r="F156" s="2204"/>
      <c r="G156" s="2205"/>
      <c r="H156" s="1450">
        <f>SUMIF(G13:G139,"SB(VB)",H13:H139)</f>
        <v>0</v>
      </c>
      <c r="I156" s="1450">
        <f>SUMIF(G13:G139,"SB(VB)",I13:I139)</f>
        <v>7609</v>
      </c>
      <c r="J156" s="1450">
        <f>SUMIF(G13:G139,"SB(VB)",J13:J139)</f>
        <v>7609</v>
      </c>
      <c r="K156" s="1345"/>
      <c r="L156" s="1345"/>
      <c r="M156" s="1345"/>
      <c r="N156" s="1345"/>
      <c r="O156" s="1345"/>
      <c r="P156" s="1345"/>
    </row>
    <row r="157" spans="1:34" x14ac:dyDescent="0.2">
      <c r="A157" s="2128" t="s">
        <v>27</v>
      </c>
      <c r="B157" s="2129"/>
      <c r="C157" s="2129"/>
      <c r="D157" s="2129"/>
      <c r="E157" s="2129"/>
      <c r="F157" s="2129"/>
      <c r="G157" s="2130"/>
      <c r="H157" s="1450">
        <f>SUMIF(G13:G139,"SB(P)",H8:H139)</f>
        <v>0</v>
      </c>
      <c r="I157" s="1450">
        <f>SUMIF(H13:H139,"SB(P)",I8:I139)</f>
        <v>0</v>
      </c>
      <c r="J157" s="1514">
        <f>SUMIF(G8:G138,"SB(P)",J8:J138)</f>
        <v>0</v>
      </c>
    </row>
    <row r="158" spans="1:34" ht="14.25" customHeight="1" x14ac:dyDescent="0.2">
      <c r="A158" s="2137" t="s">
        <v>371</v>
      </c>
      <c r="B158" s="2138"/>
      <c r="C158" s="2138"/>
      <c r="D158" s="2138"/>
      <c r="E158" s="2138"/>
      <c r="F158" s="2138"/>
      <c r="G158" s="2139"/>
      <c r="H158" s="1450">
        <f ca="1">SUMIF(G16:G145,"SB(L)",H16:H144)</f>
        <v>8171</v>
      </c>
      <c r="I158" s="1450">
        <f ca="1">SUMIF(G16:G145,"SB(L)",I16:I144)</f>
        <v>8171</v>
      </c>
      <c r="J158" s="1450">
        <f>SUMIF(G15:G145,"SB(L)",J15:J145)</f>
        <v>8171</v>
      </c>
      <c r="K158" s="1345"/>
      <c r="L158" s="1345"/>
      <c r="M158" s="1345"/>
      <c r="N158" s="1345"/>
      <c r="O158" s="1345"/>
      <c r="P158" s="1345"/>
    </row>
    <row r="159" spans="1:34" ht="14.25" customHeight="1" x14ac:dyDescent="0.2">
      <c r="A159" s="2146" t="s">
        <v>375</v>
      </c>
      <c r="B159" s="2147"/>
      <c r="C159" s="2147"/>
      <c r="D159" s="2147"/>
      <c r="E159" s="2147"/>
      <c r="F159" s="2147"/>
      <c r="G159" s="2148"/>
      <c r="H159" s="1449">
        <f ca="1">SUMIF(G17:G146,"SB(SPL)",H17:H145)</f>
        <v>2164</v>
      </c>
      <c r="I159" s="1449">
        <f ca="1">SUMIF(G17:G146,"SB(SPL)",I17:I145)</f>
        <v>2164</v>
      </c>
      <c r="J159" s="1449">
        <f>SUMIF(G17:G145,"SB(SPL)",J17:J145)</f>
        <v>2164</v>
      </c>
      <c r="K159" s="1345"/>
      <c r="L159" s="1345"/>
      <c r="M159" s="1345"/>
      <c r="N159" s="1345"/>
      <c r="O159" s="1345"/>
      <c r="P159" s="1345"/>
    </row>
    <row r="160" spans="1:34" ht="14.25" customHeight="1" x14ac:dyDescent="0.2">
      <c r="A160" s="2146" t="s">
        <v>396</v>
      </c>
      <c r="B160" s="2147"/>
      <c r="C160" s="2147"/>
      <c r="D160" s="2147"/>
      <c r="E160" s="2147"/>
      <c r="F160" s="2147"/>
      <c r="G160" s="2148"/>
      <c r="H160" s="1449">
        <f ca="1">SUMIF(G18:G147,"SB(ŽPL)",H18:H146)</f>
        <v>0</v>
      </c>
      <c r="I160" s="1449">
        <f ca="1">SUMIF(G18:G147,"SB(ŽPL)",I18:I146)</f>
        <v>50000</v>
      </c>
      <c r="J160" s="1449">
        <f>SUMIF(G18:G146,"SB(ŽPL)",J18:J146)</f>
        <v>10980</v>
      </c>
      <c r="K160" s="1345"/>
      <c r="L160" s="1345"/>
      <c r="M160" s="1345"/>
      <c r="N160" s="1345"/>
      <c r="O160" s="1345"/>
      <c r="P160" s="1345"/>
    </row>
    <row r="161" spans="1:16" ht="14.25" customHeight="1" x14ac:dyDescent="0.2">
      <c r="A161" s="2146" t="s">
        <v>325</v>
      </c>
      <c r="B161" s="2154"/>
      <c r="C161" s="2154"/>
      <c r="D161" s="2154"/>
      <c r="E161" s="2154"/>
      <c r="F161" s="2154"/>
      <c r="G161" s="2155"/>
      <c r="H161" s="1449">
        <f ca="1">SUMIF(G17:G146,"SB(VRL)",H17:H145)</f>
        <v>172255</v>
      </c>
      <c r="I161" s="1449">
        <f ca="1">SUMIF(G17:G146,"SB(VRL)",I17:I145)</f>
        <v>172255</v>
      </c>
      <c r="J161" s="1449">
        <f>SUMIF(G17:G145,"SB(VRL)",J17:J145)</f>
        <v>120478</v>
      </c>
      <c r="K161" s="1345"/>
      <c r="L161" s="1345"/>
      <c r="M161" s="1345"/>
      <c r="N161" s="1345"/>
      <c r="O161" s="1345"/>
      <c r="P161" s="1345"/>
    </row>
    <row r="162" spans="1:16" x14ac:dyDescent="0.2">
      <c r="A162" s="2134" t="s">
        <v>19</v>
      </c>
      <c r="B162" s="2135"/>
      <c r="C162" s="2135"/>
      <c r="D162" s="2135"/>
      <c r="E162" s="2135"/>
      <c r="F162" s="2135"/>
      <c r="G162" s="2136"/>
      <c r="H162" s="1515">
        <f>SUM(H163:H165)</f>
        <v>747666</v>
      </c>
      <c r="I162" s="1515">
        <f>SUM(I163:I165)</f>
        <v>747666</v>
      </c>
      <c r="J162" s="1515">
        <f>SUM(J163:J165)</f>
        <v>111649</v>
      </c>
    </row>
    <row r="163" spans="1:16" x14ac:dyDescent="0.2">
      <c r="A163" s="2131" t="s">
        <v>28</v>
      </c>
      <c r="B163" s="2132"/>
      <c r="C163" s="2132"/>
      <c r="D163" s="2132"/>
      <c r="E163" s="2132"/>
      <c r="F163" s="2132"/>
      <c r="G163" s="2133"/>
      <c r="H163" s="1450">
        <f>SUMIF(G16:G145,"ES",H16:H145)</f>
        <v>131782</v>
      </c>
      <c r="I163" s="1450">
        <f>SUMIF(G16:G145,"ES",I16:I145)</f>
        <v>131782</v>
      </c>
      <c r="J163" s="1514">
        <f>SUMIF(G16:G145,"ES",J16:J145)</f>
        <v>83449</v>
      </c>
    </row>
    <row r="164" spans="1:16" x14ac:dyDescent="0.2">
      <c r="A164" s="2128" t="s">
        <v>30</v>
      </c>
      <c r="B164" s="2129"/>
      <c r="C164" s="2129"/>
      <c r="D164" s="2129"/>
      <c r="E164" s="2129"/>
      <c r="F164" s="2129"/>
      <c r="G164" s="2130"/>
      <c r="H164" s="1450">
        <f>SUMIF(G16:G145,"LRVB",H16:H145)</f>
        <v>23758</v>
      </c>
      <c r="I164" s="1450">
        <f>SUMIF(G16:G145,"LRVB",I16:I145)</f>
        <v>23758</v>
      </c>
      <c r="J164" s="1514">
        <f>SUMIF(G16:G145,"LRVB",J16:J145)</f>
        <v>26320</v>
      </c>
    </row>
    <row r="165" spans="1:16" x14ac:dyDescent="0.2">
      <c r="A165" s="2128" t="s">
        <v>31</v>
      </c>
      <c r="B165" s="2129"/>
      <c r="C165" s="2129"/>
      <c r="D165" s="2129"/>
      <c r="E165" s="2129"/>
      <c r="F165" s="2129"/>
      <c r="G165" s="2130"/>
      <c r="H165" s="1450">
        <f>SUMIF(G16:G145,"Kt",H16:H145)</f>
        <v>592126</v>
      </c>
      <c r="I165" s="1450">
        <f>SUMIF(G16:G145,"Kt",I16:I145)</f>
        <v>592126</v>
      </c>
      <c r="J165" s="1514">
        <f>SUMIF(G16:G145,"Kt",J16:J145)</f>
        <v>1880</v>
      </c>
      <c r="L165" s="1200"/>
      <c r="M165" s="1200"/>
      <c r="N165" s="1200"/>
      <c r="O165" s="1200"/>
    </row>
    <row r="166" spans="1:16" ht="13.5" thickBot="1" x14ac:dyDescent="0.25">
      <c r="A166" s="2125" t="s">
        <v>20</v>
      </c>
      <c r="B166" s="2126"/>
      <c r="C166" s="2126"/>
      <c r="D166" s="2126"/>
      <c r="E166" s="2126"/>
      <c r="F166" s="2126"/>
      <c r="G166" s="2127"/>
      <c r="H166" s="1516">
        <f ca="1">SUM(H151,H162)</f>
        <v>11091748</v>
      </c>
      <c r="I166" s="1516">
        <f ca="1">SUM(I151,I162)</f>
        <v>10899387</v>
      </c>
      <c r="J166" s="1516">
        <f>SUM(J151,J162)</f>
        <v>9719939</v>
      </c>
      <c r="L166" s="1200"/>
      <c r="M166" s="1200"/>
      <c r="N166" s="1200"/>
      <c r="O166" s="1200"/>
    </row>
    <row r="167" spans="1:16" x14ac:dyDescent="0.2">
      <c r="L167" s="1200"/>
      <c r="M167" s="1200"/>
      <c r="N167" s="1200"/>
      <c r="O167" s="1200"/>
    </row>
    <row r="168" spans="1:16" x14ac:dyDescent="0.2">
      <c r="J168" s="1517"/>
      <c r="L168" s="1200"/>
      <c r="M168" s="1200"/>
      <c r="N168" s="1200"/>
      <c r="O168" s="1200"/>
    </row>
    <row r="169" spans="1:16" x14ac:dyDescent="0.2">
      <c r="L169" s="1200"/>
      <c r="M169" s="1200"/>
      <c r="N169" s="1200"/>
      <c r="O169" s="1200"/>
    </row>
    <row r="170" spans="1:16" x14ac:dyDescent="0.2">
      <c r="L170" s="1200"/>
      <c r="M170" s="1200"/>
      <c r="N170" s="1200"/>
      <c r="O170" s="1200"/>
    </row>
  </sheetData>
  <mergeCells count="204">
    <mergeCell ref="B9:G9"/>
    <mergeCell ref="H9:J9"/>
    <mergeCell ref="O9:O10"/>
    <mergeCell ref="B10:G10"/>
    <mergeCell ref="H10:J10"/>
    <mergeCell ref="H11:J11"/>
    <mergeCell ref="H12:J12"/>
    <mergeCell ref="O107:O108"/>
    <mergeCell ref="O115:O117"/>
    <mergeCell ref="F115:F117"/>
    <mergeCell ref="K115:K117"/>
    <mergeCell ref="C113:G113"/>
    <mergeCell ref="K113:O113"/>
    <mergeCell ref="C114:O114"/>
    <mergeCell ref="C99:O99"/>
    <mergeCell ref="D100:D101"/>
    <mergeCell ref="D102:D104"/>
    <mergeCell ref="D105:D106"/>
    <mergeCell ref="D92:D93"/>
    <mergeCell ref="E92:E93"/>
    <mergeCell ref="K84:K85"/>
    <mergeCell ref="D88:D89"/>
    <mergeCell ref="K88:K89"/>
    <mergeCell ref="K66:K68"/>
    <mergeCell ref="D111:D112"/>
    <mergeCell ref="D125:D127"/>
    <mergeCell ref="D62:D63"/>
    <mergeCell ref="A156:G156"/>
    <mergeCell ref="A140:A142"/>
    <mergeCell ref="B140:B142"/>
    <mergeCell ref="C140:C142"/>
    <mergeCell ref="D140:D142"/>
    <mergeCell ref="E140:E142"/>
    <mergeCell ref="F140:F142"/>
    <mergeCell ref="B138:B139"/>
    <mergeCell ref="C138:C139"/>
    <mergeCell ref="D138:D139"/>
    <mergeCell ref="A128:A130"/>
    <mergeCell ref="B128:B130"/>
    <mergeCell ref="C121:G121"/>
    <mergeCell ref="F92:F93"/>
    <mergeCell ref="D107:D108"/>
    <mergeCell ref="C98:G98"/>
    <mergeCell ref="C122:O122"/>
    <mergeCell ref="A115:A117"/>
    <mergeCell ref="B115:B117"/>
    <mergeCell ref="C115:C117"/>
    <mergeCell ref="D115:D117"/>
    <mergeCell ref="E115:E117"/>
    <mergeCell ref="A118:A120"/>
    <mergeCell ref="B118:B120"/>
    <mergeCell ref="C118:C120"/>
    <mergeCell ref="D118:D120"/>
    <mergeCell ref="E118:E120"/>
    <mergeCell ref="F118:F120"/>
    <mergeCell ref="K118:K120"/>
    <mergeCell ref="A150:G150"/>
    <mergeCell ref="F128:F130"/>
    <mergeCell ref="C131:G131"/>
    <mergeCell ref="C132:O132"/>
    <mergeCell ref="E133:E139"/>
    <mergeCell ref="F133:F139"/>
    <mergeCell ref="K143:O143"/>
    <mergeCell ref="B144:G144"/>
    <mergeCell ref="K144:O144"/>
    <mergeCell ref="B145:G145"/>
    <mergeCell ref="K145:O145"/>
    <mergeCell ref="C128:C130"/>
    <mergeCell ref="D128:D130"/>
    <mergeCell ref="E128:E130"/>
    <mergeCell ref="A138:A139"/>
    <mergeCell ref="A146:O146"/>
    <mergeCell ref="A149:H149"/>
    <mergeCell ref="C143:G143"/>
    <mergeCell ref="O118:O120"/>
    <mergeCell ref="N128:N130"/>
    <mergeCell ref="N126:N127"/>
    <mergeCell ref="K121:O121"/>
    <mergeCell ref="A166:G166"/>
    <mergeCell ref="A164:G164"/>
    <mergeCell ref="A165:G165"/>
    <mergeCell ref="A163:G163"/>
    <mergeCell ref="A162:G162"/>
    <mergeCell ref="A158:G158"/>
    <mergeCell ref="A151:G151"/>
    <mergeCell ref="A153:G153"/>
    <mergeCell ref="A160:G160"/>
    <mergeCell ref="A155:G155"/>
    <mergeCell ref="A157:G157"/>
    <mergeCell ref="A154:G154"/>
    <mergeCell ref="A159:G159"/>
    <mergeCell ref="A152:G152"/>
    <mergeCell ref="A161:G161"/>
    <mergeCell ref="A96:A97"/>
    <mergeCell ref="B96:B97"/>
    <mergeCell ref="C96:C97"/>
    <mergeCell ref="D96:D97"/>
    <mergeCell ref="E96:E97"/>
    <mergeCell ref="O102:O104"/>
    <mergeCell ref="O105:O106"/>
    <mergeCell ref="C94:C95"/>
    <mergeCell ref="D94:D95"/>
    <mergeCell ref="C20:C28"/>
    <mergeCell ref="D20:D28"/>
    <mergeCell ref="E20:E28"/>
    <mergeCell ref="D57:D59"/>
    <mergeCell ref="F39:F41"/>
    <mergeCell ref="D39:D41"/>
    <mergeCell ref="E39:E41"/>
    <mergeCell ref="D42:D43"/>
    <mergeCell ref="F49:F51"/>
    <mergeCell ref="D54:D55"/>
    <mergeCell ref="D49:D52"/>
    <mergeCell ref="E49:E52"/>
    <mergeCell ref="A1:O1"/>
    <mergeCell ref="A2:O2"/>
    <mergeCell ref="L3:O3"/>
    <mergeCell ref="A4:A6"/>
    <mergeCell ref="B4:B6"/>
    <mergeCell ref="C4:C6"/>
    <mergeCell ref="D4:D6"/>
    <mergeCell ref="E4:E6"/>
    <mergeCell ref="K5:K6"/>
    <mergeCell ref="O4:O6"/>
    <mergeCell ref="H5:H6"/>
    <mergeCell ref="I5:I6"/>
    <mergeCell ref="J5:J6"/>
    <mergeCell ref="L5:L6"/>
    <mergeCell ref="M5:M6"/>
    <mergeCell ref="D74:D75"/>
    <mergeCell ref="K86:K87"/>
    <mergeCell ref="L66:L68"/>
    <mergeCell ref="M66:M68"/>
    <mergeCell ref="O66:O68"/>
    <mergeCell ref="A66:A68"/>
    <mergeCell ref="B66:B68"/>
    <mergeCell ref="C66:C68"/>
    <mergeCell ref="C39:C41"/>
    <mergeCell ref="D66:D68"/>
    <mergeCell ref="A84:A87"/>
    <mergeCell ref="B84:B87"/>
    <mergeCell ref="C84:C87"/>
    <mergeCell ref="D84:D87"/>
    <mergeCell ref="E84:E87"/>
    <mergeCell ref="F84:F87"/>
    <mergeCell ref="E66:E68"/>
    <mergeCell ref="A81:A83"/>
    <mergeCell ref="B81:B83"/>
    <mergeCell ref="C81:C83"/>
    <mergeCell ref="E81:E83"/>
    <mergeCell ref="F81:F83"/>
    <mergeCell ref="D82:D83"/>
    <mergeCell ref="D69:D70"/>
    <mergeCell ref="A36:A37"/>
    <mergeCell ref="B36:B37"/>
    <mergeCell ref="C36:C37"/>
    <mergeCell ref="E36:E37"/>
    <mergeCell ref="F36:F37"/>
    <mergeCell ref="D36:D38"/>
    <mergeCell ref="A42:A43"/>
    <mergeCell ref="B42:B43"/>
    <mergeCell ref="C42:C43"/>
    <mergeCell ref="A39:A41"/>
    <mergeCell ref="B39:B41"/>
    <mergeCell ref="A49:A51"/>
    <mergeCell ref="B49:B51"/>
    <mergeCell ref="C49:C51"/>
    <mergeCell ref="F66:F68"/>
    <mergeCell ref="A7:O7"/>
    <mergeCell ref="F4:F6"/>
    <mergeCell ref="G4:G6"/>
    <mergeCell ref="A8:O8"/>
    <mergeCell ref="B13:O13"/>
    <mergeCell ref="H4:J4"/>
    <mergeCell ref="K4:M4"/>
    <mergeCell ref="N4:N6"/>
    <mergeCell ref="B17:B18"/>
    <mergeCell ref="C17:C18"/>
    <mergeCell ref="D17:D18"/>
    <mergeCell ref="A17:A18"/>
    <mergeCell ref="F20:F28"/>
    <mergeCell ref="E17:E19"/>
    <mergeCell ref="F17:F18"/>
    <mergeCell ref="A20:A28"/>
    <mergeCell ref="C14:O14"/>
    <mergeCell ref="D29:D32"/>
    <mergeCell ref="E29:E31"/>
    <mergeCell ref="B20:B28"/>
    <mergeCell ref="K79:K80"/>
    <mergeCell ref="N57:N58"/>
    <mergeCell ref="N62:N63"/>
    <mergeCell ref="N64:N65"/>
    <mergeCell ref="N82:N83"/>
    <mergeCell ref="N96:N97"/>
    <mergeCell ref="O96:O97"/>
    <mergeCell ref="N17:N18"/>
    <mergeCell ref="O20:O21"/>
    <mergeCell ref="O25:O28"/>
    <mergeCell ref="O34:O35"/>
    <mergeCell ref="N44:N45"/>
    <mergeCell ref="L86:L87"/>
    <mergeCell ref="M86:M87"/>
    <mergeCell ref="O86:O87"/>
    <mergeCell ref="O47:O48"/>
  </mergeCells>
  <printOptions horizontalCentered="1"/>
  <pageMargins left="0" right="0" top="0.70866141732283472" bottom="0" header="0.39370078740157483" footer="0.39370078740157483"/>
  <pageSetup paperSize="9" scale="80" orientation="landscape" r:id="rId1"/>
  <rowBreaks count="6" manualBreakCount="6">
    <brk id="28" max="14" man="1"/>
    <brk id="48" max="14" man="1"/>
    <brk id="83" max="14" man="1"/>
    <brk id="98" max="14" man="1"/>
    <brk id="121" max="14" man="1"/>
    <brk id="148"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59"/>
  <sheetViews>
    <sheetView view="pageBreakPreview" topLeftCell="A22" zoomScaleNormal="100" zoomScaleSheetLayoutView="100" workbookViewId="0">
      <selection activeCell="P34" sqref="P34"/>
    </sheetView>
  </sheetViews>
  <sheetFormatPr defaultRowHeight="12.75" x14ac:dyDescent="0.2"/>
  <cols>
    <col min="1" max="4" width="2.7109375" style="8" customWidth="1"/>
    <col min="5" max="5" width="29.28515625" style="8" customWidth="1"/>
    <col min="6" max="6" width="2.7109375" style="43" customWidth="1"/>
    <col min="7" max="7" width="4.140625" style="8" customWidth="1"/>
    <col min="8" max="8" width="2.7109375" style="58" customWidth="1"/>
    <col min="9" max="9" width="12" style="58" customWidth="1"/>
    <col min="10" max="10" width="7.42578125" style="75" customWidth="1"/>
    <col min="11" max="11" width="10.28515625" style="8" customWidth="1"/>
    <col min="12" max="12" width="34.5703125" style="8" customWidth="1"/>
    <col min="13" max="13" width="6.7109375" style="8" customWidth="1"/>
    <col min="14" max="16384" width="9.140625" style="5"/>
  </cols>
  <sheetData>
    <row r="1" spans="1:16" ht="18.75" customHeight="1" x14ac:dyDescent="0.2">
      <c r="F1" s="8"/>
      <c r="H1" s="1078"/>
      <c r="I1" s="1078"/>
      <c r="J1" s="1079"/>
      <c r="K1" s="75"/>
      <c r="L1" s="2526" t="s">
        <v>376</v>
      </c>
      <c r="M1" s="2527"/>
    </row>
    <row r="2" spans="1:16" ht="16.5" customHeight="1" x14ac:dyDescent="0.2">
      <c r="F2" s="8"/>
      <c r="H2" s="1078"/>
      <c r="I2" s="1078"/>
      <c r="J2" s="1079"/>
      <c r="K2" s="75"/>
      <c r="L2" s="2527"/>
      <c r="M2" s="2527"/>
    </row>
    <row r="3" spans="1:16" ht="16.5" customHeight="1" x14ac:dyDescent="0.2">
      <c r="F3" s="8"/>
      <c r="H3" s="1078"/>
      <c r="I3" s="1078"/>
      <c r="J3" s="1079"/>
      <c r="K3" s="75"/>
      <c r="L3" s="2527"/>
      <c r="M3" s="2527"/>
    </row>
    <row r="4" spans="1:16" ht="15.75" customHeight="1" x14ac:dyDescent="0.2">
      <c r="F4" s="8"/>
      <c r="H4" s="1078"/>
      <c r="I4" s="1078"/>
      <c r="J4" s="1079"/>
      <c r="K4" s="75"/>
      <c r="L4" s="1309"/>
      <c r="M4" s="1309"/>
    </row>
    <row r="5" spans="1:16" ht="15.75" customHeight="1" x14ac:dyDescent="0.2">
      <c r="F5" s="8"/>
      <c r="H5" s="1078"/>
      <c r="I5" s="1078"/>
      <c r="J5" s="1079"/>
      <c r="K5" s="75"/>
      <c r="L5" s="1309"/>
      <c r="M5" s="1309"/>
    </row>
    <row r="6" spans="1:16" ht="15.75" x14ac:dyDescent="0.2">
      <c r="A6" s="2530" t="s">
        <v>311</v>
      </c>
      <c r="B6" s="2530"/>
      <c r="C6" s="2530"/>
      <c r="D6" s="2530"/>
      <c r="E6" s="2530"/>
      <c r="F6" s="2530"/>
      <c r="G6" s="2530"/>
      <c r="H6" s="2530"/>
      <c r="I6" s="2530"/>
      <c r="J6" s="2530"/>
      <c r="K6" s="2530"/>
      <c r="L6" s="2530"/>
      <c r="M6" s="2530"/>
    </row>
    <row r="7" spans="1:16" ht="15.75" x14ac:dyDescent="0.2">
      <c r="A7" s="2417" t="s">
        <v>34</v>
      </c>
      <c r="B7" s="2417"/>
      <c r="C7" s="2417"/>
      <c r="D7" s="2417"/>
      <c r="E7" s="2417"/>
      <c r="F7" s="2417"/>
      <c r="G7" s="2417"/>
      <c r="H7" s="2417"/>
      <c r="I7" s="2417"/>
      <c r="J7" s="2417"/>
      <c r="K7" s="2417"/>
      <c r="L7" s="2417"/>
      <c r="M7" s="2417"/>
    </row>
    <row r="8" spans="1:16" ht="29.25" customHeight="1" x14ac:dyDescent="0.2">
      <c r="A8" s="2418" t="s">
        <v>22</v>
      </c>
      <c r="B8" s="2418"/>
      <c r="C8" s="2418"/>
      <c r="D8" s="2418"/>
      <c r="E8" s="2418"/>
      <c r="F8" s="2418"/>
      <c r="G8" s="2418"/>
      <c r="H8" s="2418"/>
      <c r="I8" s="2418"/>
      <c r="J8" s="2418"/>
      <c r="K8" s="2418"/>
      <c r="L8" s="2418"/>
      <c r="M8" s="2418"/>
      <c r="N8" s="1"/>
      <c r="O8" s="1"/>
      <c r="P8" s="1"/>
    </row>
    <row r="9" spans="1:16" ht="18" customHeight="1" thickBot="1" x14ac:dyDescent="0.25">
      <c r="M9" s="1311" t="s">
        <v>246</v>
      </c>
    </row>
    <row r="10" spans="1:16" ht="66" customHeight="1" x14ac:dyDescent="0.2">
      <c r="A10" s="2419" t="s">
        <v>23</v>
      </c>
      <c r="B10" s="2422" t="s">
        <v>1</v>
      </c>
      <c r="C10" s="2422" t="s">
        <v>2</v>
      </c>
      <c r="D10" s="2422" t="s">
        <v>142</v>
      </c>
      <c r="E10" s="2425" t="s">
        <v>15</v>
      </c>
      <c r="F10" s="2428" t="s">
        <v>3</v>
      </c>
      <c r="G10" s="2422" t="s">
        <v>310</v>
      </c>
      <c r="H10" s="2433" t="s">
        <v>4</v>
      </c>
      <c r="I10" s="2436" t="s">
        <v>144</v>
      </c>
      <c r="J10" s="2439" t="s">
        <v>5</v>
      </c>
      <c r="K10" s="1990" t="s">
        <v>314</v>
      </c>
      <c r="L10" s="2442" t="s">
        <v>315</v>
      </c>
      <c r="M10" s="2443"/>
    </row>
    <row r="11" spans="1:16" ht="13.5" customHeight="1" x14ac:dyDescent="0.2">
      <c r="A11" s="2420"/>
      <c r="B11" s="2423"/>
      <c r="C11" s="2423"/>
      <c r="D11" s="2423"/>
      <c r="E11" s="2426"/>
      <c r="F11" s="2429"/>
      <c r="G11" s="2431"/>
      <c r="H11" s="2434"/>
      <c r="I11" s="2437"/>
      <c r="J11" s="2440"/>
      <c r="K11" s="1991"/>
      <c r="L11" s="2444" t="s">
        <v>15</v>
      </c>
      <c r="M11" s="1064" t="s">
        <v>247</v>
      </c>
    </row>
    <row r="12" spans="1:16" ht="15" customHeight="1" thickBot="1" x14ac:dyDescent="0.25">
      <c r="A12" s="2421"/>
      <c r="B12" s="2424"/>
      <c r="C12" s="2424"/>
      <c r="D12" s="2424"/>
      <c r="E12" s="2427"/>
      <c r="F12" s="2430"/>
      <c r="G12" s="2432"/>
      <c r="H12" s="2435"/>
      <c r="I12" s="2438"/>
      <c r="J12" s="2441"/>
      <c r="K12" s="1992"/>
      <c r="L12" s="2445"/>
      <c r="M12" s="1107" t="s">
        <v>32</v>
      </c>
    </row>
    <row r="13" spans="1:16" s="27" customFormat="1" ht="14.25" customHeight="1" x14ac:dyDescent="0.2">
      <c r="A13" s="2536" t="s">
        <v>109</v>
      </c>
      <c r="B13" s="2537"/>
      <c r="C13" s="2537"/>
      <c r="D13" s="2537"/>
      <c r="E13" s="2537"/>
      <c r="F13" s="2537"/>
      <c r="G13" s="2537"/>
      <c r="H13" s="2537"/>
      <c r="I13" s="2537"/>
      <c r="J13" s="2537"/>
      <c r="K13" s="2537"/>
      <c r="L13" s="2537"/>
      <c r="M13" s="2538"/>
    </row>
    <row r="14" spans="1:16" s="27" customFormat="1" ht="17.25" customHeight="1" x14ac:dyDescent="0.2">
      <c r="A14" s="2539" t="s">
        <v>71</v>
      </c>
      <c r="B14" s="2540"/>
      <c r="C14" s="2540"/>
      <c r="D14" s="2540"/>
      <c r="E14" s="2540"/>
      <c r="F14" s="2540"/>
      <c r="G14" s="2540"/>
      <c r="H14" s="2540"/>
      <c r="I14" s="2540"/>
      <c r="J14" s="2540"/>
      <c r="K14" s="2540"/>
      <c r="L14" s="2540"/>
      <c r="M14" s="2541"/>
    </row>
    <row r="15" spans="1:16" ht="38.25" customHeight="1" x14ac:dyDescent="0.2">
      <c r="A15" s="299" t="s">
        <v>8</v>
      </c>
      <c r="B15" s="2542" t="s">
        <v>110</v>
      </c>
      <c r="C15" s="2543"/>
      <c r="D15" s="2543"/>
      <c r="E15" s="2543"/>
      <c r="F15" s="2543"/>
      <c r="G15" s="2543"/>
      <c r="H15" s="2543"/>
      <c r="I15" s="2543"/>
      <c r="J15" s="2543"/>
      <c r="K15" s="2543"/>
      <c r="L15" s="2543"/>
      <c r="M15" s="2544"/>
    </row>
    <row r="16" spans="1:16" x14ac:dyDescent="0.2">
      <c r="A16" s="1245" t="s">
        <v>8</v>
      </c>
      <c r="B16" s="1246" t="s">
        <v>8</v>
      </c>
      <c r="C16" s="2545" t="s">
        <v>58</v>
      </c>
      <c r="D16" s="2546"/>
      <c r="E16" s="2546"/>
      <c r="F16" s="2546"/>
      <c r="G16" s="2546"/>
      <c r="H16" s="2546"/>
      <c r="I16" s="2546"/>
      <c r="J16" s="2546"/>
      <c r="K16" s="2546"/>
      <c r="L16" s="2546"/>
      <c r="M16" s="2547"/>
    </row>
    <row r="17" spans="1:14" ht="14.25" customHeight="1" x14ac:dyDescent="0.2">
      <c r="A17" s="1063" t="s">
        <v>8</v>
      </c>
      <c r="B17" s="1312" t="s">
        <v>8</v>
      </c>
      <c r="C17" s="1293" t="s">
        <v>8</v>
      </c>
      <c r="D17" s="1301"/>
      <c r="E17" s="1313" t="s">
        <v>91</v>
      </c>
      <c r="F17" s="1260" t="s">
        <v>232</v>
      </c>
      <c r="G17" s="1302"/>
      <c r="H17" s="1258"/>
      <c r="I17" s="1082"/>
      <c r="J17" s="542"/>
      <c r="K17" s="1157"/>
      <c r="L17" s="1054"/>
      <c r="M17" s="1315"/>
    </row>
    <row r="18" spans="1:14" ht="22.5" customHeight="1" x14ac:dyDescent="0.2">
      <c r="A18" s="1245"/>
      <c r="B18" s="1246"/>
      <c r="C18" s="1293"/>
      <c r="D18" s="1307" t="s">
        <v>8</v>
      </c>
      <c r="E18" s="541" t="s">
        <v>40</v>
      </c>
      <c r="F18" s="1314"/>
      <c r="G18" s="1302" t="s">
        <v>329</v>
      </c>
      <c r="H18" s="1258" t="s">
        <v>36</v>
      </c>
      <c r="I18" s="537" t="s">
        <v>170</v>
      </c>
      <c r="J18" s="533" t="s">
        <v>33</v>
      </c>
      <c r="K18" s="1202">
        <f>260/3.4528*1000</f>
        <v>75301</v>
      </c>
      <c r="L18" s="1080" t="s">
        <v>81</v>
      </c>
      <c r="M18" s="728">
        <v>3.38</v>
      </c>
    </row>
    <row r="19" spans="1:14" x14ac:dyDescent="0.2">
      <c r="A19" s="2287"/>
      <c r="B19" s="2289"/>
      <c r="C19" s="2333"/>
      <c r="D19" s="2381" t="s">
        <v>10</v>
      </c>
      <c r="E19" s="2260" t="s">
        <v>41</v>
      </c>
      <c r="F19" s="2531" t="s">
        <v>194</v>
      </c>
      <c r="G19" s="2403" t="s">
        <v>328</v>
      </c>
      <c r="H19" s="2388" t="s">
        <v>36</v>
      </c>
      <c r="I19" s="2533" t="s">
        <v>145</v>
      </c>
      <c r="J19" s="200" t="s">
        <v>33</v>
      </c>
      <c r="K19" s="1203">
        <f>57.6/3.4528*1000</f>
        <v>16682</v>
      </c>
      <c r="L19" s="1268" t="s">
        <v>43</v>
      </c>
      <c r="M19" s="447">
        <v>2</v>
      </c>
    </row>
    <row r="20" spans="1:14" ht="12.75" customHeight="1" x14ac:dyDescent="0.2">
      <c r="A20" s="2287"/>
      <c r="B20" s="2289"/>
      <c r="C20" s="2333"/>
      <c r="D20" s="2328"/>
      <c r="E20" s="2520"/>
      <c r="F20" s="2531"/>
      <c r="G20" s="2370"/>
      <c r="H20" s="2300"/>
      <c r="I20" s="2534"/>
      <c r="J20" s="200"/>
      <c r="K20" s="1158"/>
      <c r="L20" s="345" t="s">
        <v>277</v>
      </c>
      <c r="M20" s="347">
        <v>3</v>
      </c>
    </row>
    <row r="21" spans="1:14" ht="25.5" x14ac:dyDescent="0.2">
      <c r="A21" s="1245"/>
      <c r="B21" s="1246"/>
      <c r="C21" s="1293"/>
      <c r="D21" s="2382"/>
      <c r="E21" s="2521"/>
      <c r="F21" s="2532"/>
      <c r="G21" s="2413"/>
      <c r="H21" s="1258"/>
      <c r="I21" s="2535"/>
      <c r="J21" s="14"/>
      <c r="K21" s="1204"/>
      <c r="L21" s="1243" t="s">
        <v>278</v>
      </c>
      <c r="M21" s="1263">
        <v>1</v>
      </c>
    </row>
    <row r="22" spans="1:14" ht="30" customHeight="1" x14ac:dyDescent="0.2">
      <c r="A22" s="2287"/>
      <c r="B22" s="2289"/>
      <c r="C22" s="2333"/>
      <c r="D22" s="2401" t="s">
        <v>35</v>
      </c>
      <c r="E22" s="2277" t="s">
        <v>42</v>
      </c>
      <c r="F22" s="2402"/>
      <c r="G22" s="2403" t="s">
        <v>327</v>
      </c>
      <c r="H22" s="2389" t="s">
        <v>36</v>
      </c>
      <c r="I22" s="2406" t="s">
        <v>145</v>
      </c>
      <c r="J22" s="10" t="s">
        <v>33</v>
      </c>
      <c r="K22" s="1203">
        <f>314.501/3.4528*1000</f>
        <v>91086</v>
      </c>
      <c r="L22" s="2377" t="s">
        <v>279</v>
      </c>
      <c r="M22" s="447">
        <v>25</v>
      </c>
    </row>
    <row r="23" spans="1:14" ht="27" customHeight="1" x14ac:dyDescent="0.2">
      <c r="A23" s="2287"/>
      <c r="B23" s="2289"/>
      <c r="C23" s="2333"/>
      <c r="D23" s="2401"/>
      <c r="E23" s="2280"/>
      <c r="F23" s="2402"/>
      <c r="G23" s="2370"/>
      <c r="H23" s="2405"/>
      <c r="I23" s="2407"/>
      <c r="J23" s="200"/>
      <c r="K23" s="1160"/>
      <c r="L23" s="2408"/>
      <c r="M23" s="1263"/>
      <c r="N23" s="1200"/>
    </row>
    <row r="24" spans="1:14" ht="16.5" customHeight="1" x14ac:dyDescent="0.2">
      <c r="A24" s="2287"/>
      <c r="B24" s="2289"/>
      <c r="C24" s="2333"/>
      <c r="D24" s="2401"/>
      <c r="E24" s="2280"/>
      <c r="F24" s="2402"/>
      <c r="G24" s="2370"/>
      <c r="H24" s="2405"/>
      <c r="I24" s="2407"/>
      <c r="J24" s="200"/>
      <c r="K24" s="1160"/>
      <c r="L24" s="410" t="s">
        <v>280</v>
      </c>
      <c r="M24" s="604">
        <v>111</v>
      </c>
    </row>
    <row r="25" spans="1:14" ht="16.5" customHeight="1" x14ac:dyDescent="0.2">
      <c r="A25" s="2287"/>
      <c r="B25" s="2289"/>
      <c r="C25" s="2333"/>
      <c r="D25" s="2401"/>
      <c r="E25" s="2280"/>
      <c r="F25" s="2402"/>
      <c r="G25" s="2370"/>
      <c r="H25" s="2405"/>
      <c r="I25" s="1108"/>
      <c r="J25" s="200"/>
      <c r="K25" s="1160"/>
      <c r="L25" s="361" t="s">
        <v>377</v>
      </c>
      <c r="M25" s="347">
        <v>1</v>
      </c>
    </row>
    <row r="26" spans="1:14" ht="14.25" customHeight="1" x14ac:dyDescent="0.2">
      <c r="A26" s="2287"/>
      <c r="B26" s="2289"/>
      <c r="C26" s="2333"/>
      <c r="D26" s="2401"/>
      <c r="E26" s="2280"/>
      <c r="F26" s="2402"/>
      <c r="G26" s="2370"/>
      <c r="H26" s="2405"/>
      <c r="I26" s="1108"/>
      <c r="J26" s="200"/>
      <c r="K26" s="1160"/>
      <c r="L26" s="361" t="s">
        <v>207</v>
      </c>
      <c r="M26" s="462" t="s">
        <v>208</v>
      </c>
    </row>
    <row r="27" spans="1:14" x14ac:dyDescent="0.2">
      <c r="A27" s="2287"/>
      <c r="B27" s="2289"/>
      <c r="C27" s="2333"/>
      <c r="D27" s="2401"/>
      <c r="E27" s="2280"/>
      <c r="F27" s="2402"/>
      <c r="G27" s="2370"/>
      <c r="H27" s="2405"/>
      <c r="I27" s="1108"/>
      <c r="J27" s="200"/>
      <c r="K27" s="1160"/>
      <c r="L27" s="361" t="s">
        <v>202</v>
      </c>
      <c r="M27" s="462" t="s">
        <v>198</v>
      </c>
    </row>
    <row r="28" spans="1:14" ht="16.5" customHeight="1" x14ac:dyDescent="0.2">
      <c r="A28" s="2287"/>
      <c r="B28" s="2289"/>
      <c r="C28" s="2333"/>
      <c r="D28" s="2401"/>
      <c r="E28" s="2280"/>
      <c r="F28" s="2402"/>
      <c r="G28" s="2370"/>
      <c r="H28" s="2405"/>
      <c r="I28" s="1108"/>
      <c r="J28" s="200"/>
      <c r="K28" s="1160"/>
      <c r="L28" s="361" t="s">
        <v>201</v>
      </c>
      <c r="M28" s="462" t="s">
        <v>200</v>
      </c>
    </row>
    <row r="29" spans="1:14" ht="12.75" customHeight="1" x14ac:dyDescent="0.2">
      <c r="A29" s="2287"/>
      <c r="B29" s="2289"/>
      <c r="C29" s="2333"/>
      <c r="D29" s="2381"/>
      <c r="E29" s="2280"/>
      <c r="F29" s="2402"/>
      <c r="G29" s="2404"/>
      <c r="H29" s="2388"/>
      <c r="I29" s="1305"/>
      <c r="J29" s="14"/>
      <c r="K29" s="1159"/>
      <c r="L29" s="1081" t="s">
        <v>282</v>
      </c>
      <c r="M29" s="593">
        <v>100</v>
      </c>
    </row>
    <row r="30" spans="1:14" ht="27.75" customHeight="1" x14ac:dyDescent="0.2">
      <c r="A30" s="1245"/>
      <c r="B30" s="1246"/>
      <c r="C30" s="420"/>
      <c r="D30" s="1300" t="s">
        <v>44</v>
      </c>
      <c r="E30" s="2409" t="s">
        <v>167</v>
      </c>
      <c r="F30" s="2410" t="s">
        <v>75</v>
      </c>
      <c r="G30" s="2403" t="s">
        <v>326</v>
      </c>
      <c r="H30" s="1262" t="s">
        <v>36</v>
      </c>
      <c r="I30" s="2406" t="s">
        <v>145</v>
      </c>
      <c r="J30" s="470" t="s">
        <v>33</v>
      </c>
      <c r="K30" s="1161">
        <f>936.2/3.4528*1000</f>
        <v>271142</v>
      </c>
      <c r="L30" s="465"/>
      <c r="M30" s="594"/>
    </row>
    <row r="31" spans="1:14" ht="30" customHeight="1" x14ac:dyDescent="0.2">
      <c r="A31" s="1245"/>
      <c r="B31" s="1246"/>
      <c r="C31" s="420"/>
      <c r="D31" s="1278"/>
      <c r="E31" s="2409"/>
      <c r="F31" s="2410"/>
      <c r="G31" s="2412"/>
      <c r="H31" s="1256"/>
      <c r="I31" s="2414"/>
      <c r="J31" s="208"/>
      <c r="K31" s="1158"/>
      <c r="L31" s="463" t="s">
        <v>169</v>
      </c>
      <c r="M31" s="1065">
        <v>100</v>
      </c>
    </row>
    <row r="32" spans="1:14" ht="41.25" customHeight="1" x14ac:dyDescent="0.2">
      <c r="A32" s="1245"/>
      <c r="B32" s="1246"/>
      <c r="C32" s="420"/>
      <c r="D32" s="1278"/>
      <c r="E32" s="2409"/>
      <c r="F32" s="2411"/>
      <c r="G32" s="2412"/>
      <c r="H32" s="1256"/>
      <c r="I32" s="2407"/>
      <c r="J32" s="208"/>
      <c r="K32" s="1158"/>
      <c r="L32" s="408" t="s">
        <v>283</v>
      </c>
      <c r="M32" s="1066">
        <v>100</v>
      </c>
    </row>
    <row r="33" spans="1:16" ht="28.5" customHeight="1" x14ac:dyDescent="0.2">
      <c r="A33" s="1245"/>
      <c r="B33" s="1246"/>
      <c r="C33" s="420"/>
      <c r="D33" s="1278"/>
      <c r="E33" s="2409"/>
      <c r="F33" s="2415" t="s">
        <v>195</v>
      </c>
      <c r="G33" s="2412"/>
      <c r="H33" s="1256"/>
      <c r="I33" s="2407"/>
      <c r="J33" s="208"/>
      <c r="K33" s="1158"/>
      <c r="L33" s="410" t="s">
        <v>284</v>
      </c>
      <c r="M33" s="1067">
        <v>100</v>
      </c>
    </row>
    <row r="34" spans="1:16" ht="31.5" customHeight="1" x14ac:dyDescent="0.2">
      <c r="A34" s="1245"/>
      <c r="B34" s="1246"/>
      <c r="C34" s="420"/>
      <c r="D34" s="1278"/>
      <c r="E34" s="2409"/>
      <c r="F34" s="2415"/>
      <c r="G34" s="2412"/>
      <c r="H34" s="1256"/>
      <c r="I34" s="1110"/>
      <c r="J34" s="495"/>
      <c r="K34" s="1162"/>
      <c r="L34" s="361" t="s">
        <v>285</v>
      </c>
      <c r="M34" s="1068"/>
    </row>
    <row r="35" spans="1:16" ht="29.25" customHeight="1" x14ac:dyDescent="0.2">
      <c r="A35" s="1245"/>
      <c r="B35" s="1246"/>
      <c r="C35" s="420"/>
      <c r="D35" s="1301"/>
      <c r="E35" s="2409"/>
      <c r="F35" s="2416"/>
      <c r="G35" s="2413"/>
      <c r="H35" s="1109"/>
      <c r="I35" s="466"/>
      <c r="J35" s="468" t="s">
        <v>129</v>
      </c>
      <c r="K35" s="1163">
        <f>205.1/3.4528*1000</f>
        <v>59401</v>
      </c>
      <c r="L35" s="779" t="s">
        <v>378</v>
      </c>
      <c r="M35" s="1090">
        <v>100</v>
      </c>
    </row>
    <row r="36" spans="1:16" ht="42" customHeight="1" x14ac:dyDescent="0.2">
      <c r="A36" s="1245"/>
      <c r="B36" s="1246"/>
      <c r="C36" s="1293"/>
      <c r="D36" s="1317" t="s">
        <v>45</v>
      </c>
      <c r="E36" s="1318" t="s">
        <v>133</v>
      </c>
      <c r="F36" s="2517" t="s">
        <v>125</v>
      </c>
      <c r="G36" s="1146" t="s">
        <v>330</v>
      </c>
      <c r="H36" s="1306" t="s">
        <v>36</v>
      </c>
      <c r="I36" s="1316" t="s">
        <v>157</v>
      </c>
      <c r="J36" s="469" t="s">
        <v>78</v>
      </c>
      <c r="K36" s="1164"/>
      <c r="L36" s="412" t="s">
        <v>287</v>
      </c>
      <c r="M36" s="1069"/>
      <c r="N36" s="308"/>
    </row>
    <row r="37" spans="1:16" ht="43.5" x14ac:dyDescent="0.2">
      <c r="A37" s="1245"/>
      <c r="B37" s="1246"/>
      <c r="C37" s="1293"/>
      <c r="D37" s="1317" t="s">
        <v>37</v>
      </c>
      <c r="E37" s="1261" t="s">
        <v>230</v>
      </c>
      <c r="F37" s="2518"/>
      <c r="G37" s="1146" t="s">
        <v>331</v>
      </c>
      <c r="H37" s="1306" t="s">
        <v>36</v>
      </c>
      <c r="I37" s="1316" t="s">
        <v>157</v>
      </c>
      <c r="J37" s="469" t="s">
        <v>33</v>
      </c>
      <c r="K37" s="1165">
        <f>118.2/3.4528*1000</f>
        <v>34233</v>
      </c>
      <c r="L37" s="560" t="s">
        <v>288</v>
      </c>
      <c r="M37" s="1070">
        <v>1280</v>
      </c>
      <c r="N37" s="308"/>
    </row>
    <row r="38" spans="1:16" ht="27.75" customHeight="1" x14ac:dyDescent="0.2">
      <c r="A38" s="1245"/>
      <c r="B38" s="1246"/>
      <c r="C38" s="1293"/>
      <c r="D38" s="1317" t="s">
        <v>46</v>
      </c>
      <c r="E38" s="1261" t="s">
        <v>214</v>
      </c>
      <c r="F38" s="1094" t="s">
        <v>232</v>
      </c>
      <c r="G38" s="1146" t="s">
        <v>332</v>
      </c>
      <c r="H38" s="1306" t="s">
        <v>36</v>
      </c>
      <c r="I38" s="1316" t="s">
        <v>157</v>
      </c>
      <c r="J38" s="469" t="s">
        <v>33</v>
      </c>
      <c r="K38" s="1166">
        <f>20/3.4528*1000</f>
        <v>5792</v>
      </c>
      <c r="L38" s="560" t="s">
        <v>215</v>
      </c>
      <c r="M38" s="1091">
        <v>1</v>
      </c>
      <c r="N38" s="308"/>
      <c r="P38" s="74"/>
    </row>
    <row r="39" spans="1:16" ht="15" customHeight="1" thickBot="1" x14ac:dyDescent="0.25">
      <c r="A39" s="1264"/>
      <c r="B39" s="1277"/>
      <c r="C39" s="1092"/>
      <c r="D39" s="1093"/>
      <c r="E39" s="313"/>
      <c r="F39" s="314"/>
      <c r="G39" s="315"/>
      <c r="H39" s="316"/>
      <c r="I39" s="2346" t="s">
        <v>146</v>
      </c>
      <c r="J39" s="2519"/>
      <c r="K39" s="1167">
        <f>SUM(K18:K38)</f>
        <v>553637</v>
      </c>
      <c r="L39" s="841"/>
      <c r="M39" s="1072"/>
    </row>
    <row r="40" spans="1:16" ht="23.25" customHeight="1" x14ac:dyDescent="0.2">
      <c r="A40" s="1244" t="s">
        <v>8</v>
      </c>
      <c r="B40" s="1253" t="s">
        <v>8</v>
      </c>
      <c r="C40" s="1292" t="s">
        <v>10</v>
      </c>
      <c r="D40" s="1062"/>
      <c r="E40" s="1331" t="s">
        <v>92</v>
      </c>
      <c r="F40" s="1248"/>
      <c r="G40" s="1299"/>
      <c r="H40" s="1250"/>
      <c r="I40" s="76"/>
      <c r="J40" s="13"/>
      <c r="K40" s="1332"/>
      <c r="L40" s="241"/>
      <c r="M40" s="33"/>
      <c r="P40" s="74"/>
    </row>
    <row r="41" spans="1:16" ht="15.75" customHeight="1" x14ac:dyDescent="0.2">
      <c r="A41" s="2287"/>
      <c r="B41" s="2361"/>
      <c r="C41" s="2333"/>
      <c r="D41" s="2328" t="s">
        <v>8</v>
      </c>
      <c r="E41" s="2520" t="s">
        <v>134</v>
      </c>
      <c r="F41" s="2506"/>
      <c r="G41" s="2397" t="s">
        <v>333</v>
      </c>
      <c r="H41" s="2388" t="s">
        <v>36</v>
      </c>
      <c r="I41" s="2399" t="s">
        <v>147</v>
      </c>
      <c r="J41" s="10" t="s">
        <v>33</v>
      </c>
      <c r="K41" s="1168">
        <f>6783.8/3.4528*1000</f>
        <v>1964724</v>
      </c>
      <c r="L41" s="54" t="s">
        <v>115</v>
      </c>
      <c r="M41" s="1267">
        <v>3.8</v>
      </c>
    </row>
    <row r="42" spans="1:16" ht="17.25" customHeight="1" x14ac:dyDescent="0.2">
      <c r="A42" s="2287"/>
      <c r="B42" s="2361"/>
      <c r="C42" s="2333"/>
      <c r="D42" s="2328"/>
      <c r="E42" s="2520"/>
      <c r="F42" s="2367"/>
      <c r="G42" s="2524"/>
      <c r="H42" s="2300"/>
      <c r="I42" s="2525"/>
      <c r="J42" s="332" t="s">
        <v>106</v>
      </c>
      <c r="K42" s="1169"/>
      <c r="L42" s="438" t="s">
        <v>148</v>
      </c>
      <c r="M42" s="1055">
        <v>3.4</v>
      </c>
    </row>
    <row r="43" spans="1:16" ht="27.75" customHeight="1" x14ac:dyDescent="0.2">
      <c r="A43" s="2287"/>
      <c r="B43" s="2361"/>
      <c r="C43" s="2333"/>
      <c r="D43" s="2328"/>
      <c r="E43" s="2521"/>
      <c r="F43" s="2367"/>
      <c r="G43" s="2524"/>
      <c r="H43" s="2300"/>
      <c r="I43" s="2525"/>
      <c r="J43" s="100"/>
      <c r="K43" s="1170"/>
      <c r="L43" s="1269" t="s">
        <v>82</v>
      </c>
      <c r="M43" s="1106">
        <v>24</v>
      </c>
    </row>
    <row r="44" spans="1:16" ht="15" customHeight="1" x14ac:dyDescent="0.2">
      <c r="A44" s="2287"/>
      <c r="B44" s="2361"/>
      <c r="C44" s="2333"/>
      <c r="D44" s="2381" t="s">
        <v>10</v>
      </c>
      <c r="E44" s="2383" t="s">
        <v>47</v>
      </c>
      <c r="F44" s="1113"/>
      <c r="G44" s="2397" t="s">
        <v>334</v>
      </c>
      <c r="H44" s="1262" t="s">
        <v>36</v>
      </c>
      <c r="I44" s="2399" t="s">
        <v>147</v>
      </c>
      <c r="J44" s="337" t="s">
        <v>33</v>
      </c>
      <c r="K44" s="1171">
        <f>205/3.4528*1000</f>
        <v>59372</v>
      </c>
      <c r="L44" s="1268" t="s">
        <v>49</v>
      </c>
      <c r="M44" s="447">
        <v>36</v>
      </c>
    </row>
    <row r="45" spans="1:16" ht="14.25" customHeight="1" thickBot="1" x14ac:dyDescent="0.25">
      <c r="A45" s="2288"/>
      <c r="B45" s="2351"/>
      <c r="C45" s="2396"/>
      <c r="D45" s="2318"/>
      <c r="E45" s="1968"/>
      <c r="F45" s="1333"/>
      <c r="G45" s="2398"/>
      <c r="H45" s="413"/>
      <c r="I45" s="2400"/>
      <c r="J45" s="1334" t="s">
        <v>51</v>
      </c>
      <c r="K45" s="1335">
        <v>869</v>
      </c>
      <c r="L45" s="1276" t="s">
        <v>135</v>
      </c>
      <c r="M45" s="407">
        <v>895</v>
      </c>
    </row>
    <row r="46" spans="1:16" ht="27" customHeight="1" x14ac:dyDescent="0.2">
      <c r="A46" s="1245"/>
      <c r="B46" s="1252"/>
      <c r="C46" s="1293"/>
      <c r="D46" s="2328" t="s">
        <v>35</v>
      </c>
      <c r="E46" s="2293" t="s">
        <v>274</v>
      </c>
      <c r="F46" s="1114"/>
      <c r="G46" s="2370" t="s">
        <v>335</v>
      </c>
      <c r="H46" s="1256" t="s">
        <v>36</v>
      </c>
      <c r="I46" s="2338" t="s">
        <v>147</v>
      </c>
      <c r="J46" s="565" t="s">
        <v>33</v>
      </c>
      <c r="K46" s="1173">
        <f>165.1009/3.4528*1000</f>
        <v>47817</v>
      </c>
      <c r="L46" s="438" t="s">
        <v>316</v>
      </c>
      <c r="M46" s="603" t="s">
        <v>234</v>
      </c>
    </row>
    <row r="47" spans="1:16" ht="26.25" customHeight="1" x14ac:dyDescent="0.2">
      <c r="A47" s="1245"/>
      <c r="B47" s="1252"/>
      <c r="C47" s="1293"/>
      <c r="D47" s="2328"/>
      <c r="E47" s="2293"/>
      <c r="F47" s="1114"/>
      <c r="G47" s="2548"/>
      <c r="H47" s="1256"/>
      <c r="I47" s="2338"/>
      <c r="J47" s="200"/>
      <c r="K47" s="1172"/>
      <c r="L47" s="361" t="s">
        <v>317</v>
      </c>
      <c r="M47" s="583" t="s">
        <v>236</v>
      </c>
    </row>
    <row r="48" spans="1:16" ht="25.5" x14ac:dyDescent="0.2">
      <c r="A48" s="1245"/>
      <c r="B48" s="1252"/>
      <c r="C48" s="1293"/>
      <c r="D48" s="2328"/>
      <c r="E48" s="2293"/>
      <c r="F48" s="1114"/>
      <c r="G48" s="2548"/>
      <c r="H48" s="1256"/>
      <c r="I48" s="2338"/>
      <c r="J48" s="565"/>
      <c r="K48" s="1173"/>
      <c r="L48" s="361" t="s">
        <v>318</v>
      </c>
      <c r="M48" s="585" t="s">
        <v>235</v>
      </c>
    </row>
    <row r="49" spans="1:15" ht="30.75" customHeight="1" x14ac:dyDescent="0.2">
      <c r="A49" s="1245"/>
      <c r="B49" s="1252"/>
      <c r="C49" s="1293"/>
      <c r="D49" s="2382"/>
      <c r="E49" s="2510"/>
      <c r="F49" s="1257"/>
      <c r="G49" s="2549"/>
      <c r="H49" s="1258"/>
      <c r="I49" s="2340"/>
      <c r="J49" s="100" t="s">
        <v>33</v>
      </c>
      <c r="K49" s="1170">
        <f>15/3.4528*1000</f>
        <v>4344</v>
      </c>
      <c r="L49" s="1269" t="s">
        <v>84</v>
      </c>
      <c r="M49" s="1071">
        <v>1</v>
      </c>
      <c r="N49" s="1200"/>
    </row>
    <row r="50" spans="1:15" ht="32.25" customHeight="1" thickBot="1" x14ac:dyDescent="0.25">
      <c r="A50" s="301"/>
      <c r="B50" s="1265"/>
      <c r="C50" s="311"/>
      <c r="D50" s="312"/>
      <c r="E50" s="313"/>
      <c r="F50" s="314"/>
      <c r="G50" s="315"/>
      <c r="H50" s="316"/>
      <c r="I50" s="2346" t="s">
        <v>146</v>
      </c>
      <c r="J50" s="2347"/>
      <c r="K50" s="1174">
        <f t="shared" ref="K50" si="0">SUM(K41:K49)</f>
        <v>2077126</v>
      </c>
      <c r="L50" s="841"/>
      <c r="M50" s="1072"/>
    </row>
    <row r="51" spans="1:15" ht="21" customHeight="1" x14ac:dyDescent="0.2">
      <c r="A51" s="1244" t="s">
        <v>8</v>
      </c>
      <c r="B51" s="1253" t="s">
        <v>8</v>
      </c>
      <c r="C51" s="1292" t="s">
        <v>35</v>
      </c>
      <c r="D51" s="1319"/>
      <c r="E51" s="1320" t="s">
        <v>93</v>
      </c>
      <c r="F51" s="1059" t="s">
        <v>312</v>
      </c>
      <c r="G51" s="1321"/>
      <c r="H51" s="1250"/>
      <c r="I51" s="298"/>
      <c r="J51" s="13"/>
      <c r="K51" s="1175"/>
      <c r="L51" s="1329"/>
      <c r="M51" s="33"/>
    </row>
    <row r="52" spans="1:15" ht="17.25" customHeight="1" x14ac:dyDescent="0.2">
      <c r="A52" s="1245"/>
      <c r="B52" s="1246"/>
      <c r="C52" s="420"/>
      <c r="D52" s="1307" t="s">
        <v>8</v>
      </c>
      <c r="E52" s="1283" t="s">
        <v>174</v>
      </c>
      <c r="F52" s="1060" t="s">
        <v>313</v>
      </c>
      <c r="G52" s="1297" t="s">
        <v>339</v>
      </c>
      <c r="H52" s="1262" t="s">
        <v>36</v>
      </c>
      <c r="I52" s="1296" t="s">
        <v>157</v>
      </c>
      <c r="J52" s="186" t="s">
        <v>33</v>
      </c>
      <c r="K52" s="1170">
        <f>24/3.4528*1000</f>
        <v>6951</v>
      </c>
      <c r="L52" s="412" t="s">
        <v>256</v>
      </c>
      <c r="M52" s="1073">
        <v>2</v>
      </c>
    </row>
    <row r="53" spans="1:15" ht="23.25" customHeight="1" x14ac:dyDescent="0.2">
      <c r="A53" s="2287"/>
      <c r="B53" s="2361"/>
      <c r="C53" s="2333"/>
      <c r="D53" s="2381" t="s">
        <v>10</v>
      </c>
      <c r="E53" s="2503" t="s">
        <v>50</v>
      </c>
      <c r="F53" s="2506"/>
      <c r="G53" s="2335" t="s">
        <v>337</v>
      </c>
      <c r="H53" s="2388" t="s">
        <v>36</v>
      </c>
      <c r="I53" s="2508" t="s">
        <v>379</v>
      </c>
      <c r="J53" s="337" t="s">
        <v>33</v>
      </c>
      <c r="K53" s="1221">
        <v>8979</v>
      </c>
      <c r="L53" s="863" t="s">
        <v>257</v>
      </c>
      <c r="M53" s="865">
        <v>2</v>
      </c>
    </row>
    <row r="54" spans="1:15" ht="14.25" customHeight="1" x14ac:dyDescent="0.2">
      <c r="A54" s="2287"/>
      <c r="B54" s="2361"/>
      <c r="C54" s="2333"/>
      <c r="D54" s="2328"/>
      <c r="E54" s="2504"/>
      <c r="F54" s="2367"/>
      <c r="G54" s="2298"/>
      <c r="H54" s="2300"/>
      <c r="I54" s="2509"/>
      <c r="J54" s="1242" t="s">
        <v>373</v>
      </c>
      <c r="K54" s="1169">
        <v>289</v>
      </c>
      <c r="L54" s="410"/>
      <c r="M54" s="604"/>
    </row>
    <row r="55" spans="1:15" ht="17.25" customHeight="1" x14ac:dyDescent="0.2">
      <c r="A55" s="2287"/>
      <c r="B55" s="2361"/>
      <c r="C55" s="2333"/>
      <c r="D55" s="2382"/>
      <c r="E55" s="2505"/>
      <c r="F55" s="2507"/>
      <c r="G55" s="2492"/>
      <c r="H55" s="2389"/>
      <c r="I55" s="2509"/>
      <c r="J55" s="100" t="s">
        <v>51</v>
      </c>
      <c r="K55" s="1136">
        <f>9/3.4528*1000</f>
        <v>2607</v>
      </c>
      <c r="L55" s="868" t="s">
        <v>258</v>
      </c>
      <c r="M55" s="798">
        <v>5</v>
      </c>
    </row>
    <row r="56" spans="1:15" ht="18" customHeight="1" x14ac:dyDescent="0.2">
      <c r="A56" s="1245"/>
      <c r="B56" s="1252"/>
      <c r="C56" s="1293"/>
      <c r="D56" s="1237" t="s">
        <v>35</v>
      </c>
      <c r="E56" s="2503" t="s">
        <v>113</v>
      </c>
      <c r="F56" s="1249"/>
      <c r="G56" s="2343" t="s">
        <v>338</v>
      </c>
      <c r="H56" s="1251" t="s">
        <v>36</v>
      </c>
      <c r="I56" s="2339"/>
      <c r="J56" s="337" t="s">
        <v>51</v>
      </c>
      <c r="K56" s="1205">
        <v>24328</v>
      </c>
      <c r="L56" s="1268" t="s">
        <v>136</v>
      </c>
      <c r="M56" s="447">
        <v>2</v>
      </c>
      <c r="N56" s="1200"/>
    </row>
    <row r="57" spans="1:15" ht="18" customHeight="1" x14ac:dyDescent="0.2">
      <c r="A57" s="1245"/>
      <c r="B57" s="1252"/>
      <c r="C57" s="420"/>
      <c r="D57" s="1266"/>
      <c r="E57" s="2510"/>
      <c r="F57" s="1249"/>
      <c r="G57" s="2511"/>
      <c r="H57" s="1251"/>
      <c r="I57" s="1295"/>
      <c r="J57" s="14" t="s">
        <v>373</v>
      </c>
      <c r="K57" s="1172">
        <v>195</v>
      </c>
      <c r="L57" s="1243"/>
      <c r="M57" s="1263"/>
      <c r="N57" s="1200"/>
    </row>
    <row r="58" spans="1:15" ht="16.5" customHeight="1" x14ac:dyDescent="0.2">
      <c r="A58" s="1245"/>
      <c r="B58" s="1252"/>
      <c r="C58" s="420"/>
      <c r="D58" s="1111" t="s">
        <v>44</v>
      </c>
      <c r="E58" s="2523" t="s">
        <v>267</v>
      </c>
      <c r="F58" s="1113"/>
      <c r="G58" s="1291"/>
      <c r="H58" s="1115" t="s">
        <v>36</v>
      </c>
      <c r="I58" s="2512" t="s">
        <v>379</v>
      </c>
      <c r="J58" s="10" t="s">
        <v>33</v>
      </c>
      <c r="K58" s="1222">
        <f>1405.1/3.4528*1000</f>
        <v>406945</v>
      </c>
      <c r="L58" s="1117" t="s">
        <v>53</v>
      </c>
      <c r="M58" s="1118">
        <v>19.5</v>
      </c>
      <c r="N58" s="1200"/>
    </row>
    <row r="59" spans="1:15" ht="29.25" customHeight="1" x14ac:dyDescent="0.2">
      <c r="A59" s="1245"/>
      <c r="B59" s="1252"/>
      <c r="C59" s="420"/>
      <c r="D59" s="1247"/>
      <c r="E59" s="2523"/>
      <c r="F59" s="1114"/>
      <c r="G59" s="1145"/>
      <c r="H59" s="1256"/>
      <c r="I59" s="2493"/>
      <c r="J59" s="332" t="s">
        <v>51</v>
      </c>
      <c r="K59" s="1241">
        <v>6719</v>
      </c>
      <c r="L59" s="481" t="s">
        <v>52</v>
      </c>
      <c r="M59" s="476">
        <v>108.8</v>
      </c>
      <c r="N59" s="1200"/>
    </row>
    <row r="60" spans="1:15" ht="19.5" customHeight="1" x14ac:dyDescent="0.2">
      <c r="A60" s="1245"/>
      <c r="B60" s="1252"/>
      <c r="C60" s="420"/>
      <c r="D60" s="1112"/>
      <c r="E60" s="2523"/>
      <c r="F60" s="1114"/>
      <c r="G60" s="2513" t="s">
        <v>336</v>
      </c>
      <c r="H60" s="1256"/>
      <c r="I60" s="2493"/>
      <c r="J60" s="100" t="s">
        <v>373</v>
      </c>
      <c r="K60" s="1238">
        <v>1680</v>
      </c>
      <c r="L60" s="1239"/>
      <c r="M60" s="1240"/>
      <c r="N60" s="1200"/>
      <c r="O60" s="74"/>
    </row>
    <row r="61" spans="1:15" ht="31.5" customHeight="1" x14ac:dyDescent="0.2">
      <c r="A61" s="1245"/>
      <c r="B61" s="1252"/>
      <c r="C61" s="420"/>
      <c r="D61" s="1112"/>
      <c r="E61" s="1304" t="s">
        <v>119</v>
      </c>
      <c r="F61" s="1114"/>
      <c r="G61" s="2514"/>
      <c r="H61" s="1256"/>
      <c r="I61" s="2493"/>
      <c r="J61" s="565" t="s">
        <v>33</v>
      </c>
      <c r="K61" s="29">
        <f>10/3.4528*1000</f>
        <v>2896</v>
      </c>
      <c r="L61" s="418" t="s">
        <v>291</v>
      </c>
      <c r="M61" s="474">
        <v>1</v>
      </c>
      <c r="N61" s="1200"/>
      <c r="O61" s="1200"/>
    </row>
    <row r="62" spans="1:15" ht="18" customHeight="1" x14ac:dyDescent="0.2">
      <c r="A62" s="1245"/>
      <c r="B62" s="1246"/>
      <c r="C62" s="420"/>
      <c r="D62" s="1112"/>
      <c r="E62" s="1304" t="s">
        <v>116</v>
      </c>
      <c r="F62" s="1114"/>
      <c r="G62" s="2514"/>
      <c r="H62" s="1256"/>
      <c r="I62" s="2493"/>
      <c r="J62" s="425" t="s">
        <v>33</v>
      </c>
      <c r="K62" s="1176">
        <f>217.8/3.4528*1000</f>
        <v>63079</v>
      </c>
      <c r="L62" s="345" t="s">
        <v>260</v>
      </c>
      <c r="M62" s="347">
        <v>1</v>
      </c>
      <c r="N62" s="1200"/>
    </row>
    <row r="63" spans="1:15" ht="16.5" customHeight="1" x14ac:dyDescent="0.2">
      <c r="A63" s="300"/>
      <c r="B63" s="1252"/>
      <c r="C63" s="420"/>
      <c r="D63" s="1112"/>
      <c r="E63" s="443" t="s">
        <v>118</v>
      </c>
      <c r="F63" s="1114"/>
      <c r="G63" s="2514"/>
      <c r="H63" s="1256"/>
      <c r="I63" s="1116"/>
      <c r="J63" s="332" t="s">
        <v>33</v>
      </c>
      <c r="K63" s="1169">
        <f>250/3.4528*1000</f>
        <v>72405</v>
      </c>
      <c r="L63" s="410" t="s">
        <v>181</v>
      </c>
      <c r="M63" s="604">
        <v>60</v>
      </c>
      <c r="N63" s="1200"/>
      <c r="O63" s="1200"/>
    </row>
    <row r="64" spans="1:15" ht="17.25" customHeight="1" x14ac:dyDescent="0.2">
      <c r="A64" s="1245"/>
      <c r="B64" s="1246"/>
      <c r="C64" s="1293"/>
      <c r="D64" s="1247"/>
      <c r="E64" s="2515" t="s">
        <v>177</v>
      </c>
      <c r="F64" s="1114"/>
      <c r="G64" s="2514"/>
      <c r="H64" s="1256"/>
      <c r="I64" s="1298"/>
      <c r="J64" s="14" t="s">
        <v>33</v>
      </c>
      <c r="K64" s="29">
        <f>92.5/3.4528*1000</f>
        <v>26790</v>
      </c>
      <c r="L64" s="361" t="s">
        <v>258</v>
      </c>
      <c r="M64" s="1263">
        <v>5</v>
      </c>
    </row>
    <row r="65" spans="1:17" ht="18" customHeight="1" x14ac:dyDescent="0.2">
      <c r="A65" s="1245"/>
      <c r="B65" s="1246"/>
      <c r="C65" s="1293"/>
      <c r="D65" s="1247"/>
      <c r="E65" s="2516"/>
      <c r="F65" s="1114"/>
      <c r="G65" s="2514"/>
      <c r="H65" s="1256"/>
      <c r="I65" s="1298"/>
      <c r="J65" s="14"/>
      <c r="K65" s="29"/>
      <c r="L65" s="418" t="s">
        <v>53</v>
      </c>
      <c r="M65" s="347">
        <v>1</v>
      </c>
      <c r="N65" s="74"/>
      <c r="O65" s="74"/>
    </row>
    <row r="66" spans="1:17" ht="15.75" customHeight="1" x14ac:dyDescent="0.2">
      <c r="A66" s="1245"/>
      <c r="B66" s="1246"/>
      <c r="C66" s="1293"/>
      <c r="D66" s="1247"/>
      <c r="E66" s="2516"/>
      <c r="F66" s="1114"/>
      <c r="G66" s="1142"/>
      <c r="H66" s="1256"/>
      <c r="I66" s="1298"/>
      <c r="J66" s="14"/>
      <c r="K66" s="29"/>
      <c r="L66" s="481" t="s">
        <v>52</v>
      </c>
      <c r="M66" s="424">
        <v>1.8</v>
      </c>
      <c r="N66" s="421"/>
    </row>
    <row r="67" spans="1:17" x14ac:dyDescent="0.2">
      <c r="A67" s="1245"/>
      <c r="B67" s="1246"/>
      <c r="C67" s="1293"/>
      <c r="D67" s="1247"/>
      <c r="E67" s="443" t="s">
        <v>178</v>
      </c>
      <c r="F67" s="1114"/>
      <c r="G67" s="1142"/>
      <c r="H67" s="1256"/>
      <c r="I67" s="1298"/>
      <c r="J67" s="332" t="s">
        <v>33</v>
      </c>
      <c r="K67" s="1176">
        <f>6/3.4528*1000</f>
        <v>1738</v>
      </c>
      <c r="L67" s="361" t="s">
        <v>294</v>
      </c>
      <c r="M67" s="347">
        <v>2</v>
      </c>
    </row>
    <row r="68" spans="1:17" ht="26.25" customHeight="1" x14ac:dyDescent="0.2">
      <c r="A68" s="1245"/>
      <c r="B68" s="1246"/>
      <c r="C68" s="1293"/>
      <c r="D68" s="1301"/>
      <c r="E68" s="1303" t="s">
        <v>180</v>
      </c>
      <c r="F68" s="1257"/>
      <c r="G68" s="1140"/>
      <c r="H68" s="1258"/>
      <c r="I68" s="459"/>
      <c r="J68" s="100" t="s">
        <v>33</v>
      </c>
      <c r="K68" s="1177">
        <f>24/3.4528*1000</f>
        <v>6951</v>
      </c>
      <c r="L68" s="55" t="s">
        <v>262</v>
      </c>
      <c r="M68" s="1106">
        <v>8</v>
      </c>
    </row>
    <row r="69" spans="1:17" ht="12.75" customHeight="1" thickBot="1" x14ac:dyDescent="0.25">
      <c r="A69" s="301"/>
      <c r="B69" s="1265"/>
      <c r="C69" s="311"/>
      <c r="D69" s="312"/>
      <c r="E69" s="313"/>
      <c r="F69" s="314"/>
      <c r="G69" s="315"/>
      <c r="H69" s="316"/>
      <c r="I69" s="2346" t="s">
        <v>146</v>
      </c>
      <c r="J69" s="2347"/>
      <c r="K69" s="1174">
        <f>SUM(K52:K68)</f>
        <v>632552</v>
      </c>
      <c r="L69" s="841"/>
      <c r="M69" s="1072"/>
    </row>
    <row r="70" spans="1:17" ht="16.5" customHeight="1" x14ac:dyDescent="0.2">
      <c r="A70" s="1244" t="s">
        <v>8</v>
      </c>
      <c r="B70" s="1253" t="s">
        <v>8</v>
      </c>
      <c r="C70" s="1292" t="s">
        <v>44</v>
      </c>
      <c r="D70" s="1289"/>
      <c r="E70" s="1320" t="s">
        <v>94</v>
      </c>
      <c r="F70" s="1061" t="s">
        <v>241</v>
      </c>
      <c r="G70" s="1321"/>
      <c r="H70" s="1250"/>
      <c r="I70" s="76"/>
      <c r="J70" s="13" t="s">
        <v>33</v>
      </c>
      <c r="K70" s="1178"/>
      <c r="L70" s="1275"/>
      <c r="M70" s="1322"/>
    </row>
    <row r="71" spans="1:17" ht="18" customHeight="1" x14ac:dyDescent="0.2">
      <c r="A71" s="2287"/>
      <c r="B71" s="2361"/>
      <c r="C71" s="2333"/>
      <c r="D71" s="2495" t="s">
        <v>8</v>
      </c>
      <c r="E71" s="2497" t="s">
        <v>55</v>
      </c>
      <c r="F71" s="2390"/>
      <c r="G71" s="2392" t="s">
        <v>340</v>
      </c>
      <c r="H71" s="2394" t="s">
        <v>36</v>
      </c>
      <c r="I71" s="2338" t="s">
        <v>145</v>
      </c>
      <c r="J71" s="1123" t="s">
        <v>33</v>
      </c>
      <c r="K71" s="1168">
        <f>3957.5/3.4528*1000</f>
        <v>1146171</v>
      </c>
      <c r="L71" s="2377" t="s">
        <v>83</v>
      </c>
      <c r="M71" s="2379">
        <v>8.1</v>
      </c>
    </row>
    <row r="72" spans="1:17" ht="31.5" customHeight="1" x14ac:dyDescent="0.2">
      <c r="A72" s="2287"/>
      <c r="B72" s="2361"/>
      <c r="C72" s="2333"/>
      <c r="D72" s="2496"/>
      <c r="E72" s="2498"/>
      <c r="F72" s="2391"/>
      <c r="G72" s="2393"/>
      <c r="H72" s="2395"/>
      <c r="I72" s="2338"/>
      <c r="J72" s="1122"/>
      <c r="K72" s="1179"/>
      <c r="L72" s="2378"/>
      <c r="M72" s="2380"/>
    </row>
    <row r="73" spans="1:17" ht="129.75" customHeight="1" x14ac:dyDescent="0.2">
      <c r="A73" s="2287"/>
      <c r="B73" s="2361"/>
      <c r="C73" s="2333"/>
      <c r="D73" s="2381" t="s">
        <v>10</v>
      </c>
      <c r="E73" s="2383" t="s">
        <v>54</v>
      </c>
      <c r="F73" s="2385" t="s">
        <v>131</v>
      </c>
      <c r="G73" s="2343" t="s">
        <v>341</v>
      </c>
      <c r="H73" s="2388" t="s">
        <v>36</v>
      </c>
      <c r="I73" s="2522"/>
      <c r="J73" s="1123" t="s">
        <v>33</v>
      </c>
      <c r="K73" s="1168">
        <f>2971.4/3.4528*1000</f>
        <v>860577</v>
      </c>
      <c r="L73" s="391" t="s">
        <v>137</v>
      </c>
      <c r="M73" s="431">
        <v>14.5</v>
      </c>
    </row>
    <row r="74" spans="1:17" ht="38.25" customHeight="1" x14ac:dyDescent="0.2">
      <c r="A74" s="2287"/>
      <c r="B74" s="2361"/>
      <c r="C74" s="2333"/>
      <c r="D74" s="2382"/>
      <c r="E74" s="2384"/>
      <c r="F74" s="2386"/>
      <c r="G74" s="2387"/>
      <c r="H74" s="2389"/>
      <c r="I74" s="2522"/>
      <c r="J74" s="100"/>
      <c r="K74" s="1180"/>
      <c r="L74" s="55" t="s">
        <v>138</v>
      </c>
      <c r="M74" s="1106">
        <v>150</v>
      </c>
    </row>
    <row r="75" spans="1:17" ht="29.25" customHeight="1" x14ac:dyDescent="0.2">
      <c r="A75" s="1245"/>
      <c r="B75" s="432"/>
      <c r="C75" s="1293"/>
      <c r="D75" s="1307" t="s">
        <v>35</v>
      </c>
      <c r="E75" s="506" t="s">
        <v>323</v>
      </c>
      <c r="F75" s="1223"/>
      <c r="G75" s="1146" t="s">
        <v>342</v>
      </c>
      <c r="H75" s="1306" t="s">
        <v>36</v>
      </c>
      <c r="I75" s="1310"/>
      <c r="J75" s="100" t="s">
        <v>324</v>
      </c>
      <c r="K75" s="1136">
        <v>172255</v>
      </c>
      <c r="L75" s="87" t="s">
        <v>369</v>
      </c>
      <c r="M75" s="62">
        <v>100</v>
      </c>
    </row>
    <row r="76" spans="1:17" ht="43.5" x14ac:dyDescent="0.2">
      <c r="A76" s="1245"/>
      <c r="B76" s="432"/>
      <c r="C76" s="1293"/>
      <c r="D76" s="1278" t="s">
        <v>44</v>
      </c>
      <c r="E76" s="1273" t="s">
        <v>183</v>
      </c>
      <c r="F76" s="1249"/>
      <c r="G76" s="1145" t="s">
        <v>343</v>
      </c>
      <c r="H76" s="1251" t="s">
        <v>36</v>
      </c>
      <c r="I76" s="1294"/>
      <c r="J76" s="100" t="s">
        <v>33</v>
      </c>
      <c r="K76" s="1170">
        <f>102.7/3.4528*1000</f>
        <v>29744</v>
      </c>
      <c r="L76" s="906" t="s">
        <v>184</v>
      </c>
      <c r="M76" s="595">
        <v>1</v>
      </c>
      <c r="O76" s="74"/>
      <c r="P76" s="74"/>
      <c r="Q76" s="1234"/>
    </row>
    <row r="77" spans="1:17" ht="26.25" customHeight="1" x14ac:dyDescent="0.2">
      <c r="A77" s="1245"/>
      <c r="B77" s="1252"/>
      <c r="C77" s="1293"/>
      <c r="D77" s="1307" t="s">
        <v>45</v>
      </c>
      <c r="E77" s="90" t="s">
        <v>56</v>
      </c>
      <c r="F77" s="1308"/>
      <c r="G77" s="1146" t="s">
        <v>344</v>
      </c>
      <c r="H77" s="1306" t="s">
        <v>36</v>
      </c>
      <c r="I77" s="459"/>
      <c r="J77" s="22" t="s">
        <v>78</v>
      </c>
      <c r="K77" s="1165">
        <f>2038/3.4528*1000</f>
        <v>590246</v>
      </c>
      <c r="L77" s="87" t="s">
        <v>57</v>
      </c>
      <c r="M77" s="62">
        <v>94</v>
      </c>
    </row>
    <row r="78" spans="1:17" ht="27" customHeight="1" thickBot="1" x14ac:dyDescent="0.25">
      <c r="A78" s="301"/>
      <c r="B78" s="1265"/>
      <c r="C78" s="311"/>
      <c r="D78" s="312"/>
      <c r="E78" s="313"/>
      <c r="F78" s="314"/>
      <c r="G78" s="1143"/>
      <c r="H78" s="316"/>
      <c r="I78" s="2346" t="s">
        <v>146</v>
      </c>
      <c r="J78" s="2347"/>
      <c r="K78" s="1174">
        <f>SUM(K71:K77)</f>
        <v>2798993</v>
      </c>
      <c r="L78" s="2348"/>
      <c r="M78" s="2349"/>
    </row>
    <row r="79" spans="1:17" ht="15.75" customHeight="1" x14ac:dyDescent="0.2">
      <c r="A79" s="2315" t="s">
        <v>8</v>
      </c>
      <c r="B79" s="2350" t="s">
        <v>8</v>
      </c>
      <c r="C79" s="2352" t="s">
        <v>45</v>
      </c>
      <c r="D79" s="2363"/>
      <c r="E79" s="2375" t="s">
        <v>211</v>
      </c>
      <c r="F79" s="2366"/>
      <c r="G79" s="2369" t="s">
        <v>345</v>
      </c>
      <c r="H79" s="2324" t="s">
        <v>79</v>
      </c>
      <c r="I79" s="2372" t="s">
        <v>149</v>
      </c>
      <c r="J79" s="203" t="s">
        <v>33</v>
      </c>
      <c r="K79" s="1181">
        <f>704/3.4528*1000</f>
        <v>203892</v>
      </c>
      <c r="L79" s="1275" t="s">
        <v>368</v>
      </c>
      <c r="M79" s="1263">
        <v>65</v>
      </c>
      <c r="O79" s="74"/>
    </row>
    <row r="80" spans="1:17" ht="13.5" customHeight="1" x14ac:dyDescent="0.2">
      <c r="A80" s="2287"/>
      <c r="B80" s="2361"/>
      <c r="C80" s="2362"/>
      <c r="D80" s="2364"/>
      <c r="E80" s="2376"/>
      <c r="F80" s="2367"/>
      <c r="G80" s="2370"/>
      <c r="H80" s="2330"/>
      <c r="I80" s="2373"/>
      <c r="J80" s="200"/>
      <c r="K80" s="1182"/>
      <c r="L80" s="602"/>
      <c r="M80" s="451"/>
    </row>
    <row r="81" spans="1:16" ht="21" customHeight="1" x14ac:dyDescent="0.2">
      <c r="A81" s="2287"/>
      <c r="B81" s="2361"/>
      <c r="C81" s="2362"/>
      <c r="D81" s="2364"/>
      <c r="E81" s="2374" t="s">
        <v>212</v>
      </c>
      <c r="F81" s="2367"/>
      <c r="G81" s="2370"/>
      <c r="H81" s="2330"/>
      <c r="I81" s="2373"/>
      <c r="J81" s="1122"/>
      <c r="K81" s="1179"/>
      <c r="L81" s="1243" t="s">
        <v>213</v>
      </c>
      <c r="M81" s="1263">
        <v>5</v>
      </c>
    </row>
    <row r="82" spans="1:16" ht="18.75" customHeight="1" thickBot="1" x14ac:dyDescent="0.25">
      <c r="A82" s="2288"/>
      <c r="B82" s="2351"/>
      <c r="C82" s="2353"/>
      <c r="D82" s="2365"/>
      <c r="E82" s="1968"/>
      <c r="F82" s="2368"/>
      <c r="G82" s="2371"/>
      <c r="H82" s="2325"/>
      <c r="I82" s="498"/>
      <c r="J82" s="1121" t="s">
        <v>9</v>
      </c>
      <c r="K82" s="1174">
        <f t="shared" ref="K82" si="1">SUM(K79:K81)</f>
        <v>203892</v>
      </c>
      <c r="L82" s="16"/>
      <c r="M82" s="407"/>
    </row>
    <row r="83" spans="1:16" ht="13.5" customHeight="1" x14ac:dyDescent="0.2">
      <c r="A83" s="2315" t="s">
        <v>8</v>
      </c>
      <c r="B83" s="2350" t="s">
        <v>8</v>
      </c>
      <c r="C83" s="2352" t="s">
        <v>37</v>
      </c>
      <c r="D83" s="2354"/>
      <c r="E83" s="2500" t="s">
        <v>203</v>
      </c>
      <c r="F83" s="2478" t="s">
        <v>123</v>
      </c>
      <c r="G83" s="2481" t="s">
        <v>346</v>
      </c>
      <c r="H83" s="2484" t="s">
        <v>74</v>
      </c>
      <c r="I83" s="2359" t="s">
        <v>152</v>
      </c>
      <c r="J83" s="203" t="s">
        <v>76</v>
      </c>
      <c r="K83" s="1183">
        <v>116287</v>
      </c>
      <c r="L83" s="2528" t="s">
        <v>171</v>
      </c>
      <c r="M83" s="102">
        <v>100</v>
      </c>
    </row>
    <row r="84" spans="1:16" x14ac:dyDescent="0.2">
      <c r="A84" s="2287"/>
      <c r="B84" s="2361"/>
      <c r="C84" s="2362"/>
      <c r="D84" s="2499"/>
      <c r="E84" s="2501"/>
      <c r="F84" s="2479"/>
      <c r="G84" s="2482"/>
      <c r="H84" s="2300"/>
      <c r="I84" s="2338"/>
      <c r="J84" s="332" t="s">
        <v>33</v>
      </c>
      <c r="K84" s="1184">
        <f>0.1/3.4528*1000</f>
        <v>29</v>
      </c>
      <c r="L84" s="2529"/>
      <c r="M84" s="607"/>
    </row>
    <row r="85" spans="1:16" ht="39.75" customHeight="1" x14ac:dyDescent="0.2">
      <c r="A85" s="2287"/>
      <c r="B85" s="2361"/>
      <c r="C85" s="2362"/>
      <c r="D85" s="2499"/>
      <c r="E85" s="2501"/>
      <c r="F85" s="2479"/>
      <c r="G85" s="2482"/>
      <c r="H85" s="2300"/>
      <c r="I85" s="2485"/>
      <c r="J85" s="14" t="s">
        <v>77</v>
      </c>
      <c r="K85" s="1185">
        <v>23758</v>
      </c>
      <c r="L85" s="2486" t="s">
        <v>297</v>
      </c>
      <c r="M85" s="99">
        <v>100</v>
      </c>
    </row>
    <row r="86" spans="1:16" ht="22.5" customHeight="1" thickBot="1" x14ac:dyDescent="0.25">
      <c r="A86" s="2288"/>
      <c r="B86" s="2351"/>
      <c r="C86" s="2353"/>
      <c r="D86" s="2355"/>
      <c r="E86" s="2502"/>
      <c r="F86" s="2480"/>
      <c r="G86" s="2483"/>
      <c r="H86" s="2301"/>
      <c r="I86" s="77"/>
      <c r="J86" s="1119" t="s">
        <v>9</v>
      </c>
      <c r="K86" s="1186">
        <f>SUM(K83:K85)</f>
        <v>140074</v>
      </c>
      <c r="L86" s="2487"/>
      <c r="M86" s="920"/>
      <c r="N86" s="12"/>
      <c r="P86" s="11"/>
    </row>
    <row r="87" spans="1:16" ht="18" customHeight="1" x14ac:dyDescent="0.2">
      <c r="A87" s="2315" t="s">
        <v>8</v>
      </c>
      <c r="B87" s="2350" t="s">
        <v>8</v>
      </c>
      <c r="C87" s="2332" t="s">
        <v>46</v>
      </c>
      <c r="D87" s="1124"/>
      <c r="E87" s="1270" t="s">
        <v>127</v>
      </c>
      <c r="F87" s="1248"/>
      <c r="G87" s="1144"/>
      <c r="H87" s="1128"/>
      <c r="I87" s="1129"/>
      <c r="J87" s="266" t="s">
        <v>33</v>
      </c>
      <c r="K87" s="1187"/>
      <c r="L87" s="1271" t="s">
        <v>298</v>
      </c>
      <c r="M87" s="580">
        <f>M88+M90</f>
        <v>2</v>
      </c>
    </row>
    <row r="88" spans="1:16" ht="43.5" customHeight="1" x14ac:dyDescent="0.2">
      <c r="A88" s="2287"/>
      <c r="B88" s="2361"/>
      <c r="C88" s="2333"/>
      <c r="D88" s="1254" t="s">
        <v>8</v>
      </c>
      <c r="E88" s="2488" t="s">
        <v>126</v>
      </c>
      <c r="F88" s="2490" t="s">
        <v>240</v>
      </c>
      <c r="G88" s="2335" t="s">
        <v>348</v>
      </c>
      <c r="H88" s="1154">
        <v>5</v>
      </c>
      <c r="I88" s="2493" t="s">
        <v>153</v>
      </c>
      <c r="J88" s="575" t="s">
        <v>33</v>
      </c>
      <c r="K88" s="1171">
        <f>22/3.4528*1000</f>
        <v>6372</v>
      </c>
      <c r="L88" s="939" t="s">
        <v>319</v>
      </c>
      <c r="M88" s="447">
        <v>1</v>
      </c>
    </row>
    <row r="89" spans="1:16" ht="56.25" customHeight="1" x14ac:dyDescent="0.2">
      <c r="A89" s="2287"/>
      <c r="B89" s="2361"/>
      <c r="C89" s="2333"/>
      <c r="D89" s="1254"/>
      <c r="E89" s="2489"/>
      <c r="F89" s="2491"/>
      <c r="G89" s="2298"/>
      <c r="H89" s="1127"/>
      <c r="I89" s="2494"/>
      <c r="J89" s="570" t="s">
        <v>76</v>
      </c>
      <c r="K89" s="1173">
        <f>53.5/3.4528*1000</f>
        <v>15495</v>
      </c>
      <c r="L89" s="950"/>
      <c r="M89" s="451"/>
    </row>
    <row r="90" spans="1:16" ht="38.25" x14ac:dyDescent="0.2">
      <c r="A90" s="2287"/>
      <c r="B90" s="2361"/>
      <c r="C90" s="2333"/>
      <c r="D90" s="365"/>
      <c r="E90" s="499" t="s">
        <v>269</v>
      </c>
      <c r="F90" s="1147" t="s">
        <v>130</v>
      </c>
      <c r="G90" s="2492"/>
      <c r="H90" s="1148"/>
      <c r="I90" s="1125"/>
      <c r="J90" s="590" t="s">
        <v>78</v>
      </c>
      <c r="K90" s="1188"/>
      <c r="L90" s="779" t="s">
        <v>319</v>
      </c>
      <c r="M90" s="569">
        <v>1</v>
      </c>
    </row>
    <row r="91" spans="1:16" ht="30" customHeight="1" x14ac:dyDescent="0.2">
      <c r="A91" s="300"/>
      <c r="B91" s="1252"/>
      <c r="C91" s="420"/>
      <c r="D91" s="1307" t="s">
        <v>10</v>
      </c>
      <c r="E91" s="510" t="s">
        <v>243</v>
      </c>
      <c r="F91" s="1324"/>
      <c r="G91" s="1141" t="s">
        <v>347</v>
      </c>
      <c r="H91" s="1109"/>
      <c r="I91" s="1126"/>
      <c r="J91" s="100"/>
      <c r="K91" s="1136"/>
      <c r="L91" s="511" t="s">
        <v>299</v>
      </c>
      <c r="M91" s="1120" t="s">
        <v>300</v>
      </c>
    </row>
    <row r="92" spans="1:16" ht="13.5" thickBot="1" x14ac:dyDescent="0.25">
      <c r="A92" s="301"/>
      <c r="B92" s="1277"/>
      <c r="C92" s="311"/>
      <c r="D92" s="312"/>
      <c r="E92" s="313"/>
      <c r="F92" s="314"/>
      <c r="G92" s="1143"/>
      <c r="H92" s="316"/>
      <c r="I92" s="2346" t="s">
        <v>146</v>
      </c>
      <c r="J92" s="2347"/>
      <c r="K92" s="1174">
        <f>SUM(K88:K90)</f>
        <v>21867</v>
      </c>
      <c r="L92" s="2348"/>
      <c r="M92" s="2349"/>
    </row>
    <row r="93" spans="1:16" ht="29.25" customHeight="1" x14ac:dyDescent="0.2">
      <c r="A93" s="1245" t="s">
        <v>8</v>
      </c>
      <c r="B93" s="1246" t="s">
        <v>8</v>
      </c>
      <c r="C93" s="2352" t="s">
        <v>39</v>
      </c>
      <c r="D93" s="2354"/>
      <c r="E93" s="2469" t="s">
        <v>380</v>
      </c>
      <c r="F93" s="1272"/>
      <c r="G93" s="2369" t="s">
        <v>349</v>
      </c>
      <c r="H93" s="1250" t="s">
        <v>36</v>
      </c>
      <c r="I93" s="2326" t="s">
        <v>157</v>
      </c>
      <c r="J93" s="208" t="s">
        <v>33</v>
      </c>
      <c r="K93" s="1172">
        <f>145.2/3.4528*1000</f>
        <v>42053</v>
      </c>
      <c r="L93" s="1053" t="s">
        <v>301</v>
      </c>
      <c r="M93" s="1074">
        <v>210</v>
      </c>
    </row>
    <row r="94" spans="1:16" ht="13.5" thickBot="1" x14ac:dyDescent="0.25">
      <c r="A94" s="300"/>
      <c r="B94" s="1252"/>
      <c r="C94" s="2353"/>
      <c r="D94" s="2355"/>
      <c r="E94" s="2470"/>
      <c r="F94" s="414"/>
      <c r="G94" s="2476"/>
      <c r="H94" s="413"/>
      <c r="I94" s="2477"/>
      <c r="J94" s="1119" t="s">
        <v>9</v>
      </c>
      <c r="K94" s="1189">
        <f t="shared" ref="K94:K96" si="2">SUM(K93:K93)</f>
        <v>42053</v>
      </c>
      <c r="L94" s="16"/>
      <c r="M94" s="407"/>
    </row>
    <row r="95" spans="1:16" x14ac:dyDescent="0.2">
      <c r="A95" s="2315" t="s">
        <v>8</v>
      </c>
      <c r="B95" s="2350" t="s">
        <v>8</v>
      </c>
      <c r="C95" s="2352" t="s">
        <v>120</v>
      </c>
      <c r="D95" s="2354"/>
      <c r="E95" s="2356" t="s">
        <v>105</v>
      </c>
      <c r="F95" s="2321"/>
      <c r="G95" s="2357" t="s">
        <v>350</v>
      </c>
      <c r="H95" s="1250" t="s">
        <v>36</v>
      </c>
      <c r="I95" s="2359" t="s">
        <v>170</v>
      </c>
      <c r="J95" s="13" t="s">
        <v>33</v>
      </c>
      <c r="K95" s="1190">
        <f>300/3.4528*1000</f>
        <v>86886</v>
      </c>
      <c r="L95" s="1329" t="s">
        <v>48</v>
      </c>
      <c r="M95" s="595">
        <v>7</v>
      </c>
    </row>
    <row r="96" spans="1:16" ht="13.5" thickBot="1" x14ac:dyDescent="0.25">
      <c r="A96" s="2288"/>
      <c r="B96" s="2351"/>
      <c r="C96" s="2353"/>
      <c r="D96" s="2355"/>
      <c r="E96" s="2261"/>
      <c r="F96" s="2310"/>
      <c r="G96" s="2358"/>
      <c r="H96" s="1274"/>
      <c r="I96" s="2360"/>
      <c r="J96" s="1119" t="s">
        <v>9</v>
      </c>
      <c r="K96" s="1189">
        <f t="shared" si="2"/>
        <v>86886</v>
      </c>
      <c r="L96" s="16"/>
      <c r="M96" s="407"/>
    </row>
    <row r="97" spans="1:16" ht="25.5" customHeight="1" thickBot="1" x14ac:dyDescent="0.25">
      <c r="A97" s="302" t="s">
        <v>8</v>
      </c>
      <c r="B97" s="9" t="s">
        <v>8</v>
      </c>
      <c r="C97" s="2242" t="s">
        <v>11</v>
      </c>
      <c r="D97" s="2242"/>
      <c r="E97" s="2242"/>
      <c r="F97" s="2242"/>
      <c r="G97" s="2242"/>
      <c r="H97" s="2242"/>
      <c r="I97" s="2242"/>
      <c r="J97" s="2243"/>
      <c r="K97" s="1191">
        <f>K96+K92+K86+K82+K78+K69+K50+K39+K94</f>
        <v>6557080</v>
      </c>
      <c r="L97" s="34"/>
      <c r="M97" s="36"/>
    </row>
    <row r="98" spans="1:16" ht="16.5" customHeight="1" thickBot="1" x14ac:dyDescent="0.25">
      <c r="A98" s="302" t="s">
        <v>8</v>
      </c>
      <c r="B98" s="9" t="s">
        <v>10</v>
      </c>
      <c r="C98" s="2473" t="s">
        <v>59</v>
      </c>
      <c r="D98" s="2474"/>
      <c r="E98" s="2474"/>
      <c r="F98" s="2474"/>
      <c r="G98" s="2474"/>
      <c r="H98" s="2474"/>
      <c r="I98" s="2474"/>
      <c r="J98" s="2474"/>
      <c r="K98" s="2474"/>
      <c r="L98" s="2474"/>
      <c r="M98" s="2475"/>
    </row>
    <row r="99" spans="1:16" ht="36" customHeight="1" x14ac:dyDescent="0.2">
      <c r="A99" s="2315" t="s">
        <v>8</v>
      </c>
      <c r="B99" s="2316" t="s">
        <v>10</v>
      </c>
      <c r="C99" s="2332" t="s">
        <v>8</v>
      </c>
      <c r="D99" s="1062"/>
      <c r="E99" s="1086" t="s">
        <v>191</v>
      </c>
      <c r="F99" s="1087"/>
      <c r="G99" s="1088"/>
      <c r="H99" s="1089" t="s">
        <v>36</v>
      </c>
      <c r="I99" s="1130"/>
      <c r="J99" s="17" t="s">
        <v>33</v>
      </c>
      <c r="K99" s="1192"/>
      <c r="L99" s="1275"/>
      <c r="M99" s="1199"/>
      <c r="P99" s="11"/>
    </row>
    <row r="100" spans="1:16" ht="36" customHeight="1" x14ac:dyDescent="0.2">
      <c r="A100" s="2287"/>
      <c r="B100" s="2289"/>
      <c r="C100" s="2333"/>
      <c r="D100" s="1278" t="s">
        <v>8</v>
      </c>
      <c r="E100" s="2329" t="s">
        <v>85</v>
      </c>
      <c r="F100" s="1139"/>
      <c r="G100" s="2335" t="s">
        <v>352</v>
      </c>
      <c r="H100" s="1251"/>
      <c r="I100" s="2338" t="s">
        <v>172</v>
      </c>
      <c r="J100" s="477" t="s">
        <v>33</v>
      </c>
      <c r="K100" s="1208">
        <v>52132</v>
      </c>
      <c r="L100" s="1268" t="s">
        <v>63</v>
      </c>
      <c r="M100" s="96">
        <v>350</v>
      </c>
      <c r="P100" s="11"/>
    </row>
    <row r="101" spans="1:16" ht="33" customHeight="1" x14ac:dyDescent="0.2">
      <c r="A101" s="2287"/>
      <c r="B101" s="2289"/>
      <c r="C101" s="2333"/>
      <c r="D101" s="1278"/>
      <c r="E101" s="2329"/>
      <c r="F101" s="1139"/>
      <c r="G101" s="2336"/>
      <c r="H101" s="1256" t="s">
        <v>36</v>
      </c>
      <c r="I101" s="2339"/>
      <c r="J101" s="1131"/>
      <c r="K101" s="1209"/>
      <c r="L101" s="345" t="s">
        <v>64</v>
      </c>
      <c r="M101" s="378">
        <v>300</v>
      </c>
      <c r="P101" s="11"/>
    </row>
    <row r="102" spans="1:16" ht="31.5" customHeight="1" x14ac:dyDescent="0.2">
      <c r="A102" s="2287"/>
      <c r="B102" s="2289"/>
      <c r="C102" s="2333"/>
      <c r="D102" s="1301"/>
      <c r="E102" s="2334"/>
      <c r="F102" s="429"/>
      <c r="G102" s="2337"/>
      <c r="H102" s="1258"/>
      <c r="I102" s="2340"/>
      <c r="J102" s="372"/>
      <c r="K102" s="1210"/>
      <c r="L102" s="980" t="s">
        <v>266</v>
      </c>
      <c r="M102" s="385">
        <v>36</v>
      </c>
      <c r="P102" s="11"/>
    </row>
    <row r="103" spans="1:16" ht="16.5" customHeight="1" x14ac:dyDescent="0.2">
      <c r="A103" s="2287"/>
      <c r="B103" s="2289"/>
      <c r="C103" s="2333"/>
      <c r="D103" s="1278" t="s">
        <v>10</v>
      </c>
      <c r="E103" s="2329" t="s">
        <v>88</v>
      </c>
      <c r="F103" s="1139"/>
      <c r="G103" s="2343" t="s">
        <v>351</v>
      </c>
      <c r="H103" s="1251" t="s">
        <v>36</v>
      </c>
      <c r="I103" s="2471" t="s">
        <v>172</v>
      </c>
      <c r="J103" s="1201" t="s">
        <v>33</v>
      </c>
      <c r="K103" s="1205">
        <f>672.4/3.4528*1000</f>
        <v>194741</v>
      </c>
      <c r="L103" s="1132" t="s">
        <v>320</v>
      </c>
      <c r="M103" s="1133">
        <v>18</v>
      </c>
      <c r="P103" s="11"/>
    </row>
    <row r="104" spans="1:16" ht="14.25" customHeight="1" x14ac:dyDescent="0.2">
      <c r="A104" s="2287"/>
      <c r="B104" s="2289"/>
      <c r="C104" s="2333"/>
      <c r="D104" s="1301"/>
      <c r="E104" s="2342"/>
      <c r="F104" s="1149"/>
      <c r="G104" s="2344"/>
      <c r="H104" s="1109"/>
      <c r="I104" s="2472"/>
      <c r="J104" s="275" t="s">
        <v>106</v>
      </c>
      <c r="K104" s="1206">
        <v>8171</v>
      </c>
      <c r="L104" s="1269"/>
      <c r="M104" s="98"/>
      <c r="P104" s="11"/>
    </row>
    <row r="105" spans="1:16" ht="29.25" customHeight="1" x14ac:dyDescent="0.2">
      <c r="A105" s="1245"/>
      <c r="B105" s="1246"/>
      <c r="C105" s="1293"/>
      <c r="D105" s="1278" t="s">
        <v>35</v>
      </c>
      <c r="E105" s="2341" t="s">
        <v>62</v>
      </c>
      <c r="F105" s="1150"/>
      <c r="G105" s="2343" t="s">
        <v>353</v>
      </c>
      <c r="H105" s="1115" t="s">
        <v>36</v>
      </c>
      <c r="I105" s="2303"/>
      <c r="J105" s="477" t="s">
        <v>33</v>
      </c>
      <c r="K105" s="1207">
        <f>5/3.4528*1000</f>
        <v>1448</v>
      </c>
      <c r="L105" s="391" t="s">
        <v>86</v>
      </c>
      <c r="M105" s="393">
        <v>2</v>
      </c>
      <c r="P105" s="11"/>
    </row>
    <row r="106" spans="1:16" ht="18" customHeight="1" x14ac:dyDescent="0.2">
      <c r="A106" s="1245"/>
      <c r="B106" s="1246"/>
      <c r="C106" s="1293"/>
      <c r="D106" s="1301"/>
      <c r="E106" s="2342"/>
      <c r="F106" s="429"/>
      <c r="G106" s="2344"/>
      <c r="H106" s="1258"/>
      <c r="I106" s="2345"/>
      <c r="J106" s="275"/>
      <c r="K106" s="1206"/>
      <c r="L106" s="55" t="s">
        <v>186</v>
      </c>
      <c r="M106" s="98">
        <v>100</v>
      </c>
      <c r="P106" s="11"/>
    </row>
    <row r="107" spans="1:16" ht="15.75" customHeight="1" x14ac:dyDescent="0.2">
      <c r="A107" s="1245"/>
      <c r="B107" s="1246"/>
      <c r="C107" s="1293"/>
      <c r="D107" s="1300" t="s">
        <v>44</v>
      </c>
      <c r="E107" s="1290" t="s">
        <v>66</v>
      </c>
      <c r="F107" s="428"/>
      <c r="G107" s="1151" t="s">
        <v>354</v>
      </c>
      <c r="H107" s="1262"/>
      <c r="I107" s="383"/>
      <c r="J107" s="386" t="s">
        <v>33</v>
      </c>
      <c r="K107" s="1211">
        <f>6/3.4528*1000</f>
        <v>1738</v>
      </c>
      <c r="L107" s="1268" t="s">
        <v>67</v>
      </c>
      <c r="M107" s="96">
        <v>20</v>
      </c>
      <c r="P107" s="11"/>
    </row>
    <row r="108" spans="1:16" ht="27" customHeight="1" x14ac:dyDescent="0.2">
      <c r="A108" s="1245"/>
      <c r="B108" s="1246"/>
      <c r="C108" s="1293"/>
      <c r="D108" s="1300" t="s">
        <v>45</v>
      </c>
      <c r="E108" s="427" t="s">
        <v>87</v>
      </c>
      <c r="F108" s="1325"/>
      <c r="G108" s="2343" t="s">
        <v>355</v>
      </c>
      <c r="H108" s="1326" t="s">
        <v>36</v>
      </c>
      <c r="I108" s="2399" t="s">
        <v>172</v>
      </c>
      <c r="J108" s="386" t="s">
        <v>33</v>
      </c>
      <c r="K108" s="1212">
        <f>10/3.4528*1000</f>
        <v>2896</v>
      </c>
      <c r="L108" s="54" t="s">
        <v>65</v>
      </c>
      <c r="M108" s="96">
        <v>150</v>
      </c>
      <c r="P108" s="11"/>
    </row>
    <row r="109" spans="1:16" ht="24.75" customHeight="1" x14ac:dyDescent="0.2">
      <c r="A109" s="1245"/>
      <c r="B109" s="1246"/>
      <c r="C109" s="1293"/>
      <c r="D109" s="1300" t="s">
        <v>37</v>
      </c>
      <c r="E109" s="1323" t="s">
        <v>187</v>
      </c>
      <c r="F109" s="1152"/>
      <c r="G109" s="2344"/>
      <c r="H109" s="1153"/>
      <c r="I109" s="2339"/>
      <c r="J109" s="386" t="s">
        <v>33</v>
      </c>
      <c r="K109" s="1212">
        <f>80/3.4528*1000</f>
        <v>23170</v>
      </c>
      <c r="L109" s="54" t="s">
        <v>302</v>
      </c>
      <c r="M109" s="983">
        <v>1</v>
      </c>
      <c r="P109" s="11"/>
    </row>
    <row r="110" spans="1:16" ht="39.75" customHeight="1" x14ac:dyDescent="0.2">
      <c r="A110" s="1245"/>
      <c r="B110" s="1246"/>
      <c r="C110" s="1293"/>
      <c r="D110" s="1300" t="s">
        <v>46</v>
      </c>
      <c r="E110" s="1323" t="s">
        <v>188</v>
      </c>
      <c r="F110" s="1155"/>
      <c r="G110" s="2343" t="s">
        <v>356</v>
      </c>
      <c r="H110" s="1156">
        <v>6</v>
      </c>
      <c r="I110" s="2339"/>
      <c r="J110" s="386" t="s">
        <v>33</v>
      </c>
      <c r="K110" s="1212">
        <f>5/3.4528*1000</f>
        <v>1448</v>
      </c>
      <c r="L110" s="54" t="s">
        <v>303</v>
      </c>
      <c r="M110" s="96">
        <v>3</v>
      </c>
      <c r="P110" s="11"/>
    </row>
    <row r="111" spans="1:16" ht="25.5" x14ac:dyDescent="0.2">
      <c r="A111" s="1245"/>
      <c r="B111" s="1246"/>
      <c r="C111" s="1293"/>
      <c r="D111" s="1307" t="s">
        <v>39</v>
      </c>
      <c r="E111" s="510" t="s">
        <v>189</v>
      </c>
      <c r="F111" s="1152"/>
      <c r="G111" s="2344"/>
      <c r="H111" s="1153"/>
      <c r="I111" s="1295"/>
      <c r="J111" s="1083" t="s">
        <v>33</v>
      </c>
      <c r="K111" s="1213">
        <f>7.998/3.4528*1000</f>
        <v>2316</v>
      </c>
      <c r="L111" s="87" t="s">
        <v>372</v>
      </c>
      <c r="M111" s="985">
        <v>100</v>
      </c>
      <c r="P111" s="11"/>
    </row>
    <row r="112" spans="1:16" ht="43.5" x14ac:dyDescent="0.2">
      <c r="A112" s="300"/>
      <c r="B112" s="1252"/>
      <c r="C112" s="1293"/>
      <c r="D112" s="1301" t="s">
        <v>120</v>
      </c>
      <c r="E112" s="1259" t="s">
        <v>231</v>
      </c>
      <c r="F112" s="1255"/>
      <c r="G112" s="1224" t="s">
        <v>357</v>
      </c>
      <c r="H112" s="1082"/>
      <c r="I112" s="1134"/>
      <c r="J112" s="468" t="s">
        <v>33</v>
      </c>
      <c r="K112" s="1214">
        <f>113/3.4528*1000</f>
        <v>32727</v>
      </c>
      <c r="L112" s="868" t="s">
        <v>305</v>
      </c>
      <c r="M112" s="1075">
        <v>100</v>
      </c>
      <c r="O112" s="1200"/>
    </row>
    <row r="113" spans="1:18" ht="13.5" thickBot="1" x14ac:dyDescent="0.25">
      <c r="A113" s="1245"/>
      <c r="B113" s="1246"/>
      <c r="C113" s="311"/>
      <c r="D113" s="312"/>
      <c r="E113" s="366"/>
      <c r="F113" s="314"/>
      <c r="G113" s="315"/>
      <c r="H113" s="367"/>
      <c r="I113" s="2346" t="s">
        <v>146</v>
      </c>
      <c r="J113" s="2347"/>
      <c r="K113" s="1193">
        <f>SUM(K100:K112)</f>
        <v>320787</v>
      </c>
      <c r="L113" s="994"/>
      <c r="M113" s="996"/>
      <c r="P113" s="11"/>
    </row>
    <row r="114" spans="1:18" ht="26.25" customHeight="1" thickBot="1" x14ac:dyDescent="0.25">
      <c r="A114" s="303" t="s">
        <v>8</v>
      </c>
      <c r="B114" s="9" t="s">
        <v>10</v>
      </c>
      <c r="C114" s="2242" t="s">
        <v>11</v>
      </c>
      <c r="D114" s="2242"/>
      <c r="E114" s="2242"/>
      <c r="F114" s="2242"/>
      <c r="G114" s="2242"/>
      <c r="H114" s="2242"/>
      <c r="I114" s="2242"/>
      <c r="J114" s="2243"/>
      <c r="K114" s="1097">
        <f>K113</f>
        <v>320787</v>
      </c>
      <c r="L114" s="2285"/>
      <c r="M114" s="2286"/>
    </row>
    <row r="115" spans="1:18" ht="23.25" customHeight="1" thickBot="1" x14ac:dyDescent="0.25">
      <c r="A115" s="302" t="s">
        <v>8</v>
      </c>
      <c r="B115" s="9" t="s">
        <v>35</v>
      </c>
      <c r="C115" s="2473" t="s">
        <v>60</v>
      </c>
      <c r="D115" s="2474"/>
      <c r="E115" s="2474"/>
      <c r="F115" s="2474"/>
      <c r="G115" s="2474"/>
      <c r="H115" s="2474"/>
      <c r="I115" s="2474"/>
      <c r="J115" s="2474"/>
      <c r="K115" s="2474"/>
      <c r="L115" s="2474"/>
      <c r="M115" s="2475"/>
    </row>
    <row r="116" spans="1:18" ht="15.75" customHeight="1" x14ac:dyDescent="0.2">
      <c r="A116" s="2315" t="s">
        <v>8</v>
      </c>
      <c r="B116" s="2316" t="s">
        <v>35</v>
      </c>
      <c r="C116" s="2317" t="s">
        <v>8</v>
      </c>
      <c r="D116" s="2317"/>
      <c r="E116" s="2319" t="s">
        <v>68</v>
      </c>
      <c r="F116" s="2321"/>
      <c r="G116" s="2297" t="s">
        <v>358</v>
      </c>
      <c r="H116" s="2324" t="s">
        <v>36</v>
      </c>
      <c r="I116" s="2326" t="s">
        <v>157</v>
      </c>
      <c r="J116" s="1135" t="s">
        <v>33</v>
      </c>
      <c r="K116" s="1138">
        <f>2146.4/3.4528*1000</f>
        <v>621640</v>
      </c>
      <c r="L116" s="2467" t="s">
        <v>139</v>
      </c>
      <c r="M116" s="599">
        <v>3.7</v>
      </c>
      <c r="P116" s="11"/>
    </row>
    <row r="117" spans="1:18" ht="41.25" customHeight="1" x14ac:dyDescent="0.2">
      <c r="A117" s="2287"/>
      <c r="B117" s="2289"/>
      <c r="C117" s="2328"/>
      <c r="D117" s="2328"/>
      <c r="E117" s="2329"/>
      <c r="F117" s="2309"/>
      <c r="G117" s="2298"/>
      <c r="H117" s="2330"/>
      <c r="I117" s="2331"/>
      <c r="J117" s="564"/>
      <c r="K117" s="1179"/>
      <c r="L117" s="2408"/>
      <c r="M117" s="1085"/>
      <c r="P117" s="11"/>
    </row>
    <row r="118" spans="1:18" ht="15.75" customHeight="1" thickBot="1" x14ac:dyDescent="0.25">
      <c r="A118" s="2288"/>
      <c r="B118" s="2290"/>
      <c r="C118" s="2318"/>
      <c r="D118" s="2318"/>
      <c r="E118" s="2320"/>
      <c r="F118" s="2310"/>
      <c r="G118" s="2299"/>
      <c r="H118" s="2325"/>
      <c r="I118" s="2327"/>
      <c r="J118" s="259" t="s">
        <v>9</v>
      </c>
      <c r="K118" s="1096">
        <f>SUM(K116:K117)</f>
        <v>621640</v>
      </c>
      <c r="L118" s="2468"/>
      <c r="M118" s="1198"/>
      <c r="P118" s="11"/>
    </row>
    <row r="119" spans="1:18" x14ac:dyDescent="0.2">
      <c r="A119" s="2315" t="s">
        <v>8</v>
      </c>
      <c r="B119" s="2316" t="s">
        <v>35</v>
      </c>
      <c r="C119" s="2317" t="s">
        <v>10</v>
      </c>
      <c r="D119" s="2317"/>
      <c r="E119" s="2319" t="s">
        <v>321</v>
      </c>
      <c r="F119" s="2321"/>
      <c r="G119" s="2322" t="s">
        <v>359</v>
      </c>
      <c r="H119" s="2324" t="s">
        <v>36</v>
      </c>
      <c r="I119" s="2326" t="s">
        <v>158</v>
      </c>
      <c r="J119" s="1197" t="s">
        <v>78</v>
      </c>
      <c r="K119" s="1138">
        <v>1880</v>
      </c>
      <c r="L119" s="2467" t="s">
        <v>322</v>
      </c>
      <c r="M119" s="1199">
        <v>10</v>
      </c>
      <c r="P119" s="11"/>
      <c r="R119" s="1200"/>
    </row>
    <row r="120" spans="1:18" ht="14.25" customHeight="1" thickBot="1" x14ac:dyDescent="0.25">
      <c r="A120" s="2288"/>
      <c r="B120" s="2290"/>
      <c r="C120" s="2318"/>
      <c r="D120" s="2318"/>
      <c r="E120" s="2320"/>
      <c r="F120" s="2310"/>
      <c r="G120" s="2323"/>
      <c r="H120" s="2325"/>
      <c r="I120" s="2327"/>
      <c r="J120" s="259" t="s">
        <v>9</v>
      </c>
      <c r="K120" s="1096">
        <f>SUM(K119:K119)</f>
        <v>1880</v>
      </c>
      <c r="L120" s="2468"/>
      <c r="M120" s="1198"/>
      <c r="P120" s="11"/>
    </row>
    <row r="121" spans="1:18" ht="23.25" customHeight="1" thickBot="1" x14ac:dyDescent="0.25">
      <c r="A121" s="303" t="s">
        <v>8</v>
      </c>
      <c r="B121" s="9" t="s">
        <v>35</v>
      </c>
      <c r="C121" s="2242" t="s">
        <v>11</v>
      </c>
      <c r="D121" s="2242"/>
      <c r="E121" s="2242"/>
      <c r="F121" s="2242"/>
      <c r="G121" s="2242"/>
      <c r="H121" s="2242"/>
      <c r="I121" s="2242"/>
      <c r="J121" s="2243"/>
      <c r="K121" s="1099">
        <f>K118+K120</f>
        <v>623520</v>
      </c>
      <c r="L121" s="2285"/>
      <c r="M121" s="2286"/>
    </row>
    <row r="122" spans="1:18" ht="17.25" customHeight="1" thickBot="1" x14ac:dyDescent="0.25">
      <c r="A122" s="302" t="s">
        <v>8</v>
      </c>
      <c r="B122" s="9" t="s">
        <v>44</v>
      </c>
      <c r="C122" s="2244" t="s">
        <v>61</v>
      </c>
      <c r="D122" s="2245"/>
      <c r="E122" s="2245"/>
      <c r="F122" s="2245"/>
      <c r="G122" s="2245"/>
      <c r="H122" s="2245"/>
      <c r="I122" s="2245"/>
      <c r="J122" s="2245"/>
      <c r="K122" s="2245"/>
      <c r="L122" s="2245"/>
      <c r="M122" s="2247"/>
    </row>
    <row r="123" spans="1:18" ht="13.5" customHeight="1" x14ac:dyDescent="0.2">
      <c r="A123" s="2252" t="s">
        <v>8</v>
      </c>
      <c r="B123" s="2254" t="s">
        <v>44</v>
      </c>
      <c r="C123" s="2305" t="s">
        <v>8</v>
      </c>
      <c r="D123" s="2307"/>
      <c r="E123" s="2260" t="s">
        <v>69</v>
      </c>
      <c r="F123" s="2309"/>
      <c r="G123" s="2311" t="s">
        <v>360</v>
      </c>
      <c r="H123" s="2313" t="s">
        <v>36</v>
      </c>
      <c r="I123" s="2302" t="s">
        <v>157</v>
      </c>
      <c r="J123" s="22" t="s">
        <v>33</v>
      </c>
      <c r="K123" s="1215">
        <f>300/3.4528*1000</f>
        <v>86886</v>
      </c>
      <c r="L123" s="1217" t="s">
        <v>70</v>
      </c>
      <c r="M123" s="1219">
        <v>285</v>
      </c>
    </row>
    <row r="124" spans="1:18" ht="12.75" customHeight="1" thickBot="1" x14ac:dyDescent="0.25">
      <c r="A124" s="2253"/>
      <c r="B124" s="2255"/>
      <c r="C124" s="2306"/>
      <c r="D124" s="2308"/>
      <c r="E124" s="2261"/>
      <c r="F124" s="2310"/>
      <c r="G124" s="2312"/>
      <c r="H124" s="2314"/>
      <c r="I124" s="2304"/>
      <c r="J124" s="187" t="s">
        <v>9</v>
      </c>
      <c r="K124" s="1216">
        <f>K123</f>
        <v>86886</v>
      </c>
      <c r="L124" s="1218"/>
      <c r="M124" s="98"/>
    </row>
    <row r="125" spans="1:18" ht="18.75" customHeight="1" x14ac:dyDescent="0.2">
      <c r="A125" s="2287" t="s">
        <v>8</v>
      </c>
      <c r="B125" s="2289" t="s">
        <v>44</v>
      </c>
      <c r="C125" s="2256" t="s">
        <v>10</v>
      </c>
      <c r="D125" s="2291"/>
      <c r="E125" s="2293" t="s">
        <v>101</v>
      </c>
      <c r="F125" s="2295"/>
      <c r="G125" s="2297" t="s">
        <v>361</v>
      </c>
      <c r="H125" s="2300" t="s">
        <v>36</v>
      </c>
      <c r="I125" s="2302" t="s">
        <v>157</v>
      </c>
      <c r="J125" s="1137" t="s">
        <v>33</v>
      </c>
      <c r="K125" s="1138">
        <f>20.3/3.4528*1000</f>
        <v>5879</v>
      </c>
      <c r="L125" s="1329" t="s">
        <v>103</v>
      </c>
      <c r="M125" s="1199">
        <v>44</v>
      </c>
      <c r="P125" s="11"/>
    </row>
    <row r="126" spans="1:18" x14ac:dyDescent="0.2">
      <c r="A126" s="2287"/>
      <c r="B126" s="2289"/>
      <c r="C126" s="2256"/>
      <c r="D126" s="2291"/>
      <c r="E126" s="2293"/>
      <c r="F126" s="2295"/>
      <c r="G126" s="2298"/>
      <c r="H126" s="2300"/>
      <c r="I126" s="2303"/>
      <c r="J126" s="100"/>
      <c r="K126" s="1095"/>
      <c r="L126" s="24" t="s">
        <v>102</v>
      </c>
      <c r="M126" s="99">
        <v>3</v>
      </c>
      <c r="P126" s="11"/>
    </row>
    <row r="127" spans="1:18" ht="13.5" customHeight="1" thickBot="1" x14ac:dyDescent="0.25">
      <c r="A127" s="2288"/>
      <c r="B127" s="2290"/>
      <c r="C127" s="2257"/>
      <c r="D127" s="2292"/>
      <c r="E127" s="2294"/>
      <c r="F127" s="2296"/>
      <c r="G127" s="2299"/>
      <c r="H127" s="2301"/>
      <c r="I127" s="2304"/>
      <c r="J127" s="187" t="s">
        <v>9</v>
      </c>
      <c r="K127" s="1096">
        <f>K125</f>
        <v>5879</v>
      </c>
      <c r="L127" s="25" t="s">
        <v>159</v>
      </c>
      <c r="M127" s="1198">
        <v>230</v>
      </c>
      <c r="P127" s="11"/>
    </row>
    <row r="128" spans="1:18" ht="14.1" customHeight="1" thickBot="1" x14ac:dyDescent="0.25">
      <c r="A128" s="1264" t="s">
        <v>8</v>
      </c>
      <c r="B128" s="1277" t="s">
        <v>44</v>
      </c>
      <c r="C128" s="2241" t="s">
        <v>11</v>
      </c>
      <c r="D128" s="2242"/>
      <c r="E128" s="2242"/>
      <c r="F128" s="2242"/>
      <c r="G128" s="2242"/>
      <c r="H128" s="2242"/>
      <c r="I128" s="2242"/>
      <c r="J128" s="2243"/>
      <c r="K128" s="1097">
        <f t="shared" ref="K128" si="3">K127+K124</f>
        <v>92765</v>
      </c>
      <c r="L128" s="401"/>
      <c r="M128" s="1076"/>
    </row>
    <row r="129" spans="1:33" ht="13.5" thickBot="1" x14ac:dyDescent="0.25">
      <c r="A129" s="302" t="s">
        <v>8</v>
      </c>
      <c r="B129" s="9" t="s">
        <v>89</v>
      </c>
      <c r="C129" s="2244" t="s">
        <v>90</v>
      </c>
      <c r="D129" s="2245"/>
      <c r="E129" s="2245"/>
      <c r="F129" s="2245"/>
      <c r="G129" s="2245"/>
      <c r="H129" s="2245"/>
      <c r="I129" s="2245"/>
      <c r="J129" s="2245"/>
      <c r="K129" s="2246"/>
      <c r="L129" s="2245"/>
      <c r="M129" s="2247"/>
    </row>
    <row r="130" spans="1:33" ht="14.1" customHeight="1" x14ac:dyDescent="0.2">
      <c r="A130" s="304" t="s">
        <v>8</v>
      </c>
      <c r="B130" s="1052" t="s">
        <v>45</v>
      </c>
      <c r="C130" s="1328" t="s">
        <v>8</v>
      </c>
      <c r="D130" s="293"/>
      <c r="E130" s="91" t="s">
        <v>95</v>
      </c>
      <c r="F130" s="1327"/>
      <c r="G130" s="1233" t="s">
        <v>367</v>
      </c>
      <c r="H130" s="2248">
        <v>6</v>
      </c>
      <c r="I130" s="1286"/>
      <c r="J130" s="291" t="s">
        <v>106</v>
      </c>
      <c r="K130" s="1058"/>
      <c r="L130" s="1275"/>
      <c r="M130" s="1199"/>
    </row>
    <row r="131" spans="1:33" ht="15.75" customHeight="1" x14ac:dyDescent="0.2">
      <c r="A131" s="1280"/>
      <c r="B131" s="1281"/>
      <c r="C131" s="1279"/>
      <c r="D131" s="294" t="s">
        <v>8</v>
      </c>
      <c r="E131" s="1318" t="s">
        <v>97</v>
      </c>
      <c r="F131" s="1227"/>
      <c r="G131" s="1232" t="s">
        <v>362</v>
      </c>
      <c r="H131" s="2249"/>
      <c r="I131" s="2251" t="s">
        <v>158</v>
      </c>
      <c r="J131" s="291" t="s">
        <v>33</v>
      </c>
      <c r="K131" s="1207">
        <f>634/3.4528*1000</f>
        <v>183619</v>
      </c>
      <c r="L131" s="60" t="s">
        <v>253</v>
      </c>
      <c r="M131" s="96">
        <v>7</v>
      </c>
    </row>
    <row r="132" spans="1:33" ht="18.75" customHeight="1" x14ac:dyDescent="0.2">
      <c r="A132" s="1280"/>
      <c r="B132" s="1281"/>
      <c r="C132" s="1279"/>
      <c r="D132" s="1288" t="s">
        <v>10</v>
      </c>
      <c r="E132" s="1282" t="s">
        <v>98</v>
      </c>
      <c r="F132" s="1230"/>
      <c r="G132" s="1231" t="s">
        <v>363</v>
      </c>
      <c r="H132" s="2249"/>
      <c r="I132" s="2251"/>
      <c r="J132" s="291" t="s">
        <v>33</v>
      </c>
      <c r="K132" s="1207">
        <f>705/3.4528*1000</f>
        <v>204182</v>
      </c>
      <c r="L132" s="60" t="s">
        <v>252</v>
      </c>
      <c r="M132" s="96">
        <v>6</v>
      </c>
    </row>
    <row r="133" spans="1:33" ht="14.1" customHeight="1" x14ac:dyDescent="0.2">
      <c r="A133" s="1280"/>
      <c r="B133" s="1281"/>
      <c r="C133" s="1279"/>
      <c r="D133" s="294" t="s">
        <v>35</v>
      </c>
      <c r="E133" s="1318" t="s">
        <v>99</v>
      </c>
      <c r="F133" s="1230"/>
      <c r="G133" s="1231" t="s">
        <v>365</v>
      </c>
      <c r="H133" s="2249"/>
      <c r="I133" s="2251"/>
      <c r="J133" s="291" t="s">
        <v>33</v>
      </c>
      <c r="K133" s="1207">
        <f>231/3.4528*1000</f>
        <v>66902</v>
      </c>
      <c r="L133" s="60" t="s">
        <v>253</v>
      </c>
      <c r="M133" s="96">
        <v>8</v>
      </c>
    </row>
    <row r="134" spans="1:33" s="47" customFormat="1" ht="14.1" customHeight="1" x14ac:dyDescent="0.2">
      <c r="A134" s="1245"/>
      <c r="B134" s="1246"/>
      <c r="C134" s="64"/>
      <c r="D134" s="295" t="s">
        <v>44</v>
      </c>
      <c r="E134" s="1318" t="s">
        <v>100</v>
      </c>
      <c r="F134" s="1228"/>
      <c r="G134" s="1229" t="s">
        <v>364</v>
      </c>
      <c r="H134" s="2249"/>
      <c r="I134" s="2251"/>
      <c r="J134" s="22" t="s">
        <v>33</v>
      </c>
      <c r="K134" s="1207">
        <f>10497.2/3.4528*1000</f>
        <v>3040199</v>
      </c>
      <c r="L134" s="60" t="s">
        <v>253</v>
      </c>
      <c r="M134" s="1077">
        <v>96</v>
      </c>
    </row>
    <row r="135" spans="1:33" ht="12.75" customHeight="1" x14ac:dyDescent="0.2">
      <c r="A135" s="2252"/>
      <c r="B135" s="2254"/>
      <c r="C135" s="2256"/>
      <c r="D135" s="2258" t="s">
        <v>45</v>
      </c>
      <c r="E135" s="2260" t="s">
        <v>96</v>
      </c>
      <c r="F135" s="1284"/>
      <c r="G135" s="1225" t="s">
        <v>366</v>
      </c>
      <c r="H135" s="2249"/>
      <c r="I135" s="1286"/>
      <c r="J135" s="291" t="s">
        <v>33</v>
      </c>
      <c r="K135" s="1220">
        <f>9.301/3.4528*1000</f>
        <v>2694</v>
      </c>
      <c r="L135" s="1268" t="s">
        <v>252</v>
      </c>
      <c r="M135" s="96">
        <v>1</v>
      </c>
    </row>
    <row r="136" spans="1:33" ht="14.25" customHeight="1" thickBot="1" x14ac:dyDescent="0.25">
      <c r="A136" s="2253"/>
      <c r="B136" s="2255"/>
      <c r="C136" s="2257"/>
      <c r="D136" s="2259"/>
      <c r="E136" s="2261"/>
      <c r="F136" s="1285"/>
      <c r="G136" s="1226"/>
      <c r="H136" s="2250"/>
      <c r="I136" s="1287"/>
      <c r="J136" s="187" t="s">
        <v>9</v>
      </c>
      <c r="K136" s="1098">
        <f>SUM(K130:K135)</f>
        <v>3497596</v>
      </c>
      <c r="L136" s="25"/>
      <c r="M136" s="1198"/>
      <c r="P136" s="11"/>
    </row>
    <row r="137" spans="1:33" ht="14.25" customHeight="1" thickBot="1" x14ac:dyDescent="0.25">
      <c r="A137" s="1264" t="s">
        <v>8</v>
      </c>
      <c r="B137" s="1277" t="s">
        <v>45</v>
      </c>
      <c r="C137" s="2452" t="s">
        <v>11</v>
      </c>
      <c r="D137" s="2453"/>
      <c r="E137" s="2453"/>
      <c r="F137" s="2453"/>
      <c r="G137" s="2453"/>
      <c r="H137" s="2453"/>
      <c r="I137" s="2453"/>
      <c r="J137" s="2243"/>
      <c r="K137" s="1099">
        <f>K136</f>
        <v>3497596</v>
      </c>
      <c r="L137" s="2285"/>
      <c r="M137" s="2286"/>
    </row>
    <row r="138" spans="1:33" ht="14.25" customHeight="1" thickBot="1" x14ac:dyDescent="0.25">
      <c r="A138" s="303" t="s">
        <v>8</v>
      </c>
      <c r="B138" s="2454" t="s">
        <v>12</v>
      </c>
      <c r="C138" s="2455"/>
      <c r="D138" s="2455"/>
      <c r="E138" s="2455"/>
      <c r="F138" s="2455"/>
      <c r="G138" s="2455"/>
      <c r="H138" s="2455"/>
      <c r="I138" s="2455"/>
      <c r="J138" s="2456"/>
      <c r="K138" s="1100">
        <f>SUM(K97,K114,K121,K128,K137)</f>
        <v>11091748</v>
      </c>
      <c r="L138" s="2457"/>
      <c r="M138" s="2458"/>
    </row>
    <row r="139" spans="1:33" ht="14.25" customHeight="1" thickBot="1" x14ac:dyDescent="0.25">
      <c r="A139" s="79" t="s">
        <v>46</v>
      </c>
      <c r="B139" s="2459" t="s">
        <v>104</v>
      </c>
      <c r="C139" s="2460"/>
      <c r="D139" s="2460"/>
      <c r="E139" s="2460"/>
      <c r="F139" s="2460"/>
      <c r="G139" s="2460"/>
      <c r="H139" s="2460"/>
      <c r="I139" s="2460"/>
      <c r="J139" s="2461"/>
      <c r="K139" s="1101">
        <f t="shared" ref="K139" si="4">SUM(K138)</f>
        <v>11091748</v>
      </c>
      <c r="L139" s="2462"/>
      <c r="M139" s="2463"/>
    </row>
    <row r="140" spans="1:33" s="19" customFormat="1" ht="14.25" customHeight="1" x14ac:dyDescent="0.2">
      <c r="A140" s="2464" t="s">
        <v>381</v>
      </c>
      <c r="B140" s="2464"/>
      <c r="C140" s="2464"/>
      <c r="D140" s="2464"/>
      <c r="E140" s="2464"/>
      <c r="F140" s="2464"/>
      <c r="G140" s="2464"/>
      <c r="H140" s="2464"/>
      <c r="I140" s="2464"/>
      <c r="J140" s="2464"/>
      <c r="K140" s="2464"/>
      <c r="L140" s="2464"/>
      <c r="M140" s="2464"/>
      <c r="N140" s="18"/>
      <c r="O140" s="18"/>
      <c r="P140" s="18"/>
      <c r="Q140" s="18"/>
      <c r="R140" s="18"/>
      <c r="S140" s="18"/>
      <c r="T140" s="18"/>
      <c r="U140" s="18"/>
      <c r="V140" s="18"/>
      <c r="W140" s="18"/>
      <c r="X140" s="18"/>
      <c r="Y140" s="18"/>
      <c r="Z140" s="18"/>
      <c r="AA140" s="18"/>
      <c r="AB140" s="18"/>
      <c r="AC140" s="18"/>
      <c r="AD140" s="18"/>
      <c r="AE140" s="18"/>
      <c r="AF140" s="18"/>
      <c r="AG140" s="18"/>
    </row>
    <row r="141" spans="1:33" s="19" customFormat="1" ht="14.25" customHeight="1" x14ac:dyDescent="0.2">
      <c r="A141" s="2465"/>
      <c r="B141" s="2465"/>
      <c r="C141" s="2465"/>
      <c r="D141" s="2465"/>
      <c r="E141" s="2465"/>
      <c r="F141" s="2465"/>
      <c r="G141" s="2465"/>
      <c r="H141" s="2465"/>
      <c r="I141" s="2465"/>
      <c r="J141" s="2465"/>
      <c r="K141" s="2465"/>
      <c r="L141" s="56"/>
      <c r="M141" s="56"/>
      <c r="N141" s="18"/>
      <c r="O141" s="18"/>
      <c r="P141" s="18"/>
      <c r="Q141" s="18"/>
      <c r="R141" s="18"/>
      <c r="S141" s="18"/>
      <c r="T141" s="18"/>
      <c r="U141" s="18"/>
      <c r="V141" s="18"/>
      <c r="W141" s="18"/>
      <c r="X141" s="18"/>
      <c r="Y141" s="18"/>
    </row>
    <row r="142" spans="1:33" s="19" customFormat="1" ht="14.25" customHeight="1" thickBot="1" x14ac:dyDescent="0.25">
      <c r="A142" s="2466" t="s">
        <v>17</v>
      </c>
      <c r="B142" s="2466"/>
      <c r="C142" s="2466"/>
      <c r="D142" s="2466"/>
      <c r="E142" s="2466"/>
      <c r="F142" s="2466"/>
      <c r="G142" s="2466"/>
      <c r="H142" s="2466"/>
      <c r="I142" s="2466"/>
      <c r="J142" s="2466"/>
      <c r="K142" s="2466"/>
      <c r="L142" s="4"/>
      <c r="M142" s="4"/>
      <c r="N142" s="18"/>
      <c r="O142" s="18"/>
      <c r="P142" s="18"/>
      <c r="Q142" s="18"/>
      <c r="R142" s="18"/>
      <c r="S142" s="18"/>
      <c r="T142" s="18"/>
      <c r="U142" s="18"/>
      <c r="V142" s="18"/>
      <c r="W142" s="18"/>
      <c r="X142" s="18"/>
      <c r="Y142" s="18"/>
    </row>
    <row r="143" spans="1:33" ht="49.5" customHeight="1" thickBot="1" x14ac:dyDescent="0.25">
      <c r="A143" s="2449" t="s">
        <v>13</v>
      </c>
      <c r="B143" s="2450"/>
      <c r="C143" s="2450"/>
      <c r="D143" s="2450"/>
      <c r="E143" s="2450"/>
      <c r="F143" s="2450"/>
      <c r="G143" s="2450"/>
      <c r="H143" s="2450"/>
      <c r="I143" s="2450"/>
      <c r="J143" s="2451"/>
      <c r="K143" s="1084" t="s">
        <v>314</v>
      </c>
    </row>
    <row r="144" spans="1:33" ht="14.25" customHeight="1" x14ac:dyDescent="0.2">
      <c r="A144" s="2446" t="s">
        <v>18</v>
      </c>
      <c r="B144" s="2447"/>
      <c r="C144" s="2447"/>
      <c r="D144" s="2447"/>
      <c r="E144" s="2447"/>
      <c r="F144" s="2447"/>
      <c r="G144" s="2447"/>
      <c r="H144" s="2447"/>
      <c r="I144" s="2447"/>
      <c r="J144" s="2448"/>
      <c r="K144" s="1102">
        <f>K145+K152+K151</f>
        <v>10344082</v>
      </c>
      <c r="L144" s="51"/>
    </row>
    <row r="145" spans="1:16" ht="12.75" customHeight="1" x14ac:dyDescent="0.2">
      <c r="A145" s="2264" t="s">
        <v>370</v>
      </c>
      <c r="B145" s="2265"/>
      <c r="C145" s="2265"/>
      <c r="D145" s="2265"/>
      <c r="E145" s="2265"/>
      <c r="F145" s="2265"/>
      <c r="G145" s="2265"/>
      <c r="H145" s="2266"/>
      <c r="I145" s="2266"/>
      <c r="J145" s="2267"/>
      <c r="K145" s="1235">
        <f>K146+K147+K148+K149+K150</f>
        <v>10169663</v>
      </c>
      <c r="L145" s="51"/>
    </row>
    <row r="146" spans="1:16" ht="12.75" customHeight="1" x14ac:dyDescent="0.2">
      <c r="A146" s="2282" t="s">
        <v>24</v>
      </c>
      <c r="B146" s="2283"/>
      <c r="C146" s="2283"/>
      <c r="D146" s="2283"/>
      <c r="E146" s="2283"/>
      <c r="F146" s="2283"/>
      <c r="G146" s="2283"/>
      <c r="H146" s="2283"/>
      <c r="I146" s="2283"/>
      <c r="J146" s="2284"/>
      <c r="K146" s="1103">
        <f>SUMIF(J18:J139,"SB",K18:K139)</f>
        <v>10067568</v>
      </c>
      <c r="L146" s="69"/>
    </row>
    <row r="147" spans="1:16" ht="12.75" customHeight="1" x14ac:dyDescent="0.2">
      <c r="A147" s="2235" t="s">
        <v>382</v>
      </c>
      <c r="B147" s="2236"/>
      <c r="C147" s="2236"/>
      <c r="D147" s="2236"/>
      <c r="E147" s="2236"/>
      <c r="F147" s="2236"/>
      <c r="G147" s="2236"/>
      <c r="H147" s="2236"/>
      <c r="I147" s="2236"/>
      <c r="J147" s="2237"/>
      <c r="K147" s="1103">
        <f>SUMIF(J18:J139,"SB(SP)",K18:K139)</f>
        <v>34523</v>
      </c>
    </row>
    <row r="148" spans="1:16" ht="12.75" customHeight="1" x14ac:dyDescent="0.2">
      <c r="A148" s="2235" t="s">
        <v>128</v>
      </c>
      <c r="B148" s="2262"/>
      <c r="C148" s="2262"/>
      <c r="D148" s="2262"/>
      <c r="E148" s="2262"/>
      <c r="F148" s="2262"/>
      <c r="G148" s="2262"/>
      <c r="H148" s="2262"/>
      <c r="I148" s="2262"/>
      <c r="J148" s="2263"/>
      <c r="K148" s="1103">
        <f>SUMIF(J15:J136,"SB(VR)",K15:K136)</f>
        <v>59401</v>
      </c>
      <c r="L148" s="52"/>
      <c r="M148" s="1"/>
      <c r="N148" s="1"/>
      <c r="O148" s="1"/>
      <c r="P148" s="1"/>
    </row>
    <row r="149" spans="1:16" ht="12.75" customHeight="1" x14ac:dyDescent="0.2">
      <c r="A149" s="2235" t="s">
        <v>27</v>
      </c>
      <c r="B149" s="2236"/>
      <c r="C149" s="2236"/>
      <c r="D149" s="2236"/>
      <c r="E149" s="2236"/>
      <c r="F149" s="2236"/>
      <c r="G149" s="2236"/>
      <c r="H149" s="2236"/>
      <c r="I149" s="2236"/>
      <c r="J149" s="2237"/>
      <c r="K149" s="1103">
        <f>SUMIF(J15:J136,"SB(P)",K15:K136)</f>
        <v>0</v>
      </c>
    </row>
    <row r="150" spans="1:16" ht="12.75" customHeight="1" x14ac:dyDescent="0.2">
      <c r="A150" s="2235" t="s">
        <v>107</v>
      </c>
      <c r="B150" s="2236"/>
      <c r="C150" s="2236"/>
      <c r="D150" s="2236"/>
      <c r="E150" s="2236"/>
      <c r="F150" s="2236"/>
      <c r="G150" s="2236"/>
      <c r="H150" s="2236"/>
      <c r="I150" s="2236"/>
      <c r="J150" s="2237"/>
      <c r="K150" s="1103">
        <f>SUMIF(J17:J139,"SB(L)",K17:K139)</f>
        <v>8171</v>
      </c>
      <c r="L150" s="52"/>
      <c r="M150" s="1"/>
      <c r="N150" s="1"/>
      <c r="O150" s="1"/>
      <c r="P150" s="1"/>
    </row>
    <row r="151" spans="1:16" ht="12.75" customHeight="1" x14ac:dyDescent="0.2">
      <c r="A151" s="2268" t="s">
        <v>374</v>
      </c>
      <c r="B151" s="2274"/>
      <c r="C151" s="2274"/>
      <c r="D151" s="2274"/>
      <c r="E151" s="2274"/>
      <c r="F151" s="2274"/>
      <c r="G151" s="2274"/>
      <c r="H151" s="2274"/>
      <c r="I151" s="2274"/>
      <c r="J151" s="2275"/>
      <c r="K151" s="1236">
        <f>SUMIF(J18:J140,"SB(SPL)",K18:K140)</f>
        <v>2164</v>
      </c>
      <c r="L151" s="52"/>
      <c r="M151" s="1"/>
      <c r="N151" s="1"/>
      <c r="O151" s="1"/>
      <c r="P151" s="1"/>
    </row>
    <row r="152" spans="1:16" ht="12.75" customHeight="1" x14ac:dyDescent="0.2">
      <c r="A152" s="2268" t="s">
        <v>325</v>
      </c>
      <c r="B152" s="2269"/>
      <c r="C152" s="2269"/>
      <c r="D152" s="2269"/>
      <c r="E152" s="2269"/>
      <c r="F152" s="2269"/>
      <c r="G152" s="2269"/>
      <c r="H152" s="2269"/>
      <c r="I152" s="2269"/>
      <c r="J152" s="2270"/>
      <c r="K152" s="1236">
        <f>SUMIF(J18:J140,"SB(VRL)",K18:K140)</f>
        <v>172255</v>
      </c>
      <c r="L152" s="52"/>
      <c r="M152" s="1"/>
      <c r="N152" s="1"/>
      <c r="O152" s="1"/>
      <c r="P152" s="1"/>
    </row>
    <row r="153" spans="1:16" ht="12.75" customHeight="1" x14ac:dyDescent="0.2">
      <c r="A153" s="2271" t="s">
        <v>19</v>
      </c>
      <c r="B153" s="2272"/>
      <c r="C153" s="2272"/>
      <c r="D153" s="2272"/>
      <c r="E153" s="2272"/>
      <c r="F153" s="2272"/>
      <c r="G153" s="2272"/>
      <c r="H153" s="2272"/>
      <c r="I153" s="2272"/>
      <c r="J153" s="2273"/>
      <c r="K153" s="1104">
        <f ca="1">SUM(K154:K157)</f>
        <v>747666</v>
      </c>
    </row>
    <row r="154" spans="1:16" ht="12.75" customHeight="1" x14ac:dyDescent="0.2">
      <c r="A154" s="2276" t="s">
        <v>28</v>
      </c>
      <c r="B154" s="2277"/>
      <c r="C154" s="2277"/>
      <c r="D154" s="2277"/>
      <c r="E154" s="2277"/>
      <c r="F154" s="2277"/>
      <c r="G154" s="2277"/>
      <c r="H154" s="2277"/>
      <c r="I154" s="2277"/>
      <c r="J154" s="2278"/>
      <c r="K154" s="1103">
        <f>SUMIF(J18:J139,"ES",K18:K139)</f>
        <v>131782</v>
      </c>
    </row>
    <row r="155" spans="1:16" ht="12.75" customHeight="1" x14ac:dyDescent="0.2">
      <c r="A155" s="2279" t="s">
        <v>29</v>
      </c>
      <c r="B155" s="2280"/>
      <c r="C155" s="2280"/>
      <c r="D155" s="2280"/>
      <c r="E155" s="2280"/>
      <c r="F155" s="2280"/>
      <c r="G155" s="2280"/>
      <c r="H155" s="2280"/>
      <c r="I155" s="2280"/>
      <c r="J155" s="2281"/>
      <c r="K155" s="1103">
        <f ca="1">SUMIF(J15:J139,"KPP",K18:K139)</f>
        <v>0</v>
      </c>
    </row>
    <row r="156" spans="1:16" ht="13.5" customHeight="1" x14ac:dyDescent="0.2">
      <c r="A156" s="2235" t="s">
        <v>30</v>
      </c>
      <c r="B156" s="2236"/>
      <c r="C156" s="2236"/>
      <c r="D156" s="2236"/>
      <c r="E156" s="2236"/>
      <c r="F156" s="2236"/>
      <c r="G156" s="2236"/>
      <c r="H156" s="2236"/>
      <c r="I156" s="2236"/>
      <c r="J156" s="2237"/>
      <c r="K156" s="1103">
        <f>SUMIF(J18:J139,"LRVB",K18:K139)</f>
        <v>23758</v>
      </c>
    </row>
    <row r="157" spans="1:16" x14ac:dyDescent="0.2">
      <c r="A157" s="2235" t="s">
        <v>31</v>
      </c>
      <c r="B157" s="2236"/>
      <c r="C157" s="2236"/>
      <c r="D157" s="2236"/>
      <c r="E157" s="2236"/>
      <c r="F157" s="2236"/>
      <c r="G157" s="2236"/>
      <c r="H157" s="2236"/>
      <c r="I157" s="2236"/>
      <c r="J157" s="2237"/>
      <c r="K157" s="1103">
        <f>SUMIF(J18:J139,"Kt",K18:K139)</f>
        <v>592126</v>
      </c>
      <c r="M157" s="5"/>
    </row>
    <row r="158" spans="1:16" ht="13.5" thickBot="1" x14ac:dyDescent="0.25">
      <c r="A158" s="2238" t="s">
        <v>20</v>
      </c>
      <c r="B158" s="2239"/>
      <c r="C158" s="2239"/>
      <c r="D158" s="2239"/>
      <c r="E158" s="2239"/>
      <c r="F158" s="2239"/>
      <c r="G158" s="2239"/>
      <c r="H158" s="2239"/>
      <c r="I158" s="2239"/>
      <c r="J158" s="2240"/>
      <c r="K158" s="1105">
        <f ca="1">SUM(K144,K153)</f>
        <v>11091748</v>
      </c>
      <c r="M158" s="5"/>
    </row>
    <row r="159" spans="1:16" x14ac:dyDescent="0.2">
      <c r="K159" s="296"/>
      <c r="L159" s="1330"/>
      <c r="M159" s="5"/>
    </row>
  </sheetData>
  <mergeCells count="244">
    <mergeCell ref="A22:A29"/>
    <mergeCell ref="B22:B29"/>
    <mergeCell ref="G108:G109"/>
    <mergeCell ref="L1:M3"/>
    <mergeCell ref="L83:L84"/>
    <mergeCell ref="A6:M6"/>
    <mergeCell ref="E19:E21"/>
    <mergeCell ref="F19:F21"/>
    <mergeCell ref="G19:G21"/>
    <mergeCell ref="H19:H20"/>
    <mergeCell ref="I19:I21"/>
    <mergeCell ref="A13:M13"/>
    <mergeCell ref="A14:M14"/>
    <mergeCell ref="B15:M15"/>
    <mergeCell ref="C16:M16"/>
    <mergeCell ref="A19:A20"/>
    <mergeCell ref="B19:B20"/>
    <mergeCell ref="C19:C20"/>
    <mergeCell ref="D19:D21"/>
    <mergeCell ref="D46:D49"/>
    <mergeCell ref="E46:E49"/>
    <mergeCell ref="G46:G49"/>
    <mergeCell ref="I46:I49"/>
    <mergeCell ref="I50:J50"/>
    <mergeCell ref="I58:I62"/>
    <mergeCell ref="G60:G65"/>
    <mergeCell ref="E64:E66"/>
    <mergeCell ref="F36:F37"/>
    <mergeCell ref="I39:J39"/>
    <mergeCell ref="D41:D43"/>
    <mergeCell ref="E41:E43"/>
    <mergeCell ref="I69:J69"/>
    <mergeCell ref="I71:I74"/>
    <mergeCell ref="E58:E60"/>
    <mergeCell ref="F41:F43"/>
    <mergeCell ref="G41:G43"/>
    <mergeCell ref="H41:H43"/>
    <mergeCell ref="I41:I43"/>
    <mergeCell ref="A53:A55"/>
    <mergeCell ref="B53:B55"/>
    <mergeCell ref="C53:C55"/>
    <mergeCell ref="D53:D55"/>
    <mergeCell ref="E53:E55"/>
    <mergeCell ref="F53:F55"/>
    <mergeCell ref="G53:G55"/>
    <mergeCell ref="H53:H55"/>
    <mergeCell ref="I53:I56"/>
    <mergeCell ref="E56:E57"/>
    <mergeCell ref="G56:G57"/>
    <mergeCell ref="A83:A86"/>
    <mergeCell ref="B83:B86"/>
    <mergeCell ref="A87:A90"/>
    <mergeCell ref="B87:B90"/>
    <mergeCell ref="A71:A72"/>
    <mergeCell ref="B71:B72"/>
    <mergeCell ref="C71:C72"/>
    <mergeCell ref="D71:D72"/>
    <mergeCell ref="E71:E72"/>
    <mergeCell ref="C83:C86"/>
    <mergeCell ref="D83:D86"/>
    <mergeCell ref="E83:E86"/>
    <mergeCell ref="F83:F86"/>
    <mergeCell ref="G83:G86"/>
    <mergeCell ref="H83:H86"/>
    <mergeCell ref="I83:I85"/>
    <mergeCell ref="L85:L86"/>
    <mergeCell ref="C87:C90"/>
    <mergeCell ref="E88:E89"/>
    <mergeCell ref="F88:F89"/>
    <mergeCell ref="G88:G90"/>
    <mergeCell ref="I88:I89"/>
    <mergeCell ref="L119:L120"/>
    <mergeCell ref="C93:C94"/>
    <mergeCell ref="D93:D94"/>
    <mergeCell ref="E93:E94"/>
    <mergeCell ref="E103:E104"/>
    <mergeCell ref="I103:I104"/>
    <mergeCell ref="G103:G104"/>
    <mergeCell ref="C97:J97"/>
    <mergeCell ref="C98:M98"/>
    <mergeCell ref="G93:G94"/>
    <mergeCell ref="I93:I94"/>
    <mergeCell ref="I108:I110"/>
    <mergeCell ref="G110:G111"/>
    <mergeCell ref="I113:J113"/>
    <mergeCell ref="C114:J114"/>
    <mergeCell ref="L114:M114"/>
    <mergeCell ref="C115:M115"/>
    <mergeCell ref="L116:L118"/>
    <mergeCell ref="A144:J144"/>
    <mergeCell ref="A143:J143"/>
    <mergeCell ref="C137:J137"/>
    <mergeCell ref="B138:J138"/>
    <mergeCell ref="L138:M138"/>
    <mergeCell ref="B139:J139"/>
    <mergeCell ref="L139:M139"/>
    <mergeCell ref="A140:M140"/>
    <mergeCell ref="A141:K141"/>
    <mergeCell ref="A142:K142"/>
    <mergeCell ref="A7:M7"/>
    <mergeCell ref="A8:M8"/>
    <mergeCell ref="A10:A12"/>
    <mergeCell ref="B10:B12"/>
    <mergeCell ref="C10:C12"/>
    <mergeCell ref="D10:D12"/>
    <mergeCell ref="E10:E12"/>
    <mergeCell ref="F10:F12"/>
    <mergeCell ref="G10:G12"/>
    <mergeCell ref="H10:H12"/>
    <mergeCell ref="I10:I12"/>
    <mergeCell ref="J10:J12"/>
    <mergeCell ref="K10:K12"/>
    <mergeCell ref="L10:M10"/>
    <mergeCell ref="L11:L12"/>
    <mergeCell ref="C22:C29"/>
    <mergeCell ref="D22:D29"/>
    <mergeCell ref="E22:E29"/>
    <mergeCell ref="F22:F29"/>
    <mergeCell ref="G22:G29"/>
    <mergeCell ref="H22:H29"/>
    <mergeCell ref="I22:I24"/>
    <mergeCell ref="L22:L23"/>
    <mergeCell ref="E30:E35"/>
    <mergeCell ref="F30:F32"/>
    <mergeCell ref="G30:G35"/>
    <mergeCell ref="I30:I33"/>
    <mergeCell ref="F33:F35"/>
    <mergeCell ref="A44:A45"/>
    <mergeCell ref="B44:B45"/>
    <mergeCell ref="C44:C45"/>
    <mergeCell ref="D44:D45"/>
    <mergeCell ref="E44:E45"/>
    <mergeCell ref="G44:G45"/>
    <mergeCell ref="I44:I45"/>
    <mergeCell ref="A41:A43"/>
    <mergeCell ref="B41:B43"/>
    <mergeCell ref="C41:C43"/>
    <mergeCell ref="L71:L72"/>
    <mergeCell ref="M71:M72"/>
    <mergeCell ref="A73:A74"/>
    <mergeCell ref="B73:B74"/>
    <mergeCell ref="C73:C74"/>
    <mergeCell ref="D73:D74"/>
    <mergeCell ref="E73:E74"/>
    <mergeCell ref="F73:F74"/>
    <mergeCell ref="G73:G74"/>
    <mergeCell ref="H73:H74"/>
    <mergeCell ref="F71:F72"/>
    <mergeCell ref="G71:G72"/>
    <mergeCell ref="H71:H72"/>
    <mergeCell ref="L78:M78"/>
    <mergeCell ref="A79:A82"/>
    <mergeCell ref="B79:B82"/>
    <mergeCell ref="C79:C82"/>
    <mergeCell ref="D79:D82"/>
    <mergeCell ref="F79:F82"/>
    <mergeCell ref="G79:G82"/>
    <mergeCell ref="H79:H82"/>
    <mergeCell ref="I79:I81"/>
    <mergeCell ref="E81:E82"/>
    <mergeCell ref="E79:E80"/>
    <mergeCell ref="I78:J78"/>
    <mergeCell ref="I92:J92"/>
    <mergeCell ref="L92:M92"/>
    <mergeCell ref="A95:A96"/>
    <mergeCell ref="B95:B96"/>
    <mergeCell ref="C95:C96"/>
    <mergeCell ref="D95:D96"/>
    <mergeCell ref="E95:E96"/>
    <mergeCell ref="F95:F96"/>
    <mergeCell ref="G95:G96"/>
    <mergeCell ref="I95:I96"/>
    <mergeCell ref="A99:A104"/>
    <mergeCell ref="B99:B104"/>
    <mergeCell ref="C99:C104"/>
    <mergeCell ref="E100:E102"/>
    <mergeCell ref="G100:G102"/>
    <mergeCell ref="I100:I102"/>
    <mergeCell ref="E105:E106"/>
    <mergeCell ref="G105:G106"/>
    <mergeCell ref="I105:I106"/>
    <mergeCell ref="A116:A118"/>
    <mergeCell ref="B116:B118"/>
    <mergeCell ref="C116:C118"/>
    <mergeCell ref="D116:D118"/>
    <mergeCell ref="E116:E118"/>
    <mergeCell ref="F116:F118"/>
    <mergeCell ref="G116:G118"/>
    <mergeCell ref="H116:H118"/>
    <mergeCell ref="I116:I118"/>
    <mergeCell ref="A119:A120"/>
    <mergeCell ref="B119:B120"/>
    <mergeCell ref="C119:C120"/>
    <mergeCell ref="D119:D120"/>
    <mergeCell ref="E119:E120"/>
    <mergeCell ref="F119:F120"/>
    <mergeCell ref="G119:G120"/>
    <mergeCell ref="H119:H120"/>
    <mergeCell ref="I119:I120"/>
    <mergeCell ref="C121:J121"/>
    <mergeCell ref="L121:M121"/>
    <mergeCell ref="C122:M122"/>
    <mergeCell ref="A123:A124"/>
    <mergeCell ref="B123:B124"/>
    <mergeCell ref="C123:C124"/>
    <mergeCell ref="D123:D124"/>
    <mergeCell ref="E123:E124"/>
    <mergeCell ref="F123:F124"/>
    <mergeCell ref="G123:G124"/>
    <mergeCell ref="H123:H124"/>
    <mergeCell ref="I123:I124"/>
    <mergeCell ref="A125:A127"/>
    <mergeCell ref="B125:B127"/>
    <mergeCell ref="C125:C127"/>
    <mergeCell ref="D125:D127"/>
    <mergeCell ref="E125:E127"/>
    <mergeCell ref="F125:F127"/>
    <mergeCell ref="G125:G127"/>
    <mergeCell ref="H125:H127"/>
    <mergeCell ref="I125:I127"/>
    <mergeCell ref="A157:J157"/>
    <mergeCell ref="A158:J158"/>
    <mergeCell ref="C128:J128"/>
    <mergeCell ref="C129:M129"/>
    <mergeCell ref="H130:H136"/>
    <mergeCell ref="I131:I134"/>
    <mergeCell ref="A135:A136"/>
    <mergeCell ref="B135:B136"/>
    <mergeCell ref="C135:C136"/>
    <mergeCell ref="D135:D136"/>
    <mergeCell ref="E135:E136"/>
    <mergeCell ref="A148:J148"/>
    <mergeCell ref="A145:J145"/>
    <mergeCell ref="A152:J152"/>
    <mergeCell ref="A153:J153"/>
    <mergeCell ref="A151:J151"/>
    <mergeCell ref="A156:J156"/>
    <mergeCell ref="A154:J154"/>
    <mergeCell ref="A155:J155"/>
    <mergeCell ref="A146:J146"/>
    <mergeCell ref="A147:J147"/>
    <mergeCell ref="A150:J150"/>
    <mergeCell ref="A149:J149"/>
    <mergeCell ref="L137:M137"/>
  </mergeCells>
  <pageMargins left="0.78740157480314965" right="0" top="0.19685039370078741" bottom="0.19685039370078741" header="0" footer="0"/>
  <pageSetup paperSize="9" scale="78" orientation="portrait" r:id="rId1"/>
  <rowBreaks count="2" manualBreakCount="2">
    <brk id="85" max="12" man="1"/>
    <brk id="122" max="1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91"/>
  <sheetViews>
    <sheetView topLeftCell="A125" workbookViewId="0">
      <selection activeCell="K114" sqref="K114"/>
    </sheetView>
  </sheetViews>
  <sheetFormatPr defaultRowHeight="12.75" x14ac:dyDescent="0.2"/>
  <cols>
    <col min="1" max="4" width="2.7109375" style="8" customWidth="1"/>
    <col min="5" max="5" width="29.28515625" style="8" customWidth="1"/>
    <col min="6" max="6" width="2.7109375" style="43" customWidth="1"/>
    <col min="7" max="7" width="2.7109375" style="8" customWidth="1"/>
    <col min="8" max="8" width="2.7109375" style="58" customWidth="1"/>
    <col min="9" max="9" width="12.85546875" style="58" customWidth="1"/>
    <col min="10" max="10" width="7.42578125" style="75" customWidth="1"/>
    <col min="11" max="11" width="7.140625" style="8" customWidth="1"/>
    <col min="12" max="12" width="7.7109375" style="8" customWidth="1"/>
    <col min="13" max="13" width="6.7109375" style="8" customWidth="1"/>
    <col min="14" max="14" width="8.7109375" style="8" customWidth="1"/>
    <col min="15" max="17" width="7.7109375" style="8" customWidth="1"/>
    <col min="18" max="18" width="7.42578125" style="8" customWidth="1"/>
    <col min="19" max="19" width="0.140625" style="8" hidden="1" customWidth="1"/>
    <col min="20" max="20" width="7.140625" style="8" hidden="1" customWidth="1"/>
    <col min="21" max="21" width="6.140625" style="8" hidden="1" customWidth="1"/>
    <col min="22" max="22" width="6.7109375" style="8" hidden="1" customWidth="1"/>
    <col min="23" max="23" width="8.5703125" style="8" customWidth="1"/>
    <col min="24" max="24" width="7.140625" style="8" customWidth="1"/>
    <col min="25" max="25" width="36.140625" style="8" customWidth="1"/>
    <col min="26" max="26" width="6.42578125" style="8" customWidth="1"/>
    <col min="27" max="27" width="5.7109375" style="8" customWidth="1"/>
    <col min="28" max="28" width="6.7109375" style="8" customWidth="1"/>
    <col min="29" max="16384" width="9.140625" style="5"/>
  </cols>
  <sheetData>
    <row r="1" spans="1:32" ht="15.75" x14ac:dyDescent="0.2">
      <c r="A1" s="2530" t="s">
        <v>164</v>
      </c>
      <c r="B1" s="2530"/>
      <c r="C1" s="2530"/>
      <c r="D1" s="2530"/>
      <c r="E1" s="2530"/>
      <c r="F1" s="2530"/>
      <c r="G1" s="2530"/>
      <c r="H1" s="2530"/>
      <c r="I1" s="2530"/>
      <c r="J1" s="2530"/>
      <c r="K1" s="2530"/>
      <c r="L1" s="2530"/>
      <c r="M1" s="2530"/>
      <c r="N1" s="2530"/>
      <c r="O1" s="2530"/>
      <c r="P1" s="2530"/>
      <c r="Q1" s="2530"/>
      <c r="R1" s="2530"/>
      <c r="S1" s="2530"/>
      <c r="T1" s="2530"/>
      <c r="U1" s="2530"/>
      <c r="V1" s="2530"/>
      <c r="W1" s="2530"/>
      <c r="X1" s="2530"/>
      <c r="Y1" s="2530"/>
      <c r="Z1" s="2530"/>
      <c r="AA1" s="2530"/>
      <c r="AB1" s="2530"/>
    </row>
    <row r="2" spans="1:32" ht="15.75" x14ac:dyDescent="0.2">
      <c r="A2" s="2417" t="s">
        <v>34</v>
      </c>
      <c r="B2" s="2417"/>
      <c r="C2" s="2417"/>
      <c r="D2" s="2417"/>
      <c r="E2" s="2417"/>
      <c r="F2" s="2417"/>
      <c r="G2" s="2417"/>
      <c r="H2" s="2417"/>
      <c r="I2" s="2417"/>
      <c r="J2" s="2417"/>
      <c r="K2" s="2417"/>
      <c r="L2" s="2417"/>
      <c r="M2" s="2417"/>
      <c r="N2" s="2417"/>
      <c r="O2" s="2417"/>
      <c r="P2" s="2417"/>
      <c r="Q2" s="2417"/>
      <c r="R2" s="2417"/>
      <c r="S2" s="2417"/>
      <c r="T2" s="2417"/>
      <c r="U2" s="2417"/>
      <c r="V2" s="2417"/>
      <c r="W2" s="2417"/>
      <c r="X2" s="2417"/>
      <c r="Y2" s="2417"/>
      <c r="Z2" s="2417"/>
      <c r="AA2" s="2417"/>
      <c r="AB2" s="2417"/>
    </row>
    <row r="3" spans="1:32" ht="15.75" x14ac:dyDescent="0.2">
      <c r="A3" s="2418" t="s">
        <v>22</v>
      </c>
      <c r="B3" s="2418"/>
      <c r="C3" s="2418"/>
      <c r="D3" s="2418"/>
      <c r="E3" s="2418"/>
      <c r="F3" s="2418"/>
      <c r="G3" s="2418"/>
      <c r="H3" s="2418"/>
      <c r="I3" s="2418"/>
      <c r="J3" s="2418"/>
      <c r="K3" s="2418"/>
      <c r="L3" s="2418"/>
      <c r="M3" s="2418"/>
      <c r="N3" s="2418"/>
      <c r="O3" s="2418"/>
      <c r="P3" s="2418"/>
      <c r="Q3" s="2418"/>
      <c r="R3" s="2418"/>
      <c r="S3" s="2418"/>
      <c r="T3" s="2418"/>
      <c r="U3" s="2418"/>
      <c r="V3" s="2418"/>
      <c r="W3" s="2418"/>
      <c r="X3" s="2418"/>
      <c r="Y3" s="2418"/>
      <c r="Z3" s="2418"/>
      <c r="AA3" s="2418"/>
      <c r="AB3" s="2418"/>
      <c r="AC3" s="1"/>
      <c r="AD3" s="1"/>
      <c r="AE3" s="1"/>
      <c r="AF3" s="1"/>
    </row>
    <row r="4" spans="1:32" ht="13.5" thickBot="1" x14ac:dyDescent="0.25">
      <c r="Z4" s="2553" t="s">
        <v>0</v>
      </c>
      <c r="AA4" s="2553"/>
      <c r="AB4" s="2553"/>
    </row>
    <row r="5" spans="1:32" x14ac:dyDescent="0.2">
      <c r="A5" s="2419" t="s">
        <v>23</v>
      </c>
      <c r="B5" s="2422" t="s">
        <v>1</v>
      </c>
      <c r="C5" s="2422" t="s">
        <v>2</v>
      </c>
      <c r="D5" s="2422" t="s">
        <v>142</v>
      </c>
      <c r="E5" s="2425" t="s">
        <v>15</v>
      </c>
      <c r="F5" s="2428" t="s">
        <v>3</v>
      </c>
      <c r="G5" s="2422" t="s">
        <v>143</v>
      </c>
      <c r="H5" s="2574" t="s">
        <v>4</v>
      </c>
      <c r="I5" s="2436" t="s">
        <v>144</v>
      </c>
      <c r="J5" s="2439" t="s">
        <v>5</v>
      </c>
      <c r="K5" s="2563" t="s">
        <v>276</v>
      </c>
      <c r="L5" s="2564"/>
      <c r="M5" s="2564"/>
      <c r="N5" s="2565"/>
      <c r="O5" s="2563" t="s">
        <v>160</v>
      </c>
      <c r="P5" s="2564"/>
      <c r="Q5" s="2564"/>
      <c r="R5" s="2565"/>
      <c r="S5" s="2563" t="s">
        <v>161</v>
      </c>
      <c r="T5" s="2564"/>
      <c r="U5" s="2564"/>
      <c r="V5" s="2565"/>
      <c r="W5" s="2566" t="s">
        <v>111</v>
      </c>
      <c r="X5" s="2566" t="s">
        <v>162</v>
      </c>
      <c r="Y5" s="2569" t="s">
        <v>14</v>
      </c>
      <c r="Z5" s="2570"/>
      <c r="AA5" s="2570"/>
      <c r="AB5" s="2571"/>
    </row>
    <row r="6" spans="1:32" x14ac:dyDescent="0.2">
      <c r="A6" s="2420"/>
      <c r="B6" s="2423"/>
      <c r="C6" s="2423"/>
      <c r="D6" s="2423"/>
      <c r="E6" s="2426"/>
      <c r="F6" s="2429"/>
      <c r="G6" s="2423"/>
      <c r="H6" s="2575"/>
      <c r="I6" s="2437"/>
      <c r="J6" s="2440"/>
      <c r="K6" s="2554" t="s">
        <v>6</v>
      </c>
      <c r="L6" s="2556" t="s">
        <v>7</v>
      </c>
      <c r="M6" s="2557"/>
      <c r="N6" s="2572" t="s">
        <v>21</v>
      </c>
      <c r="O6" s="2554" t="s">
        <v>6</v>
      </c>
      <c r="P6" s="2556" t="s">
        <v>7</v>
      </c>
      <c r="Q6" s="2557"/>
      <c r="R6" s="2572" t="s">
        <v>21</v>
      </c>
      <c r="S6" s="2554" t="s">
        <v>6</v>
      </c>
      <c r="T6" s="2556" t="s">
        <v>7</v>
      </c>
      <c r="U6" s="2557"/>
      <c r="V6" s="2558" t="s">
        <v>21</v>
      </c>
      <c r="W6" s="2567"/>
      <c r="X6" s="2567"/>
      <c r="Y6" s="2444" t="s">
        <v>15</v>
      </c>
      <c r="Z6" s="2560" t="s">
        <v>247</v>
      </c>
      <c r="AA6" s="2561"/>
      <c r="AB6" s="2562"/>
    </row>
    <row r="7" spans="1:32" ht="61.5" thickBot="1" x14ac:dyDescent="0.25">
      <c r="A7" s="2421"/>
      <c r="B7" s="2424"/>
      <c r="C7" s="2424"/>
      <c r="D7" s="2424"/>
      <c r="E7" s="2427"/>
      <c r="F7" s="2430"/>
      <c r="G7" s="2424"/>
      <c r="H7" s="2576"/>
      <c r="I7" s="2438"/>
      <c r="J7" s="2441"/>
      <c r="K7" s="2555"/>
      <c r="L7" s="7" t="s">
        <v>6</v>
      </c>
      <c r="M7" s="6" t="s">
        <v>16</v>
      </c>
      <c r="N7" s="2573"/>
      <c r="O7" s="2555"/>
      <c r="P7" s="7" t="s">
        <v>6</v>
      </c>
      <c r="Q7" s="6" t="s">
        <v>16</v>
      </c>
      <c r="R7" s="2573"/>
      <c r="S7" s="2555"/>
      <c r="T7" s="7" t="s">
        <v>6</v>
      </c>
      <c r="U7" s="6" t="s">
        <v>16</v>
      </c>
      <c r="V7" s="2559"/>
      <c r="W7" s="2568"/>
      <c r="X7" s="2568"/>
      <c r="Y7" s="2445"/>
      <c r="Z7" s="444" t="s">
        <v>32</v>
      </c>
      <c r="AA7" s="444" t="s">
        <v>112</v>
      </c>
      <c r="AB7" s="445" t="s">
        <v>163</v>
      </c>
    </row>
    <row r="8" spans="1:32" s="27" customFormat="1" ht="13.5" customHeight="1" x14ac:dyDescent="0.2">
      <c r="A8" s="2536" t="s">
        <v>109</v>
      </c>
      <c r="B8" s="2537"/>
      <c r="C8" s="2537"/>
      <c r="D8" s="2537"/>
      <c r="E8" s="2537"/>
      <c r="F8" s="2537"/>
      <c r="G8" s="2537"/>
      <c r="H8" s="2537"/>
      <c r="I8" s="2537"/>
      <c r="J8" s="2537"/>
      <c r="K8" s="2537"/>
      <c r="L8" s="2537"/>
      <c r="M8" s="2537"/>
      <c r="N8" s="2537"/>
      <c r="O8" s="2537"/>
      <c r="P8" s="2537"/>
      <c r="Q8" s="2537"/>
      <c r="R8" s="2537"/>
      <c r="S8" s="2537"/>
      <c r="T8" s="2537"/>
      <c r="U8" s="2537"/>
      <c r="V8" s="2537"/>
      <c r="W8" s="2537"/>
      <c r="X8" s="2537"/>
      <c r="Y8" s="2537"/>
      <c r="Z8" s="2537"/>
      <c r="AA8" s="2537"/>
      <c r="AB8" s="2538"/>
    </row>
    <row r="9" spans="1:32" s="27" customFormat="1" ht="15" customHeight="1" x14ac:dyDescent="0.2">
      <c r="A9" s="2539" t="s">
        <v>71</v>
      </c>
      <c r="B9" s="2540"/>
      <c r="C9" s="2540"/>
      <c r="D9" s="2540"/>
      <c r="E9" s="2540"/>
      <c r="F9" s="2540"/>
      <c r="G9" s="2540"/>
      <c r="H9" s="2540"/>
      <c r="I9" s="2540"/>
      <c r="J9" s="2540"/>
      <c r="K9" s="2540"/>
      <c r="L9" s="2540"/>
      <c r="M9" s="2540"/>
      <c r="N9" s="2540"/>
      <c r="O9" s="2540"/>
      <c r="P9" s="2540"/>
      <c r="Q9" s="2540"/>
      <c r="R9" s="2540"/>
      <c r="S9" s="2540"/>
      <c r="T9" s="2540"/>
      <c r="U9" s="2540"/>
      <c r="V9" s="2540"/>
      <c r="W9" s="2540"/>
      <c r="X9" s="2540"/>
      <c r="Y9" s="2540"/>
      <c r="Z9" s="2540"/>
      <c r="AA9" s="2540"/>
      <c r="AB9" s="2541"/>
    </row>
    <row r="10" spans="1:32" ht="14.25" customHeight="1" x14ac:dyDescent="0.2">
      <c r="A10" s="299" t="s">
        <v>8</v>
      </c>
      <c r="B10" s="2542" t="s">
        <v>110</v>
      </c>
      <c r="C10" s="2543"/>
      <c r="D10" s="2543"/>
      <c r="E10" s="2543"/>
      <c r="F10" s="2543"/>
      <c r="G10" s="2543"/>
      <c r="H10" s="2543"/>
      <c r="I10" s="2543"/>
      <c r="J10" s="2543"/>
      <c r="K10" s="2543"/>
      <c r="L10" s="2543"/>
      <c r="M10" s="2543"/>
      <c r="N10" s="2543"/>
      <c r="O10" s="2543"/>
      <c r="P10" s="2543"/>
      <c r="Q10" s="2543"/>
      <c r="R10" s="2543"/>
      <c r="S10" s="2543"/>
      <c r="T10" s="2543"/>
      <c r="U10" s="2543"/>
      <c r="V10" s="2543"/>
      <c r="W10" s="2543"/>
      <c r="X10" s="2543"/>
      <c r="Y10" s="2543"/>
      <c r="Z10" s="2543"/>
      <c r="AA10" s="2543"/>
      <c r="AB10" s="2544"/>
    </row>
    <row r="11" spans="1:32" ht="17.25" customHeight="1" x14ac:dyDescent="0.2">
      <c r="A11" s="679" t="s">
        <v>8</v>
      </c>
      <c r="B11" s="630" t="s">
        <v>8</v>
      </c>
      <c r="C11" s="2545" t="s">
        <v>58</v>
      </c>
      <c r="D11" s="2546"/>
      <c r="E11" s="2546"/>
      <c r="F11" s="2546"/>
      <c r="G11" s="2546"/>
      <c r="H11" s="2546"/>
      <c r="I11" s="2546"/>
      <c r="J11" s="2546"/>
      <c r="K11" s="2546"/>
      <c r="L11" s="2546"/>
      <c r="M11" s="2546"/>
      <c r="N11" s="2546"/>
      <c r="O11" s="2546"/>
      <c r="P11" s="2546"/>
      <c r="Q11" s="2546"/>
      <c r="R11" s="2546"/>
      <c r="S11" s="2546"/>
      <c r="T11" s="2546"/>
      <c r="U11" s="2546"/>
      <c r="V11" s="2546"/>
      <c r="W11" s="2546"/>
      <c r="X11" s="2546"/>
      <c r="Y11" s="2546"/>
      <c r="Z11" s="2546"/>
      <c r="AA11" s="2546"/>
      <c r="AB11" s="2547"/>
    </row>
    <row r="12" spans="1:32" x14ac:dyDescent="0.2">
      <c r="A12" s="2577" t="s">
        <v>8</v>
      </c>
      <c r="B12" s="2579" t="s">
        <v>8</v>
      </c>
      <c r="C12" s="2333" t="s">
        <v>8</v>
      </c>
      <c r="D12" s="2382"/>
      <c r="E12" s="2580" t="s">
        <v>91</v>
      </c>
      <c r="F12" s="2582"/>
      <c r="G12" s="2291"/>
      <c r="H12" s="2300"/>
      <c r="I12" s="697"/>
      <c r="J12" s="542" t="s">
        <v>33</v>
      </c>
      <c r="K12" s="243"/>
      <c r="L12" s="221"/>
      <c r="M12" s="221"/>
      <c r="N12" s="222"/>
      <c r="O12" s="243"/>
      <c r="P12" s="221"/>
      <c r="Q12" s="221"/>
      <c r="R12" s="222"/>
      <c r="S12" s="141"/>
      <c r="T12" s="142"/>
      <c r="U12" s="142"/>
      <c r="V12" s="143"/>
      <c r="W12" s="59"/>
      <c r="X12" s="59"/>
      <c r="Y12" s="2584"/>
      <c r="Z12" s="2585"/>
      <c r="AA12" s="2585"/>
      <c r="AB12" s="2588"/>
    </row>
    <row r="13" spans="1:32" x14ac:dyDescent="0.2">
      <c r="A13" s="2578"/>
      <c r="B13" s="2289"/>
      <c r="C13" s="2333"/>
      <c r="D13" s="2401"/>
      <c r="E13" s="2581"/>
      <c r="F13" s="2531"/>
      <c r="G13" s="2583"/>
      <c r="H13" s="2389"/>
      <c r="I13" s="466"/>
      <c r="J13" s="532" t="s">
        <v>106</v>
      </c>
      <c r="K13" s="526"/>
      <c r="L13" s="227"/>
      <c r="M13" s="227"/>
      <c r="N13" s="229"/>
      <c r="O13" s="526"/>
      <c r="P13" s="227"/>
      <c r="Q13" s="227"/>
      <c r="R13" s="229"/>
      <c r="S13" s="147"/>
      <c r="T13" s="148"/>
      <c r="U13" s="148"/>
      <c r="V13" s="149"/>
      <c r="W13" s="46"/>
      <c r="X13" s="46"/>
      <c r="Y13" s="2584"/>
      <c r="Z13" s="2585"/>
      <c r="AA13" s="2585"/>
      <c r="AB13" s="2588"/>
    </row>
    <row r="14" spans="1:32" ht="25.5" x14ac:dyDescent="0.2">
      <c r="A14" s="707"/>
      <c r="B14" s="630"/>
      <c r="C14" s="690"/>
      <c r="D14" s="708" t="s">
        <v>8</v>
      </c>
      <c r="E14" s="541" t="s">
        <v>40</v>
      </c>
      <c r="F14" s="677"/>
      <c r="G14" s="709" t="s">
        <v>39</v>
      </c>
      <c r="H14" s="652" t="s">
        <v>36</v>
      </c>
      <c r="I14" s="537" t="s">
        <v>170</v>
      </c>
      <c r="J14" s="533" t="s">
        <v>33</v>
      </c>
      <c r="K14" s="526">
        <f>L14+N14</f>
        <v>225</v>
      </c>
      <c r="L14" s="227">
        <v>225</v>
      </c>
      <c r="M14" s="227"/>
      <c r="N14" s="229"/>
      <c r="O14" s="527">
        <f>P14+R14</f>
        <v>260</v>
      </c>
      <c r="P14" s="230">
        <v>260</v>
      </c>
      <c r="Q14" s="231"/>
      <c r="R14" s="518"/>
      <c r="S14" s="724">
        <f>T14+V14</f>
        <v>0</v>
      </c>
      <c r="T14" s="148">
        <v>0</v>
      </c>
      <c r="U14" s="148"/>
      <c r="V14" s="149"/>
      <c r="W14" s="725">
        <v>280</v>
      </c>
      <c r="X14" s="725">
        <v>308</v>
      </c>
      <c r="Y14" s="726" t="s">
        <v>81</v>
      </c>
      <c r="Z14" s="727">
        <v>3.38</v>
      </c>
      <c r="AA14" s="727">
        <v>3.39</v>
      </c>
      <c r="AB14" s="728">
        <v>3.4</v>
      </c>
    </row>
    <row r="15" spans="1:32" x14ac:dyDescent="0.2">
      <c r="A15" s="2578"/>
      <c r="B15" s="2289"/>
      <c r="C15" s="2333"/>
      <c r="D15" s="2381" t="s">
        <v>10</v>
      </c>
      <c r="E15" s="2260" t="s">
        <v>41</v>
      </c>
      <c r="F15" s="2531" t="s">
        <v>194</v>
      </c>
      <c r="G15" s="2589" t="s">
        <v>39</v>
      </c>
      <c r="H15" s="2388" t="s">
        <v>36</v>
      </c>
      <c r="I15" s="2533" t="s">
        <v>145</v>
      </c>
      <c r="J15" s="200" t="s">
        <v>33</v>
      </c>
      <c r="K15" s="330">
        <f>L15+N15</f>
        <v>29</v>
      </c>
      <c r="L15" s="255">
        <v>29</v>
      </c>
      <c r="M15" s="255"/>
      <c r="N15" s="256"/>
      <c r="O15" s="527">
        <f>P15+R15</f>
        <v>57.6</v>
      </c>
      <c r="P15" s="230">
        <v>52.8</v>
      </c>
      <c r="Q15" s="230"/>
      <c r="R15" s="519">
        <v>4.8</v>
      </c>
      <c r="S15" s="729">
        <f>T15+V15</f>
        <v>0</v>
      </c>
      <c r="T15" s="150">
        <v>0</v>
      </c>
      <c r="U15" s="150"/>
      <c r="V15" s="151"/>
      <c r="W15" s="730">
        <v>52.8</v>
      </c>
      <c r="X15" s="730">
        <v>52.8</v>
      </c>
      <c r="Y15" s="611" t="s">
        <v>43</v>
      </c>
      <c r="Z15" s="446">
        <v>2</v>
      </c>
      <c r="AA15" s="446">
        <v>3</v>
      </c>
      <c r="AB15" s="447">
        <v>3</v>
      </c>
    </row>
    <row r="16" spans="1:32" x14ac:dyDescent="0.2">
      <c r="A16" s="2578"/>
      <c r="B16" s="2289"/>
      <c r="C16" s="2333"/>
      <c r="D16" s="2328"/>
      <c r="E16" s="2520"/>
      <c r="F16" s="2531"/>
      <c r="G16" s="2590"/>
      <c r="H16" s="2300"/>
      <c r="I16" s="2534"/>
      <c r="J16" s="332"/>
      <c r="K16" s="526"/>
      <c r="L16" s="252"/>
      <c r="M16" s="252"/>
      <c r="N16" s="229"/>
      <c r="O16" s="528"/>
      <c r="P16" s="515"/>
      <c r="Q16" s="515"/>
      <c r="R16" s="520"/>
      <c r="S16" s="731">
        <f>T16+V16</f>
        <v>0</v>
      </c>
      <c r="T16" s="732"/>
      <c r="U16" s="732"/>
      <c r="V16" s="733"/>
      <c r="W16" s="94"/>
      <c r="X16" s="94"/>
      <c r="Y16" s="479" t="s">
        <v>277</v>
      </c>
      <c r="Z16" s="346">
        <v>3</v>
      </c>
      <c r="AA16" s="346">
        <v>3</v>
      </c>
      <c r="AB16" s="347">
        <v>3</v>
      </c>
    </row>
    <row r="17" spans="1:29" x14ac:dyDescent="0.2">
      <c r="A17" s="707"/>
      <c r="B17" s="630"/>
      <c r="C17" s="690"/>
      <c r="D17" s="2382"/>
      <c r="E17" s="2521"/>
      <c r="F17" s="2532"/>
      <c r="G17" s="670"/>
      <c r="H17" s="652"/>
      <c r="I17" s="2535"/>
      <c r="J17" s="14"/>
      <c r="K17" s="526"/>
      <c r="L17" s="252"/>
      <c r="M17" s="252"/>
      <c r="N17" s="229"/>
      <c r="O17" s="528"/>
      <c r="P17" s="515"/>
      <c r="Q17" s="515"/>
      <c r="R17" s="520"/>
      <c r="S17" s="177"/>
      <c r="T17" s="142"/>
      <c r="U17" s="142"/>
      <c r="V17" s="143"/>
      <c r="W17" s="94"/>
      <c r="X17" s="94"/>
      <c r="Y17" s="612" t="s">
        <v>278</v>
      </c>
      <c r="Z17" s="660">
        <v>1</v>
      </c>
      <c r="AA17" s="660"/>
      <c r="AB17" s="661"/>
    </row>
    <row r="18" spans="1:29" x14ac:dyDescent="0.2">
      <c r="A18" s="2578"/>
      <c r="B18" s="2289"/>
      <c r="C18" s="2333"/>
      <c r="D18" s="2401" t="s">
        <v>35</v>
      </c>
      <c r="E18" s="2277" t="s">
        <v>42</v>
      </c>
      <c r="F18" s="2402"/>
      <c r="G18" s="2599" t="s">
        <v>39</v>
      </c>
      <c r="H18" s="2389" t="s">
        <v>36</v>
      </c>
      <c r="I18" s="2406" t="s">
        <v>145</v>
      </c>
      <c r="J18" s="10" t="s">
        <v>33</v>
      </c>
      <c r="K18" s="527">
        <f>L18+N18</f>
        <v>325.7</v>
      </c>
      <c r="L18" s="255">
        <v>225.8</v>
      </c>
      <c r="M18" s="255"/>
      <c r="N18" s="256">
        <v>99.9</v>
      </c>
      <c r="O18" s="527">
        <f>P18+R18</f>
        <v>314.5</v>
      </c>
      <c r="P18" s="230">
        <f>309.3-37.3</f>
        <v>272</v>
      </c>
      <c r="Q18" s="230"/>
      <c r="R18" s="519">
        <v>42.5</v>
      </c>
      <c r="S18" s="729">
        <f>T18+V18</f>
        <v>0</v>
      </c>
      <c r="T18" s="150">
        <v>0</v>
      </c>
      <c r="U18" s="150"/>
      <c r="V18" s="151">
        <v>0</v>
      </c>
      <c r="W18" s="725">
        <v>363.2</v>
      </c>
      <c r="X18" s="725">
        <v>366.6</v>
      </c>
      <c r="Y18" s="2586" t="s">
        <v>279</v>
      </c>
      <c r="Z18" s="446">
        <v>25</v>
      </c>
      <c r="AA18" s="446">
        <v>30</v>
      </c>
      <c r="AB18" s="447">
        <v>35</v>
      </c>
    </row>
    <row r="19" spans="1:29" x14ac:dyDescent="0.2">
      <c r="A19" s="2578"/>
      <c r="B19" s="2289"/>
      <c r="C19" s="2333"/>
      <c r="D19" s="2401"/>
      <c r="E19" s="2280"/>
      <c r="F19" s="2402"/>
      <c r="G19" s="2600"/>
      <c r="H19" s="2405"/>
      <c r="I19" s="2407"/>
      <c r="J19" s="332" t="s">
        <v>106</v>
      </c>
      <c r="K19" s="527">
        <f>L19+N19</f>
        <v>171.5</v>
      </c>
      <c r="L19" s="255">
        <v>133.69999999999999</v>
      </c>
      <c r="M19" s="255"/>
      <c r="N19" s="256">
        <v>37.799999999999997</v>
      </c>
      <c r="O19" s="527">
        <f>P19+R19</f>
        <v>0</v>
      </c>
      <c r="P19" s="230"/>
      <c r="Q19" s="230"/>
      <c r="R19" s="518"/>
      <c r="S19" s="731"/>
      <c r="T19" s="732"/>
      <c r="U19" s="732"/>
      <c r="V19" s="733"/>
      <c r="W19" s="46"/>
      <c r="X19" s="46"/>
      <c r="Y19" s="2587"/>
      <c r="Z19" s="660"/>
      <c r="AA19" s="660"/>
      <c r="AB19" s="661"/>
    </row>
    <row r="20" spans="1:29" ht="30" customHeight="1" x14ac:dyDescent="0.2">
      <c r="A20" s="2578"/>
      <c r="B20" s="2289"/>
      <c r="C20" s="2333"/>
      <c r="D20" s="2401"/>
      <c r="E20" s="2280"/>
      <c r="F20" s="2402"/>
      <c r="G20" s="2600"/>
      <c r="H20" s="2405"/>
      <c r="I20" s="2407"/>
      <c r="J20" s="14"/>
      <c r="K20" s="734"/>
      <c r="L20" s="249"/>
      <c r="M20" s="249"/>
      <c r="N20" s="225"/>
      <c r="O20" s="544"/>
      <c r="P20" s="545"/>
      <c r="Q20" s="545"/>
      <c r="R20" s="546"/>
      <c r="S20" s="735"/>
      <c r="T20" s="145"/>
      <c r="U20" s="145"/>
      <c r="V20" s="146"/>
      <c r="W20" s="736"/>
      <c r="X20" s="736"/>
      <c r="Y20" s="737" t="s">
        <v>280</v>
      </c>
      <c r="Z20" s="460">
        <v>111</v>
      </c>
      <c r="AA20" s="460">
        <v>112</v>
      </c>
      <c r="AB20" s="347">
        <v>112</v>
      </c>
    </row>
    <row r="21" spans="1:29" ht="27" customHeight="1" x14ac:dyDescent="0.2">
      <c r="A21" s="2578"/>
      <c r="B21" s="2289"/>
      <c r="C21" s="2333"/>
      <c r="D21" s="2401"/>
      <c r="E21" s="2280"/>
      <c r="F21" s="2402"/>
      <c r="G21" s="2600"/>
      <c r="H21" s="2405"/>
      <c r="I21" s="714"/>
      <c r="J21" s="14"/>
      <c r="K21" s="738"/>
      <c r="L21" s="358"/>
      <c r="M21" s="358"/>
      <c r="N21" s="350"/>
      <c r="O21" s="553"/>
      <c r="P21" s="553"/>
      <c r="Q21" s="553"/>
      <c r="R21" s="553"/>
      <c r="S21" s="553"/>
      <c r="T21" s="553"/>
      <c r="U21" s="553"/>
      <c r="V21" s="739"/>
      <c r="W21" s="740"/>
      <c r="X21" s="740"/>
      <c r="Y21" s="741" t="s">
        <v>281</v>
      </c>
      <c r="Z21" s="346">
        <v>1</v>
      </c>
      <c r="AA21" s="346">
        <v>1</v>
      </c>
      <c r="AB21" s="347">
        <v>1</v>
      </c>
    </row>
    <row r="22" spans="1:29" ht="16.5" customHeight="1" x14ac:dyDescent="0.2">
      <c r="A22" s="2578"/>
      <c r="B22" s="2289"/>
      <c r="C22" s="2333"/>
      <c r="D22" s="2401"/>
      <c r="E22" s="2280"/>
      <c r="F22" s="2402"/>
      <c r="G22" s="2600"/>
      <c r="H22" s="2405"/>
      <c r="I22" s="714"/>
      <c r="J22" s="14"/>
      <c r="K22" s="738"/>
      <c r="L22" s="358"/>
      <c r="M22" s="358"/>
      <c r="N22" s="350"/>
      <c r="O22" s="553"/>
      <c r="P22" s="375"/>
      <c r="Q22" s="375"/>
      <c r="R22" s="376"/>
      <c r="S22" s="731"/>
      <c r="T22" s="732"/>
      <c r="U22" s="732"/>
      <c r="V22" s="733"/>
      <c r="W22" s="742"/>
      <c r="X22" s="742"/>
      <c r="Y22" s="741" t="s">
        <v>207</v>
      </c>
      <c r="Z22" s="461" t="s">
        <v>208</v>
      </c>
      <c r="AA22" s="461" t="s">
        <v>208</v>
      </c>
      <c r="AB22" s="462" t="s">
        <v>208</v>
      </c>
    </row>
    <row r="23" spans="1:29" ht="16.5" customHeight="1" x14ac:dyDescent="0.2">
      <c r="A23" s="2578"/>
      <c r="B23" s="2289"/>
      <c r="C23" s="2333"/>
      <c r="D23" s="2401"/>
      <c r="E23" s="2280"/>
      <c r="F23" s="2402"/>
      <c r="G23" s="2600"/>
      <c r="H23" s="2405"/>
      <c r="I23" s="714"/>
      <c r="J23" s="14"/>
      <c r="K23" s="738"/>
      <c r="L23" s="348"/>
      <c r="M23" s="348"/>
      <c r="N23" s="349"/>
      <c r="O23" s="553"/>
      <c r="P23" s="335"/>
      <c r="Q23" s="335"/>
      <c r="R23" s="554"/>
      <c r="S23" s="731"/>
      <c r="T23" s="732"/>
      <c r="U23" s="732"/>
      <c r="V23" s="733"/>
      <c r="W23" s="743"/>
      <c r="X23" s="744"/>
      <c r="Y23" s="741" t="s">
        <v>202</v>
      </c>
      <c r="Z23" s="461" t="s">
        <v>198</v>
      </c>
      <c r="AA23" s="461" t="s">
        <v>199</v>
      </c>
      <c r="AB23" s="462" t="s">
        <v>199</v>
      </c>
    </row>
    <row r="24" spans="1:29" ht="14.25" customHeight="1" x14ac:dyDescent="0.2">
      <c r="A24" s="2578"/>
      <c r="B24" s="2289"/>
      <c r="C24" s="2333"/>
      <c r="D24" s="2401"/>
      <c r="E24" s="2280"/>
      <c r="F24" s="2402"/>
      <c r="G24" s="2600"/>
      <c r="H24" s="2405"/>
      <c r="I24" s="714"/>
      <c r="J24" s="14"/>
      <c r="K24" s="738"/>
      <c r="L24" s="348"/>
      <c r="M24" s="348"/>
      <c r="N24" s="349"/>
      <c r="O24" s="553"/>
      <c r="P24" s="335"/>
      <c r="Q24" s="335"/>
      <c r="R24" s="554"/>
      <c r="S24" s="731"/>
      <c r="T24" s="732"/>
      <c r="U24" s="732"/>
      <c r="V24" s="733"/>
      <c r="W24" s="744"/>
      <c r="X24" s="744"/>
      <c r="Y24" s="741" t="s">
        <v>201</v>
      </c>
      <c r="Z24" s="461" t="s">
        <v>200</v>
      </c>
      <c r="AA24" s="461" t="s">
        <v>200</v>
      </c>
      <c r="AB24" s="462" t="s">
        <v>200</v>
      </c>
    </row>
    <row r="25" spans="1:29" x14ac:dyDescent="0.2">
      <c r="A25" s="2578"/>
      <c r="B25" s="2289"/>
      <c r="C25" s="2333"/>
      <c r="D25" s="2381"/>
      <c r="E25" s="2280"/>
      <c r="F25" s="2402"/>
      <c r="G25" s="2589"/>
      <c r="H25" s="2388"/>
      <c r="I25" s="714"/>
      <c r="J25" s="14"/>
      <c r="K25" s="243"/>
      <c r="L25" s="236"/>
      <c r="M25" s="236"/>
      <c r="N25" s="222"/>
      <c r="O25" s="547"/>
      <c r="P25" s="548"/>
      <c r="Q25" s="548"/>
      <c r="R25" s="549"/>
      <c r="S25" s="177"/>
      <c r="T25" s="142"/>
      <c r="U25" s="142"/>
      <c r="V25" s="143"/>
      <c r="W25" s="32"/>
      <c r="X25" s="32"/>
      <c r="Y25" s="745" t="s">
        <v>282</v>
      </c>
      <c r="Z25" s="746">
        <v>100</v>
      </c>
      <c r="AA25" s="746"/>
      <c r="AB25" s="747"/>
    </row>
    <row r="26" spans="1:29" ht="16.5" customHeight="1" x14ac:dyDescent="0.2">
      <c r="A26" s="707"/>
      <c r="B26" s="630"/>
      <c r="C26" s="420"/>
      <c r="D26" s="698" t="s">
        <v>44</v>
      </c>
      <c r="E26" s="2409" t="s">
        <v>167</v>
      </c>
      <c r="F26" s="2410" t="s">
        <v>75</v>
      </c>
      <c r="G26" s="672" t="s">
        <v>39</v>
      </c>
      <c r="H26" s="673" t="s">
        <v>36</v>
      </c>
      <c r="I26" s="2406" t="s">
        <v>145</v>
      </c>
      <c r="J26" s="534" t="s">
        <v>33</v>
      </c>
      <c r="K26" s="352">
        <f>L26+N26</f>
        <v>391.5</v>
      </c>
      <c r="L26" s="353">
        <v>19</v>
      </c>
      <c r="M26" s="1044"/>
      <c r="N26" s="354">
        <v>372.5</v>
      </c>
      <c r="O26" s="1045">
        <f>P26+R26</f>
        <v>936.2</v>
      </c>
      <c r="P26" s="356">
        <v>0</v>
      </c>
      <c r="Q26" s="356"/>
      <c r="R26" s="1046">
        <v>936.2</v>
      </c>
      <c r="S26" s="748">
        <f>T26+V26</f>
        <v>0</v>
      </c>
      <c r="T26" s="749">
        <v>0</v>
      </c>
      <c r="U26" s="750"/>
      <c r="V26" s="751">
        <v>0</v>
      </c>
      <c r="W26" s="1047">
        <v>943.3</v>
      </c>
      <c r="X26" s="1048"/>
      <c r="Y26" s="754"/>
      <c r="Z26" s="755"/>
      <c r="AA26" s="755"/>
      <c r="AB26" s="756"/>
    </row>
    <row r="27" spans="1:29" ht="17.25" customHeight="1" x14ac:dyDescent="0.2">
      <c r="A27" s="707"/>
      <c r="B27" s="630"/>
      <c r="C27" s="420"/>
      <c r="D27" s="644"/>
      <c r="E27" s="2409"/>
      <c r="F27" s="2410"/>
      <c r="G27" s="649"/>
      <c r="H27" s="618"/>
      <c r="I27" s="2414"/>
      <c r="J27" s="467"/>
      <c r="K27" s="279"/>
      <c r="L27" s="483"/>
      <c r="M27" s="987"/>
      <c r="N27" s="458"/>
      <c r="O27" s="1043"/>
      <c r="P27" s="253"/>
      <c r="Q27" s="253"/>
      <c r="R27" s="614"/>
      <c r="S27" s="735"/>
      <c r="T27" s="145"/>
      <c r="U27" s="195"/>
      <c r="V27" s="146"/>
      <c r="W27" s="209"/>
      <c r="X27" s="990"/>
      <c r="Y27" s="758" t="s">
        <v>169</v>
      </c>
      <c r="Z27" s="464">
        <v>100</v>
      </c>
      <c r="AA27" s="759"/>
      <c r="AB27" s="760"/>
    </row>
    <row r="28" spans="1:29" ht="27.75" customHeight="1" x14ac:dyDescent="0.2">
      <c r="A28" s="707"/>
      <c r="B28" s="630"/>
      <c r="C28" s="420"/>
      <c r="D28" s="644"/>
      <c r="E28" s="2409"/>
      <c r="F28" s="2411"/>
      <c r="G28" s="649"/>
      <c r="H28" s="618"/>
      <c r="I28" s="2407"/>
      <c r="J28" s="467"/>
      <c r="K28" s="761"/>
      <c r="L28" s="762"/>
      <c r="M28" s="762"/>
      <c r="N28" s="763"/>
      <c r="O28" s="555"/>
      <c r="P28" s="344"/>
      <c r="Q28" s="344"/>
      <c r="R28" s="556"/>
      <c r="S28" s="731"/>
      <c r="T28" s="732"/>
      <c r="U28" s="764"/>
      <c r="V28" s="765"/>
      <c r="W28" s="766"/>
      <c r="X28" s="767"/>
      <c r="Y28" s="768" t="s">
        <v>283</v>
      </c>
      <c r="Z28" s="409">
        <v>100</v>
      </c>
      <c r="AA28" s="769"/>
      <c r="AB28" s="770"/>
    </row>
    <row r="29" spans="1:29" ht="30" customHeight="1" x14ac:dyDescent="0.2">
      <c r="A29" s="707"/>
      <c r="B29" s="630"/>
      <c r="C29" s="420"/>
      <c r="D29" s="644"/>
      <c r="E29" s="2409"/>
      <c r="F29" s="2415" t="s">
        <v>195</v>
      </c>
      <c r="G29" s="649"/>
      <c r="H29" s="618"/>
      <c r="I29" s="2407"/>
      <c r="J29" s="467"/>
      <c r="K29" s="761"/>
      <c r="L29" s="762"/>
      <c r="M29" s="762"/>
      <c r="N29" s="763"/>
      <c r="O29" s="555"/>
      <c r="P29" s="344"/>
      <c r="Q29" s="344"/>
      <c r="R29" s="556"/>
      <c r="S29" s="731"/>
      <c r="T29" s="732"/>
      <c r="U29" s="764"/>
      <c r="V29" s="765"/>
      <c r="W29" s="766"/>
      <c r="X29" s="767"/>
      <c r="Y29" s="737" t="s">
        <v>284</v>
      </c>
      <c r="Z29" s="411">
        <v>100</v>
      </c>
      <c r="AA29" s="769"/>
      <c r="AB29" s="770"/>
    </row>
    <row r="30" spans="1:29" ht="41.25" customHeight="1" x14ac:dyDescent="0.2">
      <c r="A30" s="707"/>
      <c r="B30" s="630"/>
      <c r="C30" s="420"/>
      <c r="D30" s="644"/>
      <c r="E30" s="2409"/>
      <c r="F30" s="2415"/>
      <c r="G30" s="649"/>
      <c r="H30" s="618"/>
      <c r="I30" s="706"/>
      <c r="J30" s="495"/>
      <c r="K30" s="761"/>
      <c r="L30" s="762"/>
      <c r="M30" s="762"/>
      <c r="N30" s="763"/>
      <c r="O30" s="555"/>
      <c r="P30" s="344"/>
      <c r="Q30" s="344"/>
      <c r="R30" s="556"/>
      <c r="S30" s="771"/>
      <c r="T30" s="732"/>
      <c r="U30" s="764"/>
      <c r="V30" s="772"/>
      <c r="W30" s="766"/>
      <c r="X30" s="767"/>
      <c r="Y30" s="741" t="s">
        <v>285</v>
      </c>
      <c r="Z30" s="493"/>
      <c r="AA30" s="769">
        <v>100</v>
      </c>
      <c r="AB30" s="770"/>
    </row>
    <row r="31" spans="1:29" ht="28.5" customHeight="1" x14ac:dyDescent="0.2">
      <c r="A31" s="707"/>
      <c r="B31" s="630"/>
      <c r="C31" s="420"/>
      <c r="D31" s="699"/>
      <c r="E31" s="2409"/>
      <c r="F31" s="2416"/>
      <c r="G31" s="670"/>
      <c r="H31" s="652"/>
      <c r="I31" s="466"/>
      <c r="J31" s="468" t="s">
        <v>129</v>
      </c>
      <c r="K31" s="773"/>
      <c r="L31" s="774"/>
      <c r="M31" s="774"/>
      <c r="N31" s="775"/>
      <c r="O31" s="550">
        <f>R31</f>
        <v>205.1</v>
      </c>
      <c r="P31" s="551"/>
      <c r="Q31" s="551"/>
      <c r="R31" s="552">
        <v>205.1</v>
      </c>
      <c r="S31" s="776"/>
      <c r="T31" s="142"/>
      <c r="U31" s="214"/>
      <c r="V31" s="777"/>
      <c r="W31" s="212"/>
      <c r="X31" s="778"/>
      <c r="Y31" s="779" t="s">
        <v>286</v>
      </c>
      <c r="Z31" s="780">
        <v>100</v>
      </c>
      <c r="AA31" s="781"/>
      <c r="AB31" s="782"/>
    </row>
    <row r="32" spans="1:29" ht="28.5" customHeight="1" x14ac:dyDescent="0.2">
      <c r="A32" s="707"/>
      <c r="B32" s="630"/>
      <c r="C32" s="690"/>
      <c r="D32" s="692" t="s">
        <v>45</v>
      </c>
      <c r="E32" s="693" t="s">
        <v>133</v>
      </c>
      <c r="F32" s="2517" t="s">
        <v>125</v>
      </c>
      <c r="G32" s="712" t="s">
        <v>39</v>
      </c>
      <c r="H32" s="713" t="s">
        <v>36</v>
      </c>
      <c r="I32" s="716" t="s">
        <v>157</v>
      </c>
      <c r="J32" s="469" t="s">
        <v>78</v>
      </c>
      <c r="K32" s="330">
        <f>L32</f>
        <v>150</v>
      </c>
      <c r="L32" s="255">
        <v>150</v>
      </c>
      <c r="M32" s="516"/>
      <c r="N32" s="522"/>
      <c r="O32" s="530"/>
      <c r="P32" s="239"/>
      <c r="Q32" s="516"/>
      <c r="R32" s="522"/>
      <c r="S32" s="169"/>
      <c r="T32" s="145"/>
      <c r="U32" s="195"/>
      <c r="V32" s="202"/>
      <c r="W32" s="752">
        <v>100</v>
      </c>
      <c r="X32" s="753"/>
      <c r="Y32" s="412" t="s">
        <v>287</v>
      </c>
      <c r="Z32" s="543"/>
      <c r="AA32" s="61">
        <v>1</v>
      </c>
      <c r="AB32" s="783"/>
      <c r="AC32" s="308"/>
    </row>
    <row r="33" spans="1:38" ht="33" customHeight="1" x14ac:dyDescent="0.2">
      <c r="A33" s="707"/>
      <c r="B33" s="630"/>
      <c r="C33" s="690"/>
      <c r="D33" s="692" t="s">
        <v>37</v>
      </c>
      <c r="E33" s="685" t="s">
        <v>230</v>
      </c>
      <c r="F33" s="2518"/>
      <c r="G33" s="712" t="s">
        <v>39</v>
      </c>
      <c r="H33" s="713" t="s">
        <v>36</v>
      </c>
      <c r="I33" s="716" t="s">
        <v>157</v>
      </c>
      <c r="J33" s="469" t="s">
        <v>33</v>
      </c>
      <c r="K33" s="330"/>
      <c r="L33" s="255"/>
      <c r="M33" s="516"/>
      <c r="N33" s="522"/>
      <c r="O33" s="330">
        <f>P33+R33</f>
        <v>118.2</v>
      </c>
      <c r="P33" s="255"/>
      <c r="Q33" s="255"/>
      <c r="R33" s="256">
        <f>70+48.2</f>
        <v>118.2</v>
      </c>
      <c r="S33" s="169"/>
      <c r="T33" s="169"/>
      <c r="U33" s="201"/>
      <c r="V33" s="784"/>
      <c r="W33" s="785"/>
      <c r="X33" s="753"/>
      <c r="Y33" s="560" t="s">
        <v>288</v>
      </c>
      <c r="Z33" s="584">
        <v>1280</v>
      </c>
      <c r="AA33" s="538"/>
      <c r="AB33" s="786"/>
      <c r="AC33" s="308"/>
    </row>
    <row r="34" spans="1:38" ht="52.5" customHeight="1" x14ac:dyDescent="0.2">
      <c r="A34" s="707"/>
      <c r="B34" s="630"/>
      <c r="C34" s="690"/>
      <c r="D34" s="692" t="s">
        <v>46</v>
      </c>
      <c r="E34" s="685" t="s">
        <v>214</v>
      </c>
      <c r="F34" s="2591" t="s">
        <v>232</v>
      </c>
      <c r="G34" s="712" t="s">
        <v>39</v>
      </c>
      <c r="H34" s="713" t="s">
        <v>36</v>
      </c>
      <c r="I34" s="716" t="s">
        <v>157</v>
      </c>
      <c r="J34" s="469" t="s">
        <v>33</v>
      </c>
      <c r="K34" s="330"/>
      <c r="L34" s="255"/>
      <c r="M34" s="516"/>
      <c r="N34" s="522"/>
      <c r="O34" s="330">
        <f>P34+R34</f>
        <v>20</v>
      </c>
      <c r="P34" s="255"/>
      <c r="Q34" s="255"/>
      <c r="R34" s="256">
        <v>20</v>
      </c>
      <c r="S34" s="169"/>
      <c r="T34" s="169"/>
      <c r="U34" s="201"/>
      <c r="V34" s="784"/>
      <c r="W34" s="752"/>
      <c r="X34" s="753"/>
      <c r="Y34" s="558" t="s">
        <v>215</v>
      </c>
      <c r="Z34" s="559">
        <v>1</v>
      </c>
      <c r="AA34" s="478"/>
      <c r="AB34" s="787"/>
      <c r="AC34" s="308"/>
      <c r="AE34" s="74"/>
    </row>
    <row r="35" spans="1:38" ht="37.5" customHeight="1" x14ac:dyDescent="0.2">
      <c r="A35" s="707"/>
      <c r="B35" s="630"/>
      <c r="C35" s="690"/>
      <c r="D35" s="699" t="s">
        <v>39</v>
      </c>
      <c r="E35" s="711" t="s">
        <v>168</v>
      </c>
      <c r="F35" s="2592"/>
      <c r="G35" s="670" t="s">
        <v>39</v>
      </c>
      <c r="H35" s="652" t="s">
        <v>36</v>
      </c>
      <c r="I35" s="716" t="s">
        <v>157</v>
      </c>
      <c r="J35" s="469" t="s">
        <v>33</v>
      </c>
      <c r="K35" s="527">
        <f>L35</f>
        <v>8.5</v>
      </c>
      <c r="L35" s="230">
        <v>8.5</v>
      </c>
      <c r="M35" s="517"/>
      <c r="N35" s="523"/>
      <c r="O35" s="529"/>
      <c r="P35" s="449"/>
      <c r="Q35" s="449"/>
      <c r="R35" s="521"/>
      <c r="S35" s="788"/>
      <c r="T35" s="148"/>
      <c r="U35" s="789"/>
      <c r="V35" s="790"/>
      <c r="W35" s="752"/>
      <c r="X35" s="785">
        <v>250</v>
      </c>
      <c r="Y35" s="711" t="s">
        <v>197</v>
      </c>
      <c r="Z35" s="494"/>
      <c r="AA35" s="791"/>
      <c r="AB35" s="786">
        <v>50</v>
      </c>
    </row>
    <row r="36" spans="1:38" x14ac:dyDescent="0.2">
      <c r="A36" s="707"/>
      <c r="B36" s="630"/>
      <c r="C36" s="690"/>
      <c r="D36" s="2593" t="s">
        <v>120</v>
      </c>
      <c r="E36" s="2595" t="s">
        <v>192</v>
      </c>
      <c r="F36" s="2597" t="s">
        <v>193</v>
      </c>
      <c r="G36" s="2589" t="s">
        <v>39</v>
      </c>
      <c r="H36" s="2388" t="s">
        <v>74</v>
      </c>
      <c r="I36" s="2601" t="s">
        <v>150</v>
      </c>
      <c r="J36" s="10" t="s">
        <v>77</v>
      </c>
      <c r="K36" s="734"/>
      <c r="L36" s="249"/>
      <c r="M36" s="249"/>
      <c r="N36" s="225"/>
      <c r="O36" s="539"/>
      <c r="P36" s="249"/>
      <c r="Q36" s="249"/>
      <c r="R36" s="225"/>
      <c r="S36" s="169"/>
      <c r="T36" s="145"/>
      <c r="U36" s="145"/>
      <c r="V36" s="146"/>
      <c r="W36" s="206">
        <v>11.3</v>
      </c>
      <c r="X36" s="206">
        <v>15</v>
      </c>
      <c r="Y36" s="2603" t="s">
        <v>289</v>
      </c>
      <c r="Z36" s="446"/>
      <c r="AA36" s="446">
        <v>1</v>
      </c>
      <c r="AB36" s="447"/>
    </row>
    <row r="37" spans="1:38" x14ac:dyDescent="0.2">
      <c r="A37" s="707"/>
      <c r="B37" s="630"/>
      <c r="C37" s="690"/>
      <c r="D37" s="2594"/>
      <c r="E37" s="2596"/>
      <c r="F37" s="2598"/>
      <c r="G37" s="2590"/>
      <c r="H37" s="2300"/>
      <c r="I37" s="2602"/>
      <c r="J37" s="332" t="s">
        <v>72</v>
      </c>
      <c r="K37" s="540"/>
      <c r="L37" s="358"/>
      <c r="M37" s="358"/>
      <c r="N37" s="349"/>
      <c r="O37" s="540"/>
      <c r="P37" s="358"/>
      <c r="Q37" s="358"/>
      <c r="R37" s="349"/>
      <c r="S37" s="792"/>
      <c r="T37" s="732"/>
      <c r="U37" s="732"/>
      <c r="V37" s="733"/>
      <c r="W37" s="793">
        <v>11.3</v>
      </c>
      <c r="X37" s="793">
        <v>15</v>
      </c>
      <c r="Y37" s="2604"/>
      <c r="Z37" s="450"/>
      <c r="AA37" s="450"/>
      <c r="AB37" s="451"/>
    </row>
    <row r="38" spans="1:38" ht="13.5" thickBot="1" x14ac:dyDescent="0.25">
      <c r="A38" s="707"/>
      <c r="B38" s="630"/>
      <c r="C38" s="690"/>
      <c r="D38" s="2594"/>
      <c r="E38" s="2596"/>
      <c r="F38" s="2598"/>
      <c r="G38" s="2599"/>
      <c r="H38" s="2389"/>
      <c r="I38" s="2602"/>
      <c r="J38" s="100" t="s">
        <v>76</v>
      </c>
      <c r="K38" s="243"/>
      <c r="L38" s="236"/>
      <c r="M38" s="236"/>
      <c r="N38" s="222"/>
      <c r="O38" s="243"/>
      <c r="P38" s="236"/>
      <c r="Q38" s="236"/>
      <c r="R38" s="328"/>
      <c r="S38" s="794"/>
      <c r="T38" s="205"/>
      <c r="U38" s="205"/>
      <c r="V38" s="795"/>
      <c r="W38" s="796">
        <v>127.4</v>
      </c>
      <c r="X38" s="32">
        <v>170</v>
      </c>
      <c r="Y38" s="797" t="s">
        <v>197</v>
      </c>
      <c r="Z38" s="674"/>
      <c r="AA38" s="674"/>
      <c r="AB38" s="798">
        <v>10</v>
      </c>
      <c r="AD38" s="74"/>
    </row>
    <row r="39" spans="1:38" ht="18" customHeight="1" x14ac:dyDescent="0.2">
      <c r="A39" s="707"/>
      <c r="B39" s="630"/>
      <c r="C39" s="690"/>
      <c r="D39" s="2605" t="s">
        <v>38</v>
      </c>
      <c r="E39" s="2606" t="s">
        <v>141</v>
      </c>
      <c r="F39" s="2607" t="s">
        <v>125</v>
      </c>
      <c r="G39" s="2381"/>
      <c r="H39" s="2388" t="s">
        <v>74</v>
      </c>
      <c r="I39" s="2608" t="s">
        <v>150</v>
      </c>
      <c r="J39" s="22" t="s">
        <v>33</v>
      </c>
      <c r="K39" s="330">
        <f>L39+N39</f>
        <v>200</v>
      </c>
      <c r="L39" s="255"/>
      <c r="M39" s="255"/>
      <c r="N39" s="256">
        <v>200</v>
      </c>
      <c r="O39" s="310"/>
      <c r="P39" s="517"/>
      <c r="Q39" s="517"/>
      <c r="R39" s="523"/>
      <c r="S39" s="152"/>
      <c r="T39" s="152"/>
      <c r="U39" s="152"/>
      <c r="V39" s="182"/>
      <c r="W39" s="799"/>
      <c r="X39" s="799"/>
      <c r="Y39" s="2609"/>
      <c r="Z39" s="800"/>
      <c r="AA39" s="801"/>
      <c r="AB39" s="802"/>
      <c r="AL39" s="240"/>
    </row>
    <row r="40" spans="1:38" ht="21" customHeight="1" x14ac:dyDescent="0.2">
      <c r="A40" s="707"/>
      <c r="B40" s="630"/>
      <c r="C40" s="690"/>
      <c r="D40" s="2605"/>
      <c r="E40" s="2606"/>
      <c r="F40" s="2607"/>
      <c r="G40" s="2382"/>
      <c r="H40" s="2389"/>
      <c r="I40" s="2608"/>
      <c r="J40" s="22"/>
      <c r="K40" s="330"/>
      <c r="L40" s="255"/>
      <c r="M40" s="255"/>
      <c r="N40" s="256"/>
      <c r="O40" s="310"/>
      <c r="P40" s="517"/>
      <c r="Q40" s="517"/>
      <c r="R40" s="523"/>
      <c r="S40" s="216"/>
      <c r="T40" s="214"/>
      <c r="U40" s="214"/>
      <c r="V40" s="777"/>
      <c r="W40" s="799"/>
      <c r="X40" s="799"/>
      <c r="Y40" s="2610"/>
      <c r="Z40" s="803"/>
      <c r="AA40" s="804"/>
      <c r="AB40" s="89"/>
      <c r="AL40" s="240"/>
    </row>
    <row r="41" spans="1:38" ht="13.5" thickBot="1" x14ac:dyDescent="0.25">
      <c r="A41" s="536"/>
      <c r="B41" s="78"/>
      <c r="C41" s="535"/>
      <c r="D41" s="312"/>
      <c r="E41" s="313"/>
      <c r="F41" s="314"/>
      <c r="G41" s="315"/>
      <c r="H41" s="316"/>
      <c r="I41" s="2346" t="s">
        <v>146</v>
      </c>
      <c r="J41" s="2519"/>
      <c r="K41" s="317">
        <f t="shared" ref="K41:X41" si="0">SUM(K14:K40)</f>
        <v>1501.2</v>
      </c>
      <c r="L41" s="805">
        <f t="shared" si="0"/>
        <v>791</v>
      </c>
      <c r="M41" s="524">
        <f t="shared" si="0"/>
        <v>0</v>
      </c>
      <c r="N41" s="525">
        <f t="shared" si="0"/>
        <v>710.2</v>
      </c>
      <c r="O41" s="531">
        <f t="shared" si="0"/>
        <v>1911.6</v>
      </c>
      <c r="P41" s="524">
        <f t="shared" si="0"/>
        <v>584.79999999999995</v>
      </c>
      <c r="Q41" s="524">
        <f t="shared" si="0"/>
        <v>0</v>
      </c>
      <c r="R41" s="525">
        <f t="shared" si="0"/>
        <v>1326.8</v>
      </c>
      <c r="S41" s="318">
        <f t="shared" si="0"/>
        <v>0</v>
      </c>
      <c r="T41" s="317">
        <f t="shared" si="0"/>
        <v>0</v>
      </c>
      <c r="U41" s="317">
        <f t="shared" si="0"/>
        <v>0</v>
      </c>
      <c r="V41" s="806">
        <f t="shared" si="0"/>
        <v>0</v>
      </c>
      <c r="W41" s="327">
        <f t="shared" si="0"/>
        <v>1889.3</v>
      </c>
      <c r="X41" s="807">
        <f t="shared" si="0"/>
        <v>1177.4000000000001</v>
      </c>
      <c r="Y41" s="808"/>
      <c r="Z41" s="809"/>
      <c r="AA41" s="810"/>
      <c r="AB41" s="811"/>
    </row>
    <row r="42" spans="1:38" x14ac:dyDescent="0.2">
      <c r="A42" s="2287" t="s">
        <v>8</v>
      </c>
      <c r="B42" s="2361" t="s">
        <v>8</v>
      </c>
      <c r="C42" s="2333" t="s">
        <v>10</v>
      </c>
      <c r="D42" s="2499"/>
      <c r="E42" s="2612" t="s">
        <v>92</v>
      </c>
      <c r="F42" s="2367"/>
      <c r="G42" s="2590"/>
      <c r="H42" s="2300"/>
      <c r="I42" s="73"/>
      <c r="J42" s="100"/>
      <c r="K42" s="220"/>
      <c r="L42" s="221"/>
      <c r="M42" s="221"/>
      <c r="N42" s="223"/>
      <c r="O42" s="512">
        <f>O44+O47+O49</f>
        <v>7153.9</v>
      </c>
      <c r="P42" s="513">
        <f t="shared" ref="P42:X42" si="1">P44+P47+P49</f>
        <v>7153.9</v>
      </c>
      <c r="Q42" s="513">
        <f t="shared" si="1"/>
        <v>0</v>
      </c>
      <c r="R42" s="514">
        <f t="shared" si="1"/>
        <v>0</v>
      </c>
      <c r="S42" s="812">
        <f t="shared" si="1"/>
        <v>0</v>
      </c>
      <c r="T42" s="812">
        <f t="shared" si="1"/>
        <v>0</v>
      </c>
      <c r="U42" s="812">
        <f t="shared" si="1"/>
        <v>0</v>
      </c>
      <c r="V42" s="812">
        <f t="shared" si="1"/>
        <v>0</v>
      </c>
      <c r="W42" s="812">
        <f t="shared" si="1"/>
        <v>7190</v>
      </c>
      <c r="X42" s="813">
        <f t="shared" si="1"/>
        <v>7190</v>
      </c>
      <c r="Y42" s="241"/>
      <c r="Z42" s="97"/>
      <c r="AA42" s="97"/>
      <c r="AB42" s="33"/>
      <c r="AE42" s="74"/>
    </row>
    <row r="43" spans="1:38" x14ac:dyDescent="0.2">
      <c r="A43" s="2287"/>
      <c r="B43" s="2361"/>
      <c r="C43" s="2333"/>
      <c r="D43" s="2611"/>
      <c r="E43" s="2613"/>
      <c r="F43" s="2367"/>
      <c r="G43" s="2590"/>
      <c r="H43" s="2300"/>
      <c r="I43" s="309"/>
      <c r="J43" s="10" t="s">
        <v>106</v>
      </c>
      <c r="K43" s="224"/>
      <c r="L43" s="609"/>
      <c r="M43" s="609"/>
      <c r="N43" s="242"/>
      <c r="O43" s="224"/>
      <c r="P43" s="688"/>
      <c r="Q43" s="609"/>
      <c r="R43" s="610"/>
      <c r="S43" s="144"/>
      <c r="T43" s="145"/>
      <c r="U43" s="145"/>
      <c r="V43" s="146"/>
      <c r="W43" s="63"/>
      <c r="X43" s="82"/>
      <c r="Y43" s="15"/>
      <c r="Z43" s="723"/>
      <c r="AA43" s="723"/>
      <c r="AB43" s="722"/>
    </row>
    <row r="44" spans="1:38" ht="22.5" customHeight="1" x14ac:dyDescent="0.2">
      <c r="A44" s="2287"/>
      <c r="B44" s="2361"/>
      <c r="C44" s="2333"/>
      <c r="D44" s="2381" t="s">
        <v>8</v>
      </c>
      <c r="E44" s="2520" t="s">
        <v>134</v>
      </c>
      <c r="F44" s="2506"/>
      <c r="G44" s="2589" t="s">
        <v>45</v>
      </c>
      <c r="H44" s="2388" t="s">
        <v>36</v>
      </c>
      <c r="I44" s="2399" t="s">
        <v>147</v>
      </c>
      <c r="J44" s="10" t="s">
        <v>33</v>
      </c>
      <c r="K44" s="757">
        <f>L44+N44</f>
        <v>6169.8</v>
      </c>
      <c r="L44" s="286">
        <v>6165.3</v>
      </c>
      <c r="M44" s="286"/>
      <c r="N44" s="814">
        <v>4.5</v>
      </c>
      <c r="O44" s="325">
        <f>P44+R44</f>
        <v>6783.8</v>
      </c>
      <c r="P44" s="286">
        <f>7183.8-400</f>
        <v>6783.8</v>
      </c>
      <c r="Q44" s="286"/>
      <c r="R44" s="287">
        <v>0</v>
      </c>
      <c r="S44" s="144">
        <f>T44+V44</f>
        <v>0</v>
      </c>
      <c r="T44" s="150">
        <v>0</v>
      </c>
      <c r="U44" s="150"/>
      <c r="V44" s="151">
        <v>0</v>
      </c>
      <c r="W44" s="206">
        <v>6800</v>
      </c>
      <c r="X44" s="207">
        <v>6800</v>
      </c>
      <c r="Y44" s="54" t="s">
        <v>115</v>
      </c>
      <c r="Z44" s="815">
        <v>3.8</v>
      </c>
      <c r="AA44" s="815">
        <v>3.8</v>
      </c>
      <c r="AB44" s="816">
        <v>3.8</v>
      </c>
    </row>
    <row r="45" spans="1:38" ht="18" customHeight="1" x14ac:dyDescent="0.2">
      <c r="A45" s="2287"/>
      <c r="B45" s="2361"/>
      <c r="C45" s="2333"/>
      <c r="D45" s="2328"/>
      <c r="E45" s="2520"/>
      <c r="F45" s="2367"/>
      <c r="G45" s="2590"/>
      <c r="H45" s="2300"/>
      <c r="I45" s="2525"/>
      <c r="J45" s="332" t="s">
        <v>106</v>
      </c>
      <c r="K45" s="357">
        <f>L45+N45</f>
        <v>583.20000000000005</v>
      </c>
      <c r="L45" s="342">
        <v>583.20000000000005</v>
      </c>
      <c r="M45" s="342"/>
      <c r="N45" s="350"/>
      <c r="O45" s="333">
        <f>P45+R45</f>
        <v>0</v>
      </c>
      <c r="P45" s="342"/>
      <c r="Q45" s="342"/>
      <c r="R45" s="350"/>
      <c r="S45" s="792">
        <f>T45+V45</f>
        <v>0</v>
      </c>
      <c r="T45" s="732"/>
      <c r="U45" s="732"/>
      <c r="V45" s="733"/>
      <c r="W45" s="742"/>
      <c r="X45" s="817"/>
      <c r="Y45" s="438" t="s">
        <v>148</v>
      </c>
      <c r="Z45" s="818">
        <v>3.4</v>
      </c>
      <c r="AA45" s="818">
        <v>3.4</v>
      </c>
      <c r="AB45" s="819">
        <v>3.4</v>
      </c>
    </row>
    <row r="46" spans="1:38" ht="21" customHeight="1" x14ac:dyDescent="0.2">
      <c r="A46" s="2287"/>
      <c r="B46" s="2361"/>
      <c r="C46" s="2333"/>
      <c r="D46" s="2328"/>
      <c r="E46" s="2521"/>
      <c r="F46" s="2367"/>
      <c r="G46" s="2590"/>
      <c r="H46" s="2300"/>
      <c r="I46" s="2525"/>
      <c r="J46" s="100"/>
      <c r="K46" s="243"/>
      <c r="L46" s="236"/>
      <c r="M46" s="236"/>
      <c r="N46" s="223"/>
      <c r="O46" s="232"/>
      <c r="P46" s="233"/>
      <c r="Q46" s="233"/>
      <c r="R46" s="234"/>
      <c r="S46" s="141"/>
      <c r="T46" s="142"/>
      <c r="U46" s="142"/>
      <c r="V46" s="143"/>
      <c r="W46" s="32"/>
      <c r="X46" s="213"/>
      <c r="Y46" s="719" t="s">
        <v>82</v>
      </c>
      <c r="Z46" s="720">
        <v>24</v>
      </c>
      <c r="AA46" s="720">
        <v>24</v>
      </c>
      <c r="AB46" s="721">
        <v>24</v>
      </c>
    </row>
    <row r="47" spans="1:38" ht="26.25" customHeight="1" x14ac:dyDescent="0.2">
      <c r="A47" s="2287"/>
      <c r="B47" s="2361"/>
      <c r="C47" s="2333"/>
      <c r="D47" s="2381" t="s">
        <v>10</v>
      </c>
      <c r="E47" s="664" t="s">
        <v>47</v>
      </c>
      <c r="F47" s="671"/>
      <c r="G47" s="672" t="s">
        <v>45</v>
      </c>
      <c r="H47" s="673" t="s">
        <v>36</v>
      </c>
      <c r="I47" s="2399" t="s">
        <v>147</v>
      </c>
      <c r="J47" s="337" t="s">
        <v>33</v>
      </c>
      <c r="K47" s="820">
        <f>L47+N47</f>
        <v>240.3</v>
      </c>
      <c r="L47" s="353">
        <v>240.3</v>
      </c>
      <c r="M47" s="353"/>
      <c r="N47" s="821"/>
      <c r="O47" s="352">
        <f>P47+R47</f>
        <v>205</v>
      </c>
      <c r="P47" s="353">
        <v>205</v>
      </c>
      <c r="Q47" s="353"/>
      <c r="R47" s="354"/>
      <c r="S47" s="822">
        <f>T47+V47</f>
        <v>0</v>
      </c>
      <c r="T47" s="749">
        <v>0</v>
      </c>
      <c r="U47" s="749"/>
      <c r="V47" s="751"/>
      <c r="W47" s="823">
        <v>210</v>
      </c>
      <c r="X47" s="824">
        <v>210</v>
      </c>
      <c r="Y47" s="718" t="s">
        <v>49</v>
      </c>
      <c r="Z47" s="446">
        <v>36</v>
      </c>
      <c r="AA47" s="446">
        <v>38</v>
      </c>
      <c r="AB47" s="447">
        <v>38</v>
      </c>
    </row>
    <row r="48" spans="1:38" ht="27.75" customHeight="1" x14ac:dyDescent="0.2">
      <c r="A48" s="2287"/>
      <c r="B48" s="2361"/>
      <c r="C48" s="2333"/>
      <c r="D48" s="2382"/>
      <c r="E48" s="662"/>
      <c r="F48" s="669"/>
      <c r="G48" s="670"/>
      <c r="H48" s="652"/>
      <c r="I48" s="2340"/>
      <c r="J48" s="100" t="s">
        <v>51</v>
      </c>
      <c r="K48" s="285">
        <f>L48+N48</f>
        <v>3.5</v>
      </c>
      <c r="L48" s="483">
        <v>3.5</v>
      </c>
      <c r="M48" s="483"/>
      <c r="N48" s="825"/>
      <c r="O48" s="232">
        <f>P48+R48</f>
        <v>3</v>
      </c>
      <c r="P48" s="233">
        <v>3</v>
      </c>
      <c r="Q48" s="233"/>
      <c r="R48" s="234"/>
      <c r="S48" s="141">
        <f>T48+V48</f>
        <v>0</v>
      </c>
      <c r="T48" s="142">
        <v>0</v>
      </c>
      <c r="U48" s="142"/>
      <c r="V48" s="143"/>
      <c r="W48" s="826">
        <v>3</v>
      </c>
      <c r="X48" s="827">
        <v>3</v>
      </c>
      <c r="Y48" s="719" t="s">
        <v>135</v>
      </c>
      <c r="Z48" s="720">
        <v>895</v>
      </c>
      <c r="AA48" s="720">
        <v>890</v>
      </c>
      <c r="AB48" s="721">
        <v>890</v>
      </c>
    </row>
    <row r="49" spans="1:30" ht="34.5" customHeight="1" x14ac:dyDescent="0.2">
      <c r="A49" s="679"/>
      <c r="B49" s="653"/>
      <c r="C49" s="690"/>
      <c r="D49" s="2381" t="s">
        <v>35</v>
      </c>
      <c r="E49" s="2383" t="s">
        <v>274</v>
      </c>
      <c r="F49" s="671"/>
      <c r="G49" s="672" t="s">
        <v>45</v>
      </c>
      <c r="H49" s="673" t="s">
        <v>36</v>
      </c>
      <c r="I49" s="2399" t="s">
        <v>147</v>
      </c>
      <c r="J49" s="337" t="s">
        <v>33</v>
      </c>
      <c r="K49" s="820">
        <f>L49+N49</f>
        <v>114.5</v>
      </c>
      <c r="L49" s="353">
        <v>114.5</v>
      </c>
      <c r="M49" s="353"/>
      <c r="N49" s="821"/>
      <c r="O49" s="352">
        <f>P49+R49</f>
        <v>165.1</v>
      </c>
      <c r="P49" s="353">
        <f>180.1-15</f>
        <v>165.1</v>
      </c>
      <c r="Q49" s="353"/>
      <c r="R49" s="354"/>
      <c r="S49" s="822">
        <f>T49+V49</f>
        <v>0</v>
      </c>
      <c r="T49" s="749">
        <v>0</v>
      </c>
      <c r="U49" s="749"/>
      <c r="V49" s="751"/>
      <c r="W49" s="823">
        <v>180</v>
      </c>
      <c r="X49" s="824">
        <v>180</v>
      </c>
      <c r="Y49" s="828" t="s">
        <v>233</v>
      </c>
      <c r="Z49" s="829" t="s">
        <v>234</v>
      </c>
      <c r="AA49" s="829" t="s">
        <v>234</v>
      </c>
      <c r="AB49" s="830" t="s">
        <v>238</v>
      </c>
    </row>
    <row r="50" spans="1:30" ht="20.25" customHeight="1" x14ac:dyDescent="0.2">
      <c r="A50" s="679"/>
      <c r="B50" s="653"/>
      <c r="C50" s="690"/>
      <c r="D50" s="2328"/>
      <c r="E50" s="2293"/>
      <c r="F50" s="658"/>
      <c r="G50" s="649"/>
      <c r="H50" s="618"/>
      <c r="I50" s="2338"/>
      <c r="J50" s="14"/>
      <c r="K50" s="279"/>
      <c r="L50" s="483"/>
      <c r="M50" s="483"/>
      <c r="N50" s="825"/>
      <c r="O50" s="482"/>
      <c r="P50" s="483"/>
      <c r="Q50" s="483"/>
      <c r="R50" s="458"/>
      <c r="S50" s="169"/>
      <c r="T50" s="145"/>
      <c r="U50" s="145"/>
      <c r="V50" s="146"/>
      <c r="W50" s="41"/>
      <c r="X50" s="85"/>
      <c r="Y50" s="361" t="s">
        <v>239</v>
      </c>
      <c r="Z50" s="582" t="s">
        <v>236</v>
      </c>
      <c r="AA50" s="582" t="s">
        <v>236</v>
      </c>
      <c r="AB50" s="583" t="s">
        <v>237</v>
      </c>
    </row>
    <row r="51" spans="1:30" ht="30.75" customHeight="1" x14ac:dyDescent="0.2">
      <c r="A51" s="679"/>
      <c r="B51" s="653"/>
      <c r="C51" s="690"/>
      <c r="D51" s="2328"/>
      <c r="E51" s="2293"/>
      <c r="F51" s="658"/>
      <c r="G51" s="649"/>
      <c r="H51" s="618"/>
      <c r="I51" s="2338"/>
      <c r="J51" s="565"/>
      <c r="K51" s="831"/>
      <c r="L51" s="442"/>
      <c r="M51" s="442"/>
      <c r="N51" s="832"/>
      <c r="O51" s="441"/>
      <c r="P51" s="442"/>
      <c r="Q51" s="442"/>
      <c r="R51" s="591"/>
      <c r="S51" s="833"/>
      <c r="T51" s="834"/>
      <c r="U51" s="834"/>
      <c r="V51" s="835"/>
      <c r="W51" s="836"/>
      <c r="X51" s="837"/>
      <c r="Y51" s="361" t="s">
        <v>275</v>
      </c>
      <c r="Z51" s="581" t="s">
        <v>235</v>
      </c>
      <c r="AA51" s="581" t="s">
        <v>235</v>
      </c>
      <c r="AB51" s="585" t="s">
        <v>235</v>
      </c>
    </row>
    <row r="52" spans="1:30" ht="36" customHeight="1" x14ac:dyDescent="0.2">
      <c r="A52" s="679"/>
      <c r="B52" s="653"/>
      <c r="C52" s="690"/>
      <c r="D52" s="2382"/>
      <c r="E52" s="2510"/>
      <c r="F52" s="669"/>
      <c r="G52" s="670"/>
      <c r="H52" s="652"/>
      <c r="I52" s="2340"/>
      <c r="J52" s="100" t="s">
        <v>33</v>
      </c>
      <c r="K52" s="285">
        <f>L52+N52</f>
        <v>15</v>
      </c>
      <c r="L52" s="233">
        <v>15</v>
      </c>
      <c r="M52" s="233"/>
      <c r="N52" s="838"/>
      <c r="O52" s="232">
        <f>P52+R52</f>
        <v>15</v>
      </c>
      <c r="P52" s="233">
        <v>15</v>
      </c>
      <c r="Q52" s="233"/>
      <c r="R52" s="234"/>
      <c r="S52" s="141">
        <f>T52+V52</f>
        <v>0</v>
      </c>
      <c r="T52" s="142">
        <v>0</v>
      </c>
      <c r="U52" s="142"/>
      <c r="V52" s="143"/>
      <c r="W52" s="59">
        <v>15</v>
      </c>
      <c r="X52" s="84">
        <v>15</v>
      </c>
      <c r="Y52" s="719" t="s">
        <v>84</v>
      </c>
      <c r="Z52" s="839">
        <v>1</v>
      </c>
      <c r="AA52" s="720">
        <v>1</v>
      </c>
      <c r="AB52" s="721">
        <v>1</v>
      </c>
    </row>
    <row r="53" spans="1:30" ht="13.5" thickBot="1" x14ac:dyDescent="0.25">
      <c r="A53" s="301"/>
      <c r="B53" s="655"/>
      <c r="C53" s="311"/>
      <c r="D53" s="312"/>
      <c r="E53" s="313"/>
      <c r="F53" s="314"/>
      <c r="G53" s="315"/>
      <c r="H53" s="316"/>
      <c r="I53" s="2346" t="s">
        <v>146</v>
      </c>
      <c r="J53" s="2347"/>
      <c r="K53" s="318">
        <f t="shared" ref="K53:X53" si="2">SUM(K44:K52)</f>
        <v>7126.3</v>
      </c>
      <c r="L53" s="318">
        <f t="shared" si="2"/>
        <v>7121.8</v>
      </c>
      <c r="M53" s="318">
        <f t="shared" si="2"/>
        <v>0</v>
      </c>
      <c r="N53" s="840">
        <f t="shared" si="2"/>
        <v>4.5</v>
      </c>
      <c r="O53" s="317">
        <f t="shared" si="2"/>
        <v>7171.9</v>
      </c>
      <c r="P53" s="318">
        <f t="shared" si="2"/>
        <v>7171.9</v>
      </c>
      <c r="Q53" s="318">
        <f t="shared" si="2"/>
        <v>0</v>
      </c>
      <c r="R53" s="329">
        <f t="shared" si="2"/>
        <v>0</v>
      </c>
      <c r="S53" s="318">
        <f t="shared" si="2"/>
        <v>0</v>
      </c>
      <c r="T53" s="318">
        <f t="shared" si="2"/>
        <v>0</v>
      </c>
      <c r="U53" s="318">
        <f t="shared" si="2"/>
        <v>0</v>
      </c>
      <c r="V53" s="840">
        <f t="shared" si="2"/>
        <v>0</v>
      </c>
      <c r="W53" s="327">
        <f t="shared" si="2"/>
        <v>7208</v>
      </c>
      <c r="X53" s="318">
        <f t="shared" si="2"/>
        <v>7208</v>
      </c>
      <c r="Y53" s="841"/>
      <c r="Z53" s="842"/>
      <c r="AA53" s="843"/>
      <c r="AB53" s="811"/>
    </row>
    <row r="54" spans="1:30" x14ac:dyDescent="0.2">
      <c r="A54" s="2315" t="s">
        <v>8</v>
      </c>
      <c r="B54" s="2350" t="s">
        <v>8</v>
      </c>
      <c r="C54" s="2332" t="s">
        <v>35</v>
      </c>
      <c r="D54" s="2614"/>
      <c r="E54" s="2616" t="s">
        <v>93</v>
      </c>
      <c r="F54" s="2618" t="s">
        <v>124</v>
      </c>
      <c r="G54" s="2621"/>
      <c r="H54" s="2484"/>
      <c r="I54" s="298"/>
      <c r="J54" s="13"/>
      <c r="K54" s="245"/>
      <c r="L54" s="246"/>
      <c r="M54" s="246"/>
      <c r="N54" s="247"/>
      <c r="O54" s="509"/>
      <c r="P54" s="508"/>
      <c r="Q54" s="508"/>
      <c r="R54" s="507"/>
      <c r="S54" s="812"/>
      <c r="T54" s="812"/>
      <c r="U54" s="812"/>
      <c r="V54" s="812"/>
      <c r="W54" s="812"/>
      <c r="X54" s="812"/>
      <c r="Y54" s="620"/>
      <c r="Z54" s="97"/>
      <c r="AA54" s="97"/>
      <c r="AB54" s="33"/>
    </row>
    <row r="55" spans="1:30" x14ac:dyDescent="0.2">
      <c r="A55" s="2287"/>
      <c r="B55" s="2361"/>
      <c r="C55" s="2333"/>
      <c r="D55" s="2615"/>
      <c r="E55" s="2617"/>
      <c r="F55" s="2619"/>
      <c r="G55" s="2590"/>
      <c r="H55" s="2300"/>
      <c r="I55" s="715"/>
      <c r="J55" s="22" t="s">
        <v>51</v>
      </c>
      <c r="K55" s="226"/>
      <c r="L55" s="227"/>
      <c r="M55" s="227"/>
      <c r="N55" s="228"/>
      <c r="O55" s="226"/>
      <c r="P55" s="227"/>
      <c r="Q55" s="227"/>
      <c r="R55" s="228"/>
      <c r="S55" s="156"/>
      <c r="T55" s="142"/>
      <c r="U55" s="142"/>
      <c r="V55" s="157"/>
      <c r="W55" s="844"/>
      <c r="X55" s="725"/>
      <c r="Y55" s="634"/>
      <c r="Z55" s="666"/>
      <c r="AA55" s="666"/>
      <c r="AB55" s="663"/>
    </row>
    <row r="56" spans="1:30" x14ac:dyDescent="0.2">
      <c r="A56" s="679"/>
      <c r="B56" s="653"/>
      <c r="C56" s="690"/>
      <c r="D56" s="705"/>
      <c r="E56" s="2510"/>
      <c r="F56" s="2620"/>
      <c r="G56" s="649"/>
      <c r="H56" s="618"/>
      <c r="I56" s="715"/>
      <c r="J56" s="14" t="s">
        <v>106</v>
      </c>
      <c r="K56" s="608"/>
      <c r="L56" s="609"/>
      <c r="M56" s="609"/>
      <c r="N56" s="228"/>
      <c r="O56" s="226"/>
      <c r="P56" s="227"/>
      <c r="Q56" s="609"/>
      <c r="R56" s="250"/>
      <c r="S56" s="194"/>
      <c r="T56" s="145"/>
      <c r="U56" s="145"/>
      <c r="V56" s="166"/>
      <c r="W56" s="845"/>
      <c r="X56" s="41"/>
      <c r="Y56" s="634"/>
      <c r="Z56" s="666"/>
      <c r="AA56" s="666"/>
      <c r="AB56" s="663"/>
    </row>
    <row r="57" spans="1:30" ht="29.25" customHeight="1" x14ac:dyDescent="0.2">
      <c r="A57" s="679"/>
      <c r="B57" s="630"/>
      <c r="C57" s="420"/>
      <c r="D57" s="708" t="s">
        <v>8</v>
      </c>
      <c r="E57" s="561" t="s">
        <v>174</v>
      </c>
      <c r="F57" s="2506" t="s">
        <v>206</v>
      </c>
      <c r="G57" s="2589" t="s">
        <v>45</v>
      </c>
      <c r="H57" s="2388" t="s">
        <v>36</v>
      </c>
      <c r="I57" s="2471" t="s">
        <v>157</v>
      </c>
      <c r="J57" s="186" t="s">
        <v>33</v>
      </c>
      <c r="K57" s="330">
        <f t="shared" ref="K57:K63" si="3">L57+N57</f>
        <v>0</v>
      </c>
      <c r="L57" s="330"/>
      <c r="M57" s="310"/>
      <c r="N57" s="215"/>
      <c r="O57" s="232">
        <f t="shared" ref="O57" si="4">P57+R57</f>
        <v>24</v>
      </c>
      <c r="P57" s="285"/>
      <c r="Q57" s="310"/>
      <c r="R57" s="405">
        <v>24</v>
      </c>
      <c r="S57" s="158">
        <f>T57+V57</f>
        <v>0</v>
      </c>
      <c r="T57" s="147"/>
      <c r="U57" s="846"/>
      <c r="V57" s="847"/>
      <c r="W57" s="848"/>
      <c r="X57" s="799"/>
      <c r="Y57" s="412" t="s">
        <v>256</v>
      </c>
      <c r="Z57" s="849">
        <v>2</v>
      </c>
      <c r="AA57" s="850"/>
      <c r="AB57" s="851"/>
    </row>
    <row r="58" spans="1:30" ht="28.5" customHeight="1" x14ac:dyDescent="0.2">
      <c r="A58" s="679"/>
      <c r="B58" s="653"/>
      <c r="C58" s="420"/>
      <c r="D58" s="698" t="s">
        <v>10</v>
      </c>
      <c r="E58" s="480" t="s">
        <v>204</v>
      </c>
      <c r="F58" s="2622"/>
      <c r="G58" s="2599"/>
      <c r="H58" s="2389"/>
      <c r="I58" s="2623"/>
      <c r="J58" s="477" t="s">
        <v>33</v>
      </c>
      <c r="K58" s="757"/>
      <c r="L58" s="757"/>
      <c r="M58" s="852"/>
      <c r="N58" s="196"/>
      <c r="O58" s="359">
        <f>P58+R58</f>
        <v>0</v>
      </c>
      <c r="P58" s="319"/>
      <c r="Q58" s="492"/>
      <c r="R58" s="71"/>
      <c r="S58" s="853"/>
      <c r="T58" s="854"/>
      <c r="U58" s="492"/>
      <c r="V58" s="855"/>
      <c r="W58" s="856">
        <v>35</v>
      </c>
      <c r="X58" s="20">
        <v>35</v>
      </c>
      <c r="Y58" s="412" t="s">
        <v>205</v>
      </c>
      <c r="Z58" s="849"/>
      <c r="AA58" s="857">
        <v>100</v>
      </c>
      <c r="AB58" s="858">
        <v>100</v>
      </c>
    </row>
    <row r="59" spans="1:30" ht="24.75" customHeight="1" x14ac:dyDescent="0.2">
      <c r="A59" s="2287"/>
      <c r="B59" s="2361"/>
      <c r="C59" s="2333"/>
      <c r="D59" s="2381" t="s">
        <v>35</v>
      </c>
      <c r="E59" s="2503" t="s">
        <v>50</v>
      </c>
      <c r="F59" s="2506"/>
      <c r="G59" s="2589" t="s">
        <v>45</v>
      </c>
      <c r="H59" s="2388" t="s">
        <v>36</v>
      </c>
      <c r="I59" s="2508" t="s">
        <v>176</v>
      </c>
      <c r="J59" s="337" t="s">
        <v>33</v>
      </c>
      <c r="K59" s="820">
        <f t="shared" si="3"/>
        <v>29.6</v>
      </c>
      <c r="L59" s="859">
        <v>29.6</v>
      </c>
      <c r="M59" s="859">
        <v>8.4</v>
      </c>
      <c r="N59" s="338"/>
      <c r="O59" s="1051">
        <f>P59+R59</f>
        <v>31</v>
      </c>
      <c r="P59" s="615">
        <f>30.7+0.3</f>
        <v>31</v>
      </c>
      <c r="Q59" s="615">
        <v>9.1999999999999993</v>
      </c>
      <c r="R59" s="338"/>
      <c r="S59" s="860">
        <f>T59+V59</f>
        <v>0</v>
      </c>
      <c r="T59" s="749">
        <v>0</v>
      </c>
      <c r="U59" s="749">
        <v>0</v>
      </c>
      <c r="V59" s="861"/>
      <c r="W59" s="862">
        <v>30.7</v>
      </c>
      <c r="X59" s="823">
        <v>30.7</v>
      </c>
      <c r="Y59" s="863" t="s">
        <v>257</v>
      </c>
      <c r="Z59" s="864">
        <v>2</v>
      </c>
      <c r="AA59" s="864">
        <v>2</v>
      </c>
      <c r="AB59" s="865">
        <v>2</v>
      </c>
    </row>
    <row r="60" spans="1:30" ht="23.25" customHeight="1" x14ac:dyDescent="0.2">
      <c r="A60" s="2287"/>
      <c r="B60" s="2361"/>
      <c r="C60" s="2333"/>
      <c r="D60" s="2382"/>
      <c r="E60" s="2505"/>
      <c r="F60" s="2507"/>
      <c r="G60" s="2599"/>
      <c r="H60" s="2389"/>
      <c r="I60" s="2509"/>
      <c r="J60" s="100" t="s">
        <v>51</v>
      </c>
      <c r="K60" s="285">
        <f t="shared" si="3"/>
        <v>9</v>
      </c>
      <c r="L60" s="866">
        <v>9</v>
      </c>
      <c r="M60" s="866">
        <v>6.9</v>
      </c>
      <c r="N60" s="223"/>
      <c r="O60" s="220">
        <f>P60+R60</f>
        <v>9</v>
      </c>
      <c r="P60" s="221">
        <v>9</v>
      </c>
      <c r="Q60" s="233">
        <v>6.9</v>
      </c>
      <c r="R60" s="223"/>
      <c r="S60" s="156">
        <f>T60+V60</f>
        <v>0</v>
      </c>
      <c r="T60" s="142">
        <v>0</v>
      </c>
      <c r="U60" s="142">
        <v>0</v>
      </c>
      <c r="V60" s="157"/>
      <c r="W60" s="867">
        <v>9</v>
      </c>
      <c r="X60" s="59">
        <v>9</v>
      </c>
      <c r="Y60" s="868" t="s">
        <v>258</v>
      </c>
      <c r="Z60" s="869">
        <v>5</v>
      </c>
      <c r="AA60" s="869">
        <v>5</v>
      </c>
      <c r="AB60" s="798">
        <v>5</v>
      </c>
    </row>
    <row r="61" spans="1:30" ht="31.5" customHeight="1" x14ac:dyDescent="0.2">
      <c r="A61" s="679"/>
      <c r="B61" s="653"/>
      <c r="C61" s="690"/>
      <c r="D61" s="473" t="s">
        <v>44</v>
      </c>
      <c r="E61" s="700" t="s">
        <v>113</v>
      </c>
      <c r="F61" s="669"/>
      <c r="G61" s="670" t="s">
        <v>39</v>
      </c>
      <c r="H61" s="652" t="s">
        <v>36</v>
      </c>
      <c r="I61" s="2340"/>
      <c r="J61" s="22" t="s">
        <v>51</v>
      </c>
      <c r="K61" s="330">
        <f t="shared" si="3"/>
        <v>84</v>
      </c>
      <c r="L61" s="255">
        <v>84</v>
      </c>
      <c r="M61" s="255">
        <v>24.8</v>
      </c>
      <c r="N61" s="223"/>
      <c r="O61" s="220">
        <f>P61</f>
        <v>84</v>
      </c>
      <c r="P61" s="221">
        <v>84</v>
      </c>
      <c r="Q61" s="233">
        <v>25.6</v>
      </c>
      <c r="R61" s="223"/>
      <c r="S61" s="156">
        <f>T61+V61</f>
        <v>0</v>
      </c>
      <c r="T61" s="142">
        <v>0</v>
      </c>
      <c r="U61" s="142">
        <v>0</v>
      </c>
      <c r="V61" s="157"/>
      <c r="W61" s="867">
        <v>84</v>
      </c>
      <c r="X61" s="59">
        <v>84</v>
      </c>
      <c r="Y61" s="60" t="s">
        <v>136</v>
      </c>
      <c r="Z61" s="61">
        <v>2</v>
      </c>
      <c r="AA61" s="870">
        <v>2</v>
      </c>
      <c r="AB61" s="62">
        <v>2</v>
      </c>
    </row>
    <row r="62" spans="1:30" ht="18" customHeight="1" x14ac:dyDescent="0.2">
      <c r="A62" s="679"/>
      <c r="B62" s="653"/>
      <c r="C62" s="420"/>
      <c r="D62" s="698" t="s">
        <v>45</v>
      </c>
      <c r="E62" s="2523" t="s">
        <v>267</v>
      </c>
      <c r="F62" s="671"/>
      <c r="G62" s="672" t="s">
        <v>35</v>
      </c>
      <c r="H62" s="673" t="s">
        <v>36</v>
      </c>
      <c r="I62" s="2508" t="s">
        <v>175</v>
      </c>
      <c r="J62" s="14" t="s">
        <v>33</v>
      </c>
      <c r="K62" s="352">
        <f>L62+N62</f>
        <v>1223.9000000000001</v>
      </c>
      <c r="L62" s="859">
        <f>1151.5+72.4</f>
        <v>1223.9000000000001</v>
      </c>
      <c r="M62" s="859">
        <v>702.3</v>
      </c>
      <c r="N62" s="825"/>
      <c r="O62" s="1049">
        <f>P62+R62</f>
        <v>1405.1</v>
      </c>
      <c r="P62" s="1050">
        <f>1384.2+20.9</f>
        <v>1405.1</v>
      </c>
      <c r="Q62" s="1050">
        <f>815.1+15.9</f>
        <v>831</v>
      </c>
      <c r="R62" s="250"/>
      <c r="S62" s="194">
        <f>T62+V62</f>
        <v>0</v>
      </c>
      <c r="T62" s="145">
        <v>0</v>
      </c>
      <c r="U62" s="145">
        <v>0</v>
      </c>
      <c r="V62" s="166"/>
      <c r="W62" s="845">
        <v>1384.2</v>
      </c>
      <c r="X62" s="41">
        <v>1384.2</v>
      </c>
      <c r="Y62" s="418" t="s">
        <v>53</v>
      </c>
      <c r="Z62" s="419">
        <v>19.5</v>
      </c>
      <c r="AA62" s="871">
        <v>19.5</v>
      </c>
      <c r="AB62" s="417">
        <v>19.5</v>
      </c>
    </row>
    <row r="63" spans="1:30" ht="16.5" customHeight="1" x14ac:dyDescent="0.2">
      <c r="A63" s="679"/>
      <c r="B63" s="653"/>
      <c r="C63" s="420"/>
      <c r="D63" s="649"/>
      <c r="E63" s="2523"/>
      <c r="F63" s="658"/>
      <c r="G63" s="649"/>
      <c r="H63" s="618"/>
      <c r="I63" s="2509"/>
      <c r="J63" s="332" t="s">
        <v>51</v>
      </c>
      <c r="K63" s="441">
        <f t="shared" si="3"/>
        <v>23.2</v>
      </c>
      <c r="L63" s="442">
        <v>23.2</v>
      </c>
      <c r="M63" s="442"/>
      <c r="N63" s="350"/>
      <c r="O63" s="343">
        <f>P63</f>
        <v>23.2</v>
      </c>
      <c r="P63" s="344">
        <v>23.2</v>
      </c>
      <c r="Q63" s="335"/>
      <c r="R63" s="336"/>
      <c r="S63" s="872">
        <f>T63</f>
        <v>0</v>
      </c>
      <c r="T63" s="732">
        <v>0</v>
      </c>
      <c r="U63" s="732"/>
      <c r="V63" s="873"/>
      <c r="W63" s="743">
        <v>23.3</v>
      </c>
      <c r="X63" s="744">
        <v>23.3</v>
      </c>
      <c r="Y63" s="481" t="s">
        <v>52</v>
      </c>
      <c r="Z63" s="475">
        <v>108.8</v>
      </c>
      <c r="AA63" s="475">
        <v>108.8</v>
      </c>
      <c r="AB63" s="476">
        <v>108.8</v>
      </c>
      <c r="AD63" s="74"/>
    </row>
    <row r="64" spans="1:30" ht="42.75" customHeight="1" x14ac:dyDescent="0.2">
      <c r="A64" s="679"/>
      <c r="B64" s="653"/>
      <c r="C64" s="420"/>
      <c r="D64" s="649"/>
      <c r="E64" s="682" t="s">
        <v>268</v>
      </c>
      <c r="F64" s="658"/>
      <c r="G64" s="649"/>
      <c r="H64" s="618"/>
      <c r="I64" s="2509"/>
      <c r="J64" s="332" t="s">
        <v>33</v>
      </c>
      <c r="K64" s="482"/>
      <c r="L64" s="483"/>
      <c r="M64" s="483"/>
      <c r="N64" s="874"/>
      <c r="O64" s="1056"/>
      <c r="P64" s="1057"/>
      <c r="Q64" s="496"/>
      <c r="R64" s="497"/>
      <c r="S64" s="333"/>
      <c r="T64" s="342"/>
      <c r="U64" s="342"/>
      <c r="V64" s="350"/>
      <c r="W64" s="875">
        <v>0.9</v>
      </c>
      <c r="X64" s="876">
        <v>0.9</v>
      </c>
      <c r="Y64" s="877" t="s">
        <v>290</v>
      </c>
      <c r="Z64" s="878">
        <v>895.9</v>
      </c>
      <c r="AA64" s="475">
        <v>895.9</v>
      </c>
      <c r="AB64" s="476">
        <v>895.9</v>
      </c>
      <c r="AD64" s="74"/>
    </row>
    <row r="65" spans="1:30" ht="29.25" customHeight="1" x14ac:dyDescent="0.2">
      <c r="A65" s="679"/>
      <c r="B65" s="653"/>
      <c r="C65" s="420"/>
      <c r="D65" s="649"/>
      <c r="E65" s="704" t="s">
        <v>119</v>
      </c>
      <c r="F65" s="658"/>
      <c r="G65" s="649"/>
      <c r="H65" s="618"/>
      <c r="I65" s="2509"/>
      <c r="J65" s="332" t="s">
        <v>33</v>
      </c>
      <c r="K65" s="879">
        <f>L65</f>
        <v>10</v>
      </c>
      <c r="L65" s="880">
        <v>10</v>
      </c>
      <c r="M65" s="880"/>
      <c r="N65" s="874"/>
      <c r="O65" s="687">
        <f>P65+R65</f>
        <v>10</v>
      </c>
      <c r="P65" s="319">
        <v>0</v>
      </c>
      <c r="Q65" s="319"/>
      <c r="R65" s="484">
        <v>10</v>
      </c>
      <c r="S65" s="687">
        <f>T65</f>
        <v>0</v>
      </c>
      <c r="T65" s="688">
        <v>0</v>
      </c>
      <c r="U65" s="688"/>
      <c r="V65" s="689"/>
      <c r="W65" s="881">
        <v>10</v>
      </c>
      <c r="X65" s="31">
        <v>10</v>
      </c>
      <c r="Y65" s="418" t="s">
        <v>291</v>
      </c>
      <c r="Z65" s="882">
        <v>1</v>
      </c>
      <c r="AA65" s="426">
        <v>1</v>
      </c>
      <c r="AB65" s="474">
        <v>1</v>
      </c>
    </row>
    <row r="66" spans="1:30" ht="19.5" customHeight="1" x14ac:dyDescent="0.2">
      <c r="A66" s="679"/>
      <c r="B66" s="630"/>
      <c r="C66" s="420"/>
      <c r="D66" s="649"/>
      <c r="E66" s="704" t="s">
        <v>116</v>
      </c>
      <c r="F66" s="658"/>
      <c r="G66" s="649"/>
      <c r="H66" s="618"/>
      <c r="I66" s="2509"/>
      <c r="J66" s="425" t="s">
        <v>33</v>
      </c>
      <c r="K66" s="333">
        <f>N66</f>
        <v>53</v>
      </c>
      <c r="L66" s="342"/>
      <c r="M66" s="342"/>
      <c r="N66" s="350">
        <v>53</v>
      </c>
      <c r="O66" s="485">
        <f>+R66+P66</f>
        <v>217.8</v>
      </c>
      <c r="P66" s="486"/>
      <c r="Q66" s="487"/>
      <c r="R66" s="488">
        <v>217.8</v>
      </c>
      <c r="S66" s="485">
        <f>T66+V66</f>
        <v>0</v>
      </c>
      <c r="T66" s="486"/>
      <c r="U66" s="487"/>
      <c r="V66" s="883"/>
      <c r="W66" s="884"/>
      <c r="X66" s="885"/>
      <c r="Y66" s="345" t="s">
        <v>260</v>
      </c>
      <c r="Z66" s="422">
        <v>1</v>
      </c>
      <c r="AA66" s="422"/>
      <c r="AB66" s="347"/>
    </row>
    <row r="67" spans="1:30" ht="31.5" customHeight="1" x14ac:dyDescent="0.2">
      <c r="A67" s="300"/>
      <c r="B67" s="653"/>
      <c r="C67" s="420"/>
      <c r="D67" s="649"/>
      <c r="E67" s="443" t="s">
        <v>118</v>
      </c>
      <c r="F67" s="658"/>
      <c r="G67" s="649"/>
      <c r="H67" s="618"/>
      <c r="I67" s="416"/>
      <c r="J67" s="14" t="s">
        <v>33</v>
      </c>
      <c r="K67" s="333">
        <f>L67</f>
        <v>0</v>
      </c>
      <c r="L67" s="342">
        <v>0</v>
      </c>
      <c r="M67" s="342"/>
      <c r="N67" s="350"/>
      <c r="O67" s="333">
        <f>+R67+P67</f>
        <v>250</v>
      </c>
      <c r="P67" s="357"/>
      <c r="Q67" s="562"/>
      <c r="R67" s="563">
        <v>250</v>
      </c>
      <c r="S67" s="333"/>
      <c r="T67" s="357"/>
      <c r="U67" s="562"/>
      <c r="V67" s="886"/>
      <c r="W67" s="875">
        <v>163.80000000000001</v>
      </c>
      <c r="X67" s="887"/>
      <c r="Y67" s="410" t="s">
        <v>181</v>
      </c>
      <c r="Z67" s="888">
        <v>60</v>
      </c>
      <c r="AA67" s="888">
        <v>40</v>
      </c>
      <c r="AB67" s="347"/>
    </row>
    <row r="68" spans="1:30" ht="18" customHeight="1" x14ac:dyDescent="0.2">
      <c r="A68" s="679"/>
      <c r="B68" s="630"/>
      <c r="C68" s="690"/>
      <c r="D68" s="644"/>
      <c r="E68" s="2515" t="s">
        <v>177</v>
      </c>
      <c r="F68" s="658"/>
      <c r="G68" s="649"/>
      <c r="H68" s="618"/>
      <c r="I68" s="701"/>
      <c r="J68" s="14" t="s">
        <v>33</v>
      </c>
      <c r="K68" s="2630"/>
      <c r="L68" s="2631"/>
      <c r="M68" s="2631"/>
      <c r="N68" s="2632"/>
      <c r="O68" s="2633">
        <f>P68</f>
        <v>92.5</v>
      </c>
      <c r="P68" s="2626">
        <f>91.8+0.7</f>
        <v>92.5</v>
      </c>
      <c r="Q68" s="2626">
        <f>22.6+0.5</f>
        <v>23.1</v>
      </c>
      <c r="R68" s="2627"/>
      <c r="S68" s="2628"/>
      <c r="T68" s="2629"/>
      <c r="U68" s="2629"/>
      <c r="V68" s="2627"/>
      <c r="W68" s="2624">
        <v>91.8</v>
      </c>
      <c r="X68" s="2624">
        <v>91.8</v>
      </c>
      <c r="Y68" s="15" t="s">
        <v>258</v>
      </c>
      <c r="Z68" s="660">
        <v>5</v>
      </c>
      <c r="AA68" s="660">
        <v>5</v>
      </c>
      <c r="AB68" s="661">
        <v>5</v>
      </c>
    </row>
    <row r="69" spans="1:30" ht="16.5" customHeight="1" x14ac:dyDescent="0.2">
      <c r="A69" s="679"/>
      <c r="B69" s="630"/>
      <c r="C69" s="690"/>
      <c r="D69" s="644"/>
      <c r="E69" s="2516"/>
      <c r="F69" s="658"/>
      <c r="G69" s="649"/>
      <c r="H69" s="618"/>
      <c r="I69" s="701"/>
      <c r="J69" s="14"/>
      <c r="K69" s="2630"/>
      <c r="L69" s="2631"/>
      <c r="M69" s="2631"/>
      <c r="N69" s="2632"/>
      <c r="O69" s="2633"/>
      <c r="P69" s="2626"/>
      <c r="Q69" s="2626"/>
      <c r="R69" s="2627"/>
      <c r="S69" s="2628"/>
      <c r="T69" s="2629"/>
      <c r="U69" s="2629"/>
      <c r="V69" s="2627"/>
      <c r="W69" s="2624"/>
      <c r="X69" s="2624"/>
      <c r="Y69" s="361" t="s">
        <v>292</v>
      </c>
      <c r="Z69" s="346">
        <v>1</v>
      </c>
      <c r="AA69" s="346">
        <v>1</v>
      </c>
      <c r="AB69" s="347">
        <v>1</v>
      </c>
      <c r="AC69" s="74"/>
      <c r="AD69" s="74"/>
    </row>
    <row r="70" spans="1:30" ht="17.25" customHeight="1" x14ac:dyDescent="0.2">
      <c r="A70" s="679"/>
      <c r="B70" s="630"/>
      <c r="C70" s="690"/>
      <c r="D70" s="644"/>
      <c r="E70" s="2516"/>
      <c r="F70" s="658"/>
      <c r="G70" s="649"/>
      <c r="H70" s="618"/>
      <c r="I70" s="701"/>
      <c r="J70" s="14"/>
      <c r="K70" s="2630"/>
      <c r="L70" s="2631"/>
      <c r="M70" s="2631"/>
      <c r="N70" s="2632"/>
      <c r="O70" s="2633"/>
      <c r="P70" s="2626"/>
      <c r="Q70" s="2626"/>
      <c r="R70" s="2627"/>
      <c r="S70" s="2628"/>
      <c r="T70" s="2629"/>
      <c r="U70" s="2629"/>
      <c r="V70" s="2627"/>
      <c r="W70" s="2624"/>
      <c r="X70" s="2624"/>
      <c r="Y70" s="361" t="s">
        <v>293</v>
      </c>
      <c r="Z70" s="423">
        <v>1.8</v>
      </c>
      <c r="AA70" s="423">
        <v>1.8</v>
      </c>
      <c r="AB70" s="424">
        <v>1.8</v>
      </c>
      <c r="AC70" s="421"/>
    </row>
    <row r="71" spans="1:30" ht="16.5" customHeight="1" x14ac:dyDescent="0.2">
      <c r="A71" s="679"/>
      <c r="B71" s="630"/>
      <c r="C71" s="690"/>
      <c r="D71" s="644"/>
      <c r="E71" s="443" t="s">
        <v>209</v>
      </c>
      <c r="F71" s="658"/>
      <c r="G71" s="649"/>
      <c r="H71" s="618"/>
      <c r="I71" s="701"/>
      <c r="J71" s="14" t="s">
        <v>33</v>
      </c>
      <c r="K71" s="738"/>
      <c r="L71" s="358"/>
      <c r="M71" s="358"/>
      <c r="N71" s="889"/>
      <c r="O71" s="485"/>
      <c r="P71" s="348"/>
      <c r="Q71" s="348"/>
      <c r="R71" s="489"/>
      <c r="S71" s="486"/>
      <c r="T71" s="348"/>
      <c r="U71" s="348"/>
      <c r="V71" s="890"/>
      <c r="W71" s="793">
        <v>80.400000000000006</v>
      </c>
      <c r="X71" s="891">
        <v>40.200000000000003</v>
      </c>
      <c r="Y71" s="345" t="s">
        <v>261</v>
      </c>
      <c r="Z71" s="346"/>
      <c r="AA71" s="346">
        <v>2</v>
      </c>
      <c r="AB71" s="347">
        <v>1</v>
      </c>
    </row>
    <row r="72" spans="1:30" ht="18" customHeight="1" x14ac:dyDescent="0.2">
      <c r="A72" s="679"/>
      <c r="B72" s="630"/>
      <c r="C72" s="690"/>
      <c r="D72" s="644"/>
      <c r="E72" s="443" t="s">
        <v>178</v>
      </c>
      <c r="F72" s="658"/>
      <c r="G72" s="649"/>
      <c r="H72" s="618"/>
      <c r="I72" s="701"/>
      <c r="J72" s="14" t="s">
        <v>33</v>
      </c>
      <c r="K72" s="738"/>
      <c r="L72" s="358"/>
      <c r="M72" s="358"/>
      <c r="N72" s="889"/>
      <c r="O72" s="485">
        <f t="shared" ref="O72:O74" si="5">P72+R72</f>
        <v>6</v>
      </c>
      <c r="P72" s="368"/>
      <c r="Q72" s="368"/>
      <c r="R72" s="489">
        <v>6</v>
      </c>
      <c r="S72" s="486"/>
      <c r="T72" s="348"/>
      <c r="U72" s="348"/>
      <c r="V72" s="890"/>
      <c r="W72" s="793"/>
      <c r="X72" s="891"/>
      <c r="Y72" s="361" t="s">
        <v>294</v>
      </c>
      <c r="Z72" s="346">
        <v>2</v>
      </c>
      <c r="AA72" s="423"/>
      <c r="AB72" s="424"/>
    </row>
    <row r="73" spans="1:30" ht="18" customHeight="1" x14ac:dyDescent="0.2">
      <c r="A73" s="679"/>
      <c r="B73" s="630"/>
      <c r="C73" s="690"/>
      <c r="D73" s="644"/>
      <c r="E73" s="443" t="s">
        <v>179</v>
      </c>
      <c r="F73" s="658"/>
      <c r="G73" s="649"/>
      <c r="H73" s="618"/>
      <c r="I73" s="701"/>
      <c r="J73" s="14" t="s">
        <v>33</v>
      </c>
      <c r="K73" s="738"/>
      <c r="L73" s="358"/>
      <c r="M73" s="358"/>
      <c r="N73" s="889"/>
      <c r="O73" s="485">
        <f t="shared" si="5"/>
        <v>0</v>
      </c>
      <c r="P73" s="368">
        <v>0</v>
      </c>
      <c r="Q73" s="368"/>
      <c r="R73" s="489">
        <v>0</v>
      </c>
      <c r="S73" s="486"/>
      <c r="T73" s="348"/>
      <c r="U73" s="348"/>
      <c r="V73" s="890"/>
      <c r="W73" s="793">
        <v>284.10000000000002</v>
      </c>
      <c r="X73" s="891">
        <v>0</v>
      </c>
      <c r="Y73" s="345" t="s">
        <v>295</v>
      </c>
      <c r="Z73" s="423"/>
      <c r="AA73" s="346">
        <v>1</v>
      </c>
      <c r="AB73" s="424"/>
    </row>
    <row r="74" spans="1:30" ht="18.75" customHeight="1" x14ac:dyDescent="0.2">
      <c r="A74" s="679"/>
      <c r="B74" s="630"/>
      <c r="C74" s="690"/>
      <c r="D74" s="644"/>
      <c r="E74" s="682" t="s">
        <v>180</v>
      </c>
      <c r="F74" s="669"/>
      <c r="G74" s="670"/>
      <c r="H74" s="652"/>
      <c r="I74" s="459"/>
      <c r="J74" s="100" t="s">
        <v>33</v>
      </c>
      <c r="K74" s="220"/>
      <c r="L74" s="221"/>
      <c r="M74" s="221"/>
      <c r="N74" s="223"/>
      <c r="O74" s="359">
        <f t="shared" si="5"/>
        <v>24</v>
      </c>
      <c r="P74" s="236"/>
      <c r="Q74" s="236"/>
      <c r="R74" s="328">
        <v>24</v>
      </c>
      <c r="S74" s="490"/>
      <c r="T74" s="236"/>
      <c r="U74" s="236"/>
      <c r="V74" s="892"/>
      <c r="W74" s="59">
        <v>73</v>
      </c>
      <c r="X74" s="84">
        <v>73</v>
      </c>
      <c r="Y74" s="55" t="s">
        <v>262</v>
      </c>
      <c r="Z74" s="674">
        <v>8</v>
      </c>
      <c r="AA74" s="674">
        <v>24</v>
      </c>
      <c r="AB74" s="675">
        <v>24</v>
      </c>
    </row>
    <row r="75" spans="1:30" ht="40.5" customHeight="1" x14ac:dyDescent="0.2">
      <c r="A75" s="679"/>
      <c r="B75" s="653"/>
      <c r="C75" s="690"/>
      <c r="D75" s="708" t="s">
        <v>37</v>
      </c>
      <c r="E75" s="90" t="s">
        <v>182</v>
      </c>
      <c r="F75" s="710"/>
      <c r="G75" s="712" t="s">
        <v>45</v>
      </c>
      <c r="H75" s="713" t="s">
        <v>36</v>
      </c>
      <c r="I75" s="351" t="s">
        <v>145</v>
      </c>
      <c r="J75" s="22" t="s">
        <v>33</v>
      </c>
      <c r="K75" s="254">
        <f>L75+N75</f>
        <v>37.6</v>
      </c>
      <c r="L75" s="230">
        <f>110-72.4</f>
        <v>37.6</v>
      </c>
      <c r="M75" s="227"/>
      <c r="N75" s="228"/>
      <c r="O75" s="226"/>
      <c r="P75" s="227"/>
      <c r="Q75" s="227"/>
      <c r="R75" s="228"/>
      <c r="S75" s="158"/>
      <c r="T75" s="148"/>
      <c r="U75" s="148"/>
      <c r="V75" s="159"/>
      <c r="W75" s="844"/>
      <c r="X75" s="725"/>
      <c r="Y75" s="87"/>
      <c r="Z75" s="88"/>
      <c r="AA75" s="88"/>
      <c r="AB75" s="893"/>
    </row>
    <row r="76" spans="1:30" ht="13.5" thickBot="1" x14ac:dyDescent="0.25">
      <c r="A76" s="301"/>
      <c r="B76" s="655"/>
      <c r="C76" s="311"/>
      <c r="D76" s="312"/>
      <c r="E76" s="313"/>
      <c r="F76" s="314"/>
      <c r="G76" s="315"/>
      <c r="H76" s="316"/>
      <c r="I76" s="2346" t="s">
        <v>146</v>
      </c>
      <c r="J76" s="2347"/>
      <c r="K76" s="317">
        <f t="shared" ref="K76:X76" si="6">SUM(K57:K75)</f>
        <v>1470.3</v>
      </c>
      <c r="L76" s="317">
        <f t="shared" si="6"/>
        <v>1417.3</v>
      </c>
      <c r="M76" s="317">
        <f t="shared" si="6"/>
        <v>742.4</v>
      </c>
      <c r="N76" s="317">
        <f t="shared" si="6"/>
        <v>53</v>
      </c>
      <c r="O76" s="317">
        <f>SUM(O57:O75)</f>
        <v>2176.6</v>
      </c>
      <c r="P76" s="317">
        <f t="shared" si="6"/>
        <v>1644.8</v>
      </c>
      <c r="Q76" s="317">
        <f t="shared" si="6"/>
        <v>895.8</v>
      </c>
      <c r="R76" s="317">
        <f t="shared" si="6"/>
        <v>531.79999999999995</v>
      </c>
      <c r="S76" s="317">
        <f t="shared" si="6"/>
        <v>0</v>
      </c>
      <c r="T76" s="317">
        <f t="shared" si="6"/>
        <v>0</v>
      </c>
      <c r="U76" s="317">
        <f t="shared" si="6"/>
        <v>0</v>
      </c>
      <c r="V76" s="317">
        <f t="shared" si="6"/>
        <v>0</v>
      </c>
      <c r="W76" s="317">
        <f t="shared" si="6"/>
        <v>2270.1999999999998</v>
      </c>
      <c r="X76" s="317">
        <f t="shared" si="6"/>
        <v>1782.1</v>
      </c>
      <c r="Y76" s="841"/>
      <c r="Z76" s="842"/>
      <c r="AA76" s="843"/>
      <c r="AB76" s="811"/>
    </row>
    <row r="77" spans="1:30" x14ac:dyDescent="0.2">
      <c r="A77" s="2315" t="s">
        <v>8</v>
      </c>
      <c r="B77" s="2350" t="s">
        <v>8</v>
      </c>
      <c r="C77" s="2332" t="s">
        <v>44</v>
      </c>
      <c r="D77" s="2354"/>
      <c r="E77" s="2616" t="s">
        <v>94</v>
      </c>
      <c r="F77" s="2625" t="s">
        <v>241</v>
      </c>
      <c r="G77" s="2621"/>
      <c r="H77" s="2484"/>
      <c r="I77" s="76"/>
      <c r="J77" s="13" t="s">
        <v>33</v>
      </c>
      <c r="K77" s="245"/>
      <c r="L77" s="246"/>
      <c r="M77" s="246"/>
      <c r="N77" s="247"/>
      <c r="O77" s="245"/>
      <c r="P77" s="246"/>
      <c r="Q77" s="246"/>
      <c r="R77" s="248"/>
      <c r="S77" s="153"/>
      <c r="T77" s="154"/>
      <c r="U77" s="154"/>
      <c r="V77" s="155"/>
      <c r="W77" s="37"/>
      <c r="X77" s="37"/>
      <c r="Y77" s="2467"/>
      <c r="Z77" s="2038"/>
      <c r="AA77" s="2038"/>
      <c r="AB77" s="2041"/>
    </row>
    <row r="78" spans="1:30" x14ac:dyDescent="0.2">
      <c r="A78" s="2287"/>
      <c r="B78" s="2361"/>
      <c r="C78" s="2333"/>
      <c r="D78" s="2499"/>
      <c r="E78" s="2617"/>
      <c r="F78" s="2625"/>
      <c r="G78" s="2590"/>
      <c r="H78" s="2300"/>
      <c r="I78" s="73"/>
      <c r="J78" s="10" t="s">
        <v>106</v>
      </c>
      <c r="K78" s="224"/>
      <c r="L78" s="609"/>
      <c r="M78" s="609"/>
      <c r="N78" s="242"/>
      <c r="O78" s="224"/>
      <c r="P78" s="609"/>
      <c r="Q78" s="609"/>
      <c r="R78" s="610"/>
      <c r="S78" s="144"/>
      <c r="T78" s="145"/>
      <c r="U78" s="145"/>
      <c r="V78" s="146"/>
      <c r="W78" s="63"/>
      <c r="X78" s="63"/>
      <c r="Y78" s="2408"/>
      <c r="Z78" s="2039"/>
      <c r="AA78" s="2039"/>
      <c r="AB78" s="2042"/>
    </row>
    <row r="79" spans="1:30" x14ac:dyDescent="0.2">
      <c r="A79" s="2287"/>
      <c r="B79" s="2361"/>
      <c r="C79" s="2333"/>
      <c r="D79" s="2495" t="s">
        <v>8</v>
      </c>
      <c r="E79" s="2497" t="s">
        <v>55</v>
      </c>
      <c r="F79" s="2390"/>
      <c r="G79" s="2634" t="s">
        <v>37</v>
      </c>
      <c r="H79" s="2394" t="s">
        <v>36</v>
      </c>
      <c r="I79" s="2638" t="s">
        <v>145</v>
      </c>
      <c r="J79" s="337" t="s">
        <v>33</v>
      </c>
      <c r="K79" s="820">
        <f t="shared" ref="K79:K85" si="7">L79+N79</f>
        <v>3593.3</v>
      </c>
      <c r="L79" s="353">
        <v>3593.3</v>
      </c>
      <c r="M79" s="340"/>
      <c r="N79" s="338"/>
      <c r="O79" s="339">
        <f>P79+R79</f>
        <v>3957.5</v>
      </c>
      <c r="P79" s="340">
        <v>3957.5</v>
      </c>
      <c r="Q79" s="340"/>
      <c r="R79" s="341"/>
      <c r="S79" s="822">
        <f>T79+V79</f>
        <v>0</v>
      </c>
      <c r="T79" s="749"/>
      <c r="U79" s="749"/>
      <c r="V79" s="751"/>
      <c r="W79" s="823">
        <v>4076.2</v>
      </c>
      <c r="X79" s="824">
        <v>4198.5</v>
      </c>
      <c r="Y79" s="2377" t="s">
        <v>83</v>
      </c>
      <c r="Z79" s="2636">
        <v>8.1</v>
      </c>
      <c r="AA79" s="2636">
        <v>8.1999999999999993</v>
      </c>
      <c r="AB79" s="2379">
        <v>8.1999999999999993</v>
      </c>
    </row>
    <row r="80" spans="1:30" x14ac:dyDescent="0.2">
      <c r="A80" s="2287"/>
      <c r="B80" s="2361"/>
      <c r="C80" s="2333"/>
      <c r="D80" s="2496"/>
      <c r="E80" s="2498"/>
      <c r="F80" s="2391"/>
      <c r="G80" s="2635"/>
      <c r="H80" s="2395"/>
      <c r="I80" s="2639"/>
      <c r="J80" s="360" t="s">
        <v>106</v>
      </c>
      <c r="K80" s="894">
        <f t="shared" si="7"/>
        <v>300.89999999999998</v>
      </c>
      <c r="L80" s="895">
        <v>300.89999999999998</v>
      </c>
      <c r="M80" s="896"/>
      <c r="N80" s="897"/>
      <c r="O80" s="220">
        <f>P80+R80</f>
        <v>0</v>
      </c>
      <c r="P80" s="221"/>
      <c r="Q80" s="221"/>
      <c r="R80" s="222"/>
      <c r="S80" s="141">
        <f>T80+V80</f>
        <v>0</v>
      </c>
      <c r="T80" s="142"/>
      <c r="U80" s="142"/>
      <c r="V80" s="143"/>
      <c r="W80" s="826"/>
      <c r="X80" s="826"/>
      <c r="Y80" s="2378"/>
      <c r="Z80" s="2637"/>
      <c r="AA80" s="2637"/>
      <c r="AB80" s="2380"/>
    </row>
    <row r="81" spans="1:31" ht="18" customHeight="1" x14ac:dyDescent="0.2">
      <c r="A81" s="2287"/>
      <c r="B81" s="2361"/>
      <c r="C81" s="2333"/>
      <c r="D81" s="2381" t="s">
        <v>10</v>
      </c>
      <c r="E81" s="2383" t="s">
        <v>54</v>
      </c>
      <c r="F81" s="2385" t="s">
        <v>131</v>
      </c>
      <c r="G81" s="2589" t="s">
        <v>37</v>
      </c>
      <c r="H81" s="2388" t="s">
        <v>36</v>
      </c>
      <c r="I81" s="2399" t="s">
        <v>145</v>
      </c>
      <c r="J81" s="10" t="s">
        <v>33</v>
      </c>
      <c r="K81" s="757">
        <f t="shared" si="7"/>
        <v>2424.3000000000002</v>
      </c>
      <c r="L81" s="286">
        <v>2424.3000000000002</v>
      </c>
      <c r="M81" s="235"/>
      <c r="N81" s="898"/>
      <c r="O81" s="387">
        <f>P81+R81</f>
        <v>2971.4</v>
      </c>
      <c r="P81" s="388">
        <f>3138.4-200</f>
        <v>2938.4</v>
      </c>
      <c r="Q81" s="388"/>
      <c r="R81" s="491">
        <v>33</v>
      </c>
      <c r="S81" s="822">
        <f>T81+V81</f>
        <v>0</v>
      </c>
      <c r="T81" s="749"/>
      <c r="U81" s="749"/>
      <c r="V81" s="751"/>
      <c r="W81" s="823">
        <v>2998</v>
      </c>
      <c r="X81" s="824">
        <v>3048.9</v>
      </c>
      <c r="Y81" s="391" t="s">
        <v>137</v>
      </c>
      <c r="Z81" s="430">
        <v>14.5</v>
      </c>
      <c r="AA81" s="430">
        <v>14.6</v>
      </c>
      <c r="AB81" s="431">
        <v>14.7</v>
      </c>
    </row>
    <row r="82" spans="1:31" ht="41.25" customHeight="1" x14ac:dyDescent="0.2">
      <c r="A82" s="2287"/>
      <c r="B82" s="2361"/>
      <c r="C82" s="2333"/>
      <c r="D82" s="2382"/>
      <c r="E82" s="2384"/>
      <c r="F82" s="2386"/>
      <c r="G82" s="2599"/>
      <c r="H82" s="2389"/>
      <c r="I82" s="2640"/>
      <c r="J82" s="360" t="s">
        <v>106</v>
      </c>
      <c r="K82" s="894">
        <f t="shared" si="7"/>
        <v>100</v>
      </c>
      <c r="L82" s="895">
        <v>100</v>
      </c>
      <c r="M82" s="899"/>
      <c r="N82" s="900"/>
      <c r="O82" s="220">
        <f>P82+R82</f>
        <v>0</v>
      </c>
      <c r="P82" s="221"/>
      <c r="Q82" s="221"/>
      <c r="R82" s="222"/>
      <c r="S82" s="141">
        <f>T82+V82</f>
        <v>0</v>
      </c>
      <c r="T82" s="142"/>
      <c r="U82" s="142"/>
      <c r="V82" s="143"/>
      <c r="W82" s="826"/>
      <c r="X82" s="826"/>
      <c r="Y82" s="55" t="s">
        <v>138</v>
      </c>
      <c r="Z82" s="674">
        <v>150</v>
      </c>
      <c r="AA82" s="674">
        <v>80</v>
      </c>
      <c r="AB82" s="675">
        <v>80</v>
      </c>
    </row>
    <row r="83" spans="1:31" ht="39" customHeight="1" x14ac:dyDescent="0.2">
      <c r="A83" s="679"/>
      <c r="B83" s="432"/>
      <c r="C83" s="690"/>
      <c r="D83" s="644" t="s">
        <v>35</v>
      </c>
      <c r="E83" s="682" t="s">
        <v>183</v>
      </c>
      <c r="F83" s="658"/>
      <c r="G83" s="649" t="s">
        <v>37</v>
      </c>
      <c r="H83" s="618" t="s">
        <v>36</v>
      </c>
      <c r="I83" s="701" t="s">
        <v>157</v>
      </c>
      <c r="J83" s="100" t="s">
        <v>33</v>
      </c>
      <c r="K83" s="901">
        <f>L83+N83</f>
        <v>0</v>
      </c>
      <c r="L83" s="902"/>
      <c r="M83" s="902"/>
      <c r="N83" s="903"/>
      <c r="O83" s="232">
        <f>P83+R83</f>
        <v>102.7</v>
      </c>
      <c r="P83" s="233">
        <v>102.7</v>
      </c>
      <c r="Q83" s="233"/>
      <c r="R83" s="234"/>
      <c r="S83" s="285">
        <f>T83+V83</f>
        <v>0</v>
      </c>
      <c r="T83" s="233"/>
      <c r="U83" s="233"/>
      <c r="V83" s="838"/>
      <c r="W83" s="904"/>
      <c r="X83" s="905">
        <v>0</v>
      </c>
      <c r="Y83" s="906" t="s">
        <v>184</v>
      </c>
      <c r="Z83" s="907">
        <v>1</v>
      </c>
      <c r="AA83" s="907"/>
      <c r="AB83" s="908"/>
      <c r="AD83" s="74"/>
      <c r="AE83" s="74"/>
    </row>
    <row r="84" spans="1:31" ht="29.25" customHeight="1" x14ac:dyDescent="0.2">
      <c r="A84" s="679"/>
      <c r="B84" s="653"/>
      <c r="C84" s="690"/>
      <c r="D84" s="708" t="s">
        <v>44</v>
      </c>
      <c r="E84" s="90" t="s">
        <v>56</v>
      </c>
      <c r="F84" s="710"/>
      <c r="G84" s="712" t="s">
        <v>37</v>
      </c>
      <c r="H84" s="713" t="s">
        <v>36</v>
      </c>
      <c r="I84" s="362" t="s">
        <v>170</v>
      </c>
      <c r="J84" s="22" t="s">
        <v>78</v>
      </c>
      <c r="K84" s="254">
        <f t="shared" si="7"/>
        <v>2038</v>
      </c>
      <c r="L84" s="255">
        <v>2038</v>
      </c>
      <c r="M84" s="227"/>
      <c r="N84" s="228"/>
      <c r="O84" s="254">
        <f>P84</f>
        <v>2038</v>
      </c>
      <c r="P84" s="255">
        <v>2038</v>
      </c>
      <c r="Q84" s="255"/>
      <c r="R84" s="256"/>
      <c r="S84" s="147"/>
      <c r="T84" s="148"/>
      <c r="U84" s="148"/>
      <c r="V84" s="149"/>
      <c r="W84" s="844"/>
      <c r="X84" s="725"/>
      <c r="Y84" s="87" t="s">
        <v>57</v>
      </c>
      <c r="Z84" s="61">
        <v>94</v>
      </c>
      <c r="AA84" s="61"/>
      <c r="AB84" s="434"/>
    </row>
    <row r="85" spans="1:31" ht="30.75" customHeight="1" x14ac:dyDescent="0.2">
      <c r="A85" s="679"/>
      <c r="B85" s="653"/>
      <c r="C85" s="690"/>
      <c r="D85" s="708" t="s">
        <v>45</v>
      </c>
      <c r="E85" s="90" t="s">
        <v>108</v>
      </c>
      <c r="F85" s="710"/>
      <c r="G85" s="712" t="s">
        <v>37</v>
      </c>
      <c r="H85" s="713" t="s">
        <v>36</v>
      </c>
      <c r="I85" s="362" t="s">
        <v>170</v>
      </c>
      <c r="J85" s="22" t="s">
        <v>33</v>
      </c>
      <c r="K85" s="226">
        <f t="shared" si="7"/>
        <v>0</v>
      </c>
      <c r="L85" s="227"/>
      <c r="M85" s="227"/>
      <c r="N85" s="228"/>
      <c r="O85" s="238"/>
      <c r="P85" s="239"/>
      <c r="Q85" s="239"/>
      <c r="R85" s="282"/>
      <c r="S85" s="147"/>
      <c r="T85" s="148"/>
      <c r="U85" s="148"/>
      <c r="V85" s="149"/>
      <c r="W85" s="844">
        <v>240</v>
      </c>
      <c r="X85" s="725">
        <v>240</v>
      </c>
      <c r="Y85" s="87" t="s">
        <v>296</v>
      </c>
      <c r="Z85" s="61">
        <v>33</v>
      </c>
      <c r="AA85" s="61">
        <v>33</v>
      </c>
      <c r="AB85" s="434"/>
    </row>
    <row r="86" spans="1:31" ht="40.5" customHeight="1" x14ac:dyDescent="0.2">
      <c r="A86" s="679"/>
      <c r="B86" s="653"/>
      <c r="C86" s="690"/>
      <c r="D86" s="699" t="s">
        <v>37</v>
      </c>
      <c r="E86" s="90" t="s">
        <v>114</v>
      </c>
      <c r="F86" s="683" t="s">
        <v>242</v>
      </c>
      <c r="G86" s="712" t="s">
        <v>39</v>
      </c>
      <c r="H86" s="713" t="s">
        <v>36</v>
      </c>
      <c r="I86" s="362" t="s">
        <v>173</v>
      </c>
      <c r="J86" s="500" t="s">
        <v>76</v>
      </c>
      <c r="K86" s="501"/>
      <c r="L86" s="502"/>
      <c r="M86" s="503"/>
      <c r="N86" s="909"/>
      <c r="O86" s="501"/>
      <c r="P86" s="502"/>
      <c r="Q86" s="503"/>
      <c r="R86" s="504"/>
      <c r="S86" s="910">
        <f>+T86+V86</f>
        <v>0</v>
      </c>
      <c r="T86" s="910">
        <v>0</v>
      </c>
      <c r="U86" s="910"/>
      <c r="V86" s="911">
        <v>0</v>
      </c>
      <c r="W86" s="912">
        <v>50</v>
      </c>
      <c r="X86" s="913">
        <v>50</v>
      </c>
      <c r="Y86" s="505" t="s">
        <v>190</v>
      </c>
      <c r="Z86" s="914"/>
      <c r="AA86" s="914"/>
      <c r="AB86" s="915">
        <v>1</v>
      </c>
      <c r="AD86" s="11"/>
    </row>
    <row r="87" spans="1:31" ht="13.5" thickBot="1" x14ac:dyDescent="0.25">
      <c r="A87" s="301"/>
      <c r="B87" s="655"/>
      <c r="C87" s="311"/>
      <c r="D87" s="312"/>
      <c r="E87" s="313"/>
      <c r="F87" s="314"/>
      <c r="G87" s="315"/>
      <c r="H87" s="316"/>
      <c r="I87" s="2346" t="s">
        <v>146</v>
      </c>
      <c r="J87" s="2347"/>
      <c r="K87" s="317">
        <f>SUM(K79:K86)</f>
        <v>8456.5</v>
      </c>
      <c r="L87" s="317">
        <f t="shared" ref="L87:X87" si="8">SUM(L79:L86)</f>
        <v>8456.5</v>
      </c>
      <c r="M87" s="317">
        <f t="shared" si="8"/>
        <v>0</v>
      </c>
      <c r="N87" s="317">
        <f t="shared" si="8"/>
        <v>0</v>
      </c>
      <c r="O87" s="317">
        <f>SUM(O79:O86)</f>
        <v>9069.6</v>
      </c>
      <c r="P87" s="317">
        <f t="shared" si="8"/>
        <v>9036.6</v>
      </c>
      <c r="Q87" s="317">
        <f t="shared" si="8"/>
        <v>0</v>
      </c>
      <c r="R87" s="317">
        <f t="shared" si="8"/>
        <v>33</v>
      </c>
      <c r="S87" s="317">
        <f t="shared" si="8"/>
        <v>0</v>
      </c>
      <c r="T87" s="317">
        <f t="shared" si="8"/>
        <v>0</v>
      </c>
      <c r="U87" s="317">
        <f t="shared" si="8"/>
        <v>0</v>
      </c>
      <c r="V87" s="317">
        <f t="shared" si="8"/>
        <v>0</v>
      </c>
      <c r="W87" s="317">
        <f>SUM(W79:W86)</f>
        <v>7364.2</v>
      </c>
      <c r="X87" s="317">
        <f t="shared" si="8"/>
        <v>7537.4</v>
      </c>
      <c r="Y87" s="2348"/>
      <c r="Z87" s="2641"/>
      <c r="AA87" s="2641"/>
      <c r="AB87" s="2349"/>
    </row>
    <row r="88" spans="1:31" ht="26.25" customHeight="1" x14ac:dyDescent="0.2">
      <c r="A88" s="2315" t="s">
        <v>8</v>
      </c>
      <c r="B88" s="2350" t="s">
        <v>8</v>
      </c>
      <c r="C88" s="2352" t="s">
        <v>45</v>
      </c>
      <c r="D88" s="2363"/>
      <c r="E88" s="2375" t="s">
        <v>211</v>
      </c>
      <c r="F88" s="2366"/>
      <c r="G88" s="2621" t="s">
        <v>35</v>
      </c>
      <c r="H88" s="2324" t="s">
        <v>79</v>
      </c>
      <c r="I88" s="2372" t="s">
        <v>149</v>
      </c>
      <c r="J88" s="203" t="s">
        <v>33</v>
      </c>
      <c r="K88" s="288">
        <f>L88+N88</f>
        <v>610.4</v>
      </c>
      <c r="L88" s="289">
        <v>610.4</v>
      </c>
      <c r="M88" s="289"/>
      <c r="N88" s="916"/>
      <c r="O88" s="435">
        <f>+P88+R88</f>
        <v>629</v>
      </c>
      <c r="P88" s="436">
        <f>556+73</f>
        <v>629</v>
      </c>
      <c r="Q88" s="289"/>
      <c r="R88" s="290"/>
      <c r="S88" s="204">
        <f>T88+V88</f>
        <v>0</v>
      </c>
      <c r="T88" s="178">
        <v>0</v>
      </c>
      <c r="U88" s="178"/>
      <c r="V88" s="179"/>
      <c r="W88" s="68">
        <f>50+577</f>
        <v>627</v>
      </c>
      <c r="X88" s="210">
        <f>50+577</f>
        <v>627</v>
      </c>
      <c r="Y88" s="633" t="s">
        <v>263</v>
      </c>
      <c r="Z88" s="660">
        <v>65</v>
      </c>
      <c r="AA88" s="660">
        <v>65</v>
      </c>
      <c r="AB88" s="661">
        <v>65</v>
      </c>
      <c r="AD88" s="74"/>
    </row>
    <row r="89" spans="1:31" ht="15" customHeight="1" x14ac:dyDescent="0.2">
      <c r="A89" s="2287"/>
      <c r="B89" s="2361"/>
      <c r="C89" s="2362"/>
      <c r="D89" s="2364"/>
      <c r="E89" s="1964"/>
      <c r="F89" s="2367"/>
      <c r="G89" s="2590"/>
      <c r="H89" s="2330"/>
      <c r="I89" s="2373"/>
      <c r="J89" s="332" t="s">
        <v>33</v>
      </c>
      <c r="K89" s="738"/>
      <c r="L89" s="358"/>
      <c r="M89" s="358"/>
      <c r="N89" s="889"/>
      <c r="O89" s="333">
        <f>+P89+R89</f>
        <v>25</v>
      </c>
      <c r="P89" s="342">
        <v>25</v>
      </c>
      <c r="Q89" s="358"/>
      <c r="R89" s="349"/>
      <c r="S89" s="792"/>
      <c r="T89" s="732"/>
      <c r="U89" s="732"/>
      <c r="V89" s="733"/>
      <c r="W89" s="742"/>
      <c r="X89" s="817"/>
      <c r="Y89" s="634"/>
      <c r="Z89" s="660"/>
      <c r="AA89" s="660"/>
      <c r="AB89" s="661"/>
    </row>
    <row r="90" spans="1:31" ht="21" customHeight="1" x14ac:dyDescent="0.2">
      <c r="A90" s="2287"/>
      <c r="B90" s="2361"/>
      <c r="C90" s="2362"/>
      <c r="D90" s="2364"/>
      <c r="E90" s="2374" t="s">
        <v>212</v>
      </c>
      <c r="F90" s="2367"/>
      <c r="G90" s="2590"/>
      <c r="H90" s="2330"/>
      <c r="I90" s="2373"/>
      <c r="J90" s="100" t="s">
        <v>33</v>
      </c>
      <c r="K90" s="220">
        <f>L90+N90</f>
        <v>0</v>
      </c>
      <c r="L90" s="609"/>
      <c r="M90" s="609"/>
      <c r="N90" s="223"/>
      <c r="O90" s="232">
        <f>+P90+R90</f>
        <v>50</v>
      </c>
      <c r="P90" s="483">
        <v>50</v>
      </c>
      <c r="Q90" s="609"/>
      <c r="R90" s="610"/>
      <c r="S90" s="141">
        <f>T90+V90</f>
        <v>0</v>
      </c>
      <c r="T90" s="145"/>
      <c r="U90" s="145"/>
      <c r="V90" s="146"/>
      <c r="W90" s="63"/>
      <c r="X90" s="82"/>
      <c r="Y90" s="634" t="s">
        <v>213</v>
      </c>
      <c r="Z90" s="660">
        <v>5</v>
      </c>
      <c r="AA90" s="660"/>
      <c r="AB90" s="661"/>
    </row>
    <row r="91" spans="1:31" ht="13.5" thickBot="1" x14ac:dyDescent="0.25">
      <c r="A91" s="2288"/>
      <c r="B91" s="2351"/>
      <c r="C91" s="2353"/>
      <c r="D91" s="2365"/>
      <c r="E91" s="1968"/>
      <c r="F91" s="2368"/>
      <c r="G91" s="2642"/>
      <c r="H91" s="2325"/>
      <c r="I91" s="498"/>
      <c r="J91" s="184" t="s">
        <v>9</v>
      </c>
      <c r="K91" s="165">
        <f t="shared" ref="K91:X91" si="9">SUM(K88:K90)</f>
        <v>610.4</v>
      </c>
      <c r="L91" s="165">
        <f t="shared" si="9"/>
        <v>610.4</v>
      </c>
      <c r="M91" s="165">
        <f t="shared" si="9"/>
        <v>0</v>
      </c>
      <c r="N91" s="170">
        <f t="shared" si="9"/>
        <v>0</v>
      </c>
      <c r="O91" s="160">
        <f t="shared" si="9"/>
        <v>704</v>
      </c>
      <c r="P91" s="165">
        <f t="shared" si="9"/>
        <v>704</v>
      </c>
      <c r="Q91" s="165">
        <f t="shared" si="9"/>
        <v>0</v>
      </c>
      <c r="R91" s="168">
        <f t="shared" si="9"/>
        <v>0</v>
      </c>
      <c r="S91" s="165">
        <f t="shared" si="9"/>
        <v>0</v>
      </c>
      <c r="T91" s="165">
        <f t="shared" si="9"/>
        <v>0</v>
      </c>
      <c r="U91" s="165">
        <f t="shared" si="9"/>
        <v>0</v>
      </c>
      <c r="V91" s="170">
        <f t="shared" si="9"/>
        <v>0</v>
      </c>
      <c r="W91" s="183">
        <f t="shared" si="9"/>
        <v>627</v>
      </c>
      <c r="X91" s="165">
        <f t="shared" si="9"/>
        <v>627</v>
      </c>
      <c r="Y91" s="16"/>
      <c r="Z91" s="406"/>
      <c r="AA91" s="406"/>
      <c r="AB91" s="407"/>
    </row>
    <row r="92" spans="1:31" ht="15" customHeight="1" x14ac:dyDescent="0.2">
      <c r="A92" s="2315" t="s">
        <v>8</v>
      </c>
      <c r="B92" s="2350" t="s">
        <v>8</v>
      </c>
      <c r="C92" s="2352" t="s">
        <v>37</v>
      </c>
      <c r="D92" s="2354"/>
      <c r="E92" s="2500" t="s">
        <v>203</v>
      </c>
      <c r="F92" s="2478" t="s">
        <v>123</v>
      </c>
      <c r="G92" s="2550" t="s">
        <v>44</v>
      </c>
      <c r="H92" s="2484" t="s">
        <v>74</v>
      </c>
      <c r="I92" s="2359" t="s">
        <v>152</v>
      </c>
      <c r="J92" s="10" t="s">
        <v>76</v>
      </c>
      <c r="K92" s="285">
        <f>L92+N92</f>
        <v>445</v>
      </c>
      <c r="L92" s="286"/>
      <c r="M92" s="286"/>
      <c r="N92" s="814">
        <v>445</v>
      </c>
      <c r="O92" s="245">
        <f>P92+R92</f>
        <v>366.4</v>
      </c>
      <c r="P92" s="263"/>
      <c r="Q92" s="263"/>
      <c r="R92" s="264">
        <v>366.4</v>
      </c>
      <c r="S92" s="141">
        <f>T92+V92</f>
        <v>0</v>
      </c>
      <c r="T92" s="150"/>
      <c r="U92" s="150"/>
      <c r="V92" s="151">
        <v>0</v>
      </c>
      <c r="W92" s="193"/>
      <c r="X92" s="92"/>
      <c r="Y92" s="2528" t="s">
        <v>171</v>
      </c>
      <c r="Z92" s="101">
        <v>100</v>
      </c>
      <c r="AA92" s="101"/>
      <c r="AB92" s="102"/>
    </row>
    <row r="93" spans="1:31" x14ac:dyDescent="0.2">
      <c r="A93" s="2287"/>
      <c r="B93" s="2361"/>
      <c r="C93" s="2362"/>
      <c r="D93" s="2499"/>
      <c r="E93" s="2501"/>
      <c r="F93" s="2479"/>
      <c r="G93" s="2551"/>
      <c r="H93" s="2300"/>
      <c r="I93" s="2338"/>
      <c r="J93" s="10" t="s">
        <v>33</v>
      </c>
      <c r="K93" s="285">
        <f>N93</f>
        <v>0.1</v>
      </c>
      <c r="L93" s="286"/>
      <c r="M93" s="286"/>
      <c r="N93" s="814">
        <v>0.1</v>
      </c>
      <c r="O93" s="220">
        <f>R93</f>
        <v>0.1</v>
      </c>
      <c r="P93" s="235"/>
      <c r="Q93" s="235"/>
      <c r="R93" s="265">
        <v>0.1</v>
      </c>
      <c r="S93" s="141">
        <f>V93</f>
        <v>0</v>
      </c>
      <c r="T93" s="150"/>
      <c r="U93" s="150"/>
      <c r="V93" s="151">
        <v>0</v>
      </c>
      <c r="W93" s="72"/>
      <c r="X93" s="93"/>
      <c r="Y93" s="2645"/>
      <c r="Z93" s="67"/>
      <c r="AA93" s="67"/>
      <c r="AB93" s="103"/>
    </row>
    <row r="94" spans="1:31" ht="13.5" customHeight="1" x14ac:dyDescent="0.2">
      <c r="A94" s="2287"/>
      <c r="B94" s="2361"/>
      <c r="C94" s="2362"/>
      <c r="D94" s="2499"/>
      <c r="E94" s="2501"/>
      <c r="F94" s="2479"/>
      <c r="G94" s="2551"/>
      <c r="H94" s="2300"/>
      <c r="I94" s="2485"/>
      <c r="J94" s="10" t="s">
        <v>77</v>
      </c>
      <c r="K94" s="285">
        <f>L94+N94</f>
        <v>93.4</v>
      </c>
      <c r="L94" s="286"/>
      <c r="M94" s="286"/>
      <c r="N94" s="814">
        <v>93.4</v>
      </c>
      <c r="O94" s="220">
        <f>R94</f>
        <v>77</v>
      </c>
      <c r="P94" s="235"/>
      <c r="Q94" s="235"/>
      <c r="R94" s="265">
        <v>77</v>
      </c>
      <c r="S94" s="141">
        <f>T94+V94</f>
        <v>0</v>
      </c>
      <c r="T94" s="150"/>
      <c r="U94" s="150"/>
      <c r="V94" s="151">
        <v>0</v>
      </c>
      <c r="W94" s="72"/>
      <c r="X94" s="70"/>
      <c r="Y94" s="917" t="s">
        <v>297</v>
      </c>
      <c r="Z94" s="95">
        <v>100</v>
      </c>
      <c r="AA94" s="95"/>
      <c r="AB94" s="96"/>
    </row>
    <row r="95" spans="1:31" ht="13.5" thickBot="1" x14ac:dyDescent="0.25">
      <c r="A95" s="2288"/>
      <c r="B95" s="2351"/>
      <c r="C95" s="2353"/>
      <c r="D95" s="2355"/>
      <c r="E95" s="2502"/>
      <c r="F95" s="2480"/>
      <c r="G95" s="2552"/>
      <c r="H95" s="2301"/>
      <c r="I95" s="77"/>
      <c r="J95" s="184" t="s">
        <v>9</v>
      </c>
      <c r="K95" s="165">
        <f>SUM(K92:K94)</f>
        <v>538.5</v>
      </c>
      <c r="L95" s="165">
        <f t="shared" ref="L95:X95" si="10">SUM(L92:L94)</f>
        <v>0</v>
      </c>
      <c r="M95" s="165">
        <f t="shared" si="10"/>
        <v>0</v>
      </c>
      <c r="N95" s="170">
        <f t="shared" si="10"/>
        <v>538.5</v>
      </c>
      <c r="O95" s="160">
        <f>SUM(O92:O94)</f>
        <v>443.5</v>
      </c>
      <c r="P95" s="165">
        <f t="shared" si="10"/>
        <v>0</v>
      </c>
      <c r="Q95" s="165">
        <f t="shared" si="10"/>
        <v>0</v>
      </c>
      <c r="R95" s="168">
        <f t="shared" si="10"/>
        <v>443.5</v>
      </c>
      <c r="S95" s="165">
        <f t="shared" si="10"/>
        <v>0</v>
      </c>
      <c r="T95" s="165">
        <f t="shared" si="10"/>
        <v>0</v>
      </c>
      <c r="U95" s="165">
        <f t="shared" si="10"/>
        <v>0</v>
      </c>
      <c r="V95" s="170">
        <f t="shared" si="10"/>
        <v>0</v>
      </c>
      <c r="W95" s="183">
        <f>SUM(W92:W94)</f>
        <v>0</v>
      </c>
      <c r="X95" s="170">
        <f t="shared" si="10"/>
        <v>0</v>
      </c>
      <c r="Y95" s="363"/>
      <c r="Z95" s="918"/>
      <c r="AA95" s="919"/>
      <c r="AB95" s="920"/>
      <c r="AC95" s="12"/>
      <c r="AE95" s="11"/>
    </row>
    <row r="96" spans="1:31" x14ac:dyDescent="0.2">
      <c r="A96" s="2315" t="s">
        <v>8</v>
      </c>
      <c r="B96" s="2350" t="s">
        <v>8</v>
      </c>
      <c r="C96" s="2332" t="s">
        <v>46</v>
      </c>
      <c r="D96" s="656"/>
      <c r="E96" s="2500" t="s">
        <v>127</v>
      </c>
      <c r="F96" s="657"/>
      <c r="G96" s="134"/>
      <c r="H96" s="135"/>
      <c r="I96" s="587"/>
      <c r="J96" s="266" t="s">
        <v>33</v>
      </c>
      <c r="K96" s="267"/>
      <c r="L96" s="268"/>
      <c r="M96" s="268"/>
      <c r="N96" s="921"/>
      <c r="O96" s="267"/>
      <c r="P96" s="268"/>
      <c r="Q96" s="269"/>
      <c r="R96" s="369"/>
      <c r="S96" s="922"/>
      <c r="T96" s="171"/>
      <c r="U96" s="171"/>
      <c r="V96" s="172"/>
      <c r="W96" s="923"/>
      <c r="X96" s="924"/>
      <c r="Y96" s="2647" t="s">
        <v>298</v>
      </c>
      <c r="Z96" s="133">
        <f>Z98+Z100+Z101+Z103</f>
        <v>2</v>
      </c>
      <c r="AA96" s="133">
        <f t="shared" ref="AA96:AB96" si="11">AA98+AA100+AA101+AA103</f>
        <v>0</v>
      </c>
      <c r="AB96" s="580">
        <f t="shared" si="11"/>
        <v>2</v>
      </c>
    </row>
    <row r="97" spans="1:31" x14ac:dyDescent="0.2">
      <c r="A97" s="2287"/>
      <c r="B97" s="2361"/>
      <c r="C97" s="2333"/>
      <c r="D97" s="270"/>
      <c r="E97" s="2646"/>
      <c r="F97" s="669"/>
      <c r="G97" s="137"/>
      <c r="H97" s="138"/>
      <c r="I97" s="717"/>
      <c r="J97" s="271"/>
      <c r="K97" s="925"/>
      <c r="L97" s="926"/>
      <c r="M97" s="926"/>
      <c r="N97" s="927"/>
      <c r="O97" s="272"/>
      <c r="P97" s="273"/>
      <c r="Q97" s="274"/>
      <c r="R97" s="370"/>
      <c r="S97" s="928"/>
      <c r="T97" s="173"/>
      <c r="U97" s="173"/>
      <c r="V97" s="174"/>
      <c r="W97" s="929"/>
      <c r="X97" s="930"/>
      <c r="Y97" s="2648"/>
      <c r="Z97" s="132"/>
      <c r="AA97" s="674"/>
      <c r="AB97" s="675"/>
    </row>
    <row r="98" spans="1:31" ht="35.25" customHeight="1" x14ac:dyDescent="0.2">
      <c r="A98" s="2287"/>
      <c r="B98" s="2361"/>
      <c r="C98" s="2333"/>
      <c r="D98" s="365" t="s">
        <v>8</v>
      </c>
      <c r="E98" s="2488" t="s">
        <v>126</v>
      </c>
      <c r="F98" s="2649" t="s">
        <v>240</v>
      </c>
      <c r="G98" s="2651" t="s">
        <v>44</v>
      </c>
      <c r="H98" s="136">
        <v>5</v>
      </c>
      <c r="I98" s="588" t="s">
        <v>153</v>
      </c>
      <c r="J98" s="575" t="s">
        <v>33</v>
      </c>
      <c r="K98" s="931">
        <f>L98</f>
        <v>19.2</v>
      </c>
      <c r="L98" s="932">
        <v>19.2</v>
      </c>
      <c r="M98" s="932"/>
      <c r="N98" s="933"/>
      <c r="O98" s="576">
        <f>P98+R98</f>
        <v>22</v>
      </c>
      <c r="P98" s="577">
        <v>22</v>
      </c>
      <c r="Q98" s="578"/>
      <c r="R98" s="579"/>
      <c r="S98" s="934"/>
      <c r="T98" s="935"/>
      <c r="U98" s="935"/>
      <c r="V98" s="936"/>
      <c r="W98" s="937"/>
      <c r="X98" s="938"/>
      <c r="Y98" s="939" t="s">
        <v>264</v>
      </c>
      <c r="Z98" s="446">
        <v>1</v>
      </c>
      <c r="AA98" s="940"/>
      <c r="AB98" s="941"/>
    </row>
    <row r="99" spans="1:31" x14ac:dyDescent="0.2">
      <c r="A99" s="2287"/>
      <c r="B99" s="2361"/>
      <c r="C99" s="2333"/>
      <c r="D99" s="365"/>
      <c r="E99" s="2489"/>
      <c r="F99" s="2650"/>
      <c r="G99" s="2551"/>
      <c r="H99" s="136"/>
      <c r="I99" s="588"/>
      <c r="J99" s="570" t="s">
        <v>76</v>
      </c>
      <c r="K99" s="942">
        <f>L99</f>
        <v>108.4</v>
      </c>
      <c r="L99" s="943">
        <v>108.4</v>
      </c>
      <c r="M99" s="943"/>
      <c r="N99" s="944"/>
      <c r="O99" s="571">
        <f>P99+R99</f>
        <v>53.5</v>
      </c>
      <c r="P99" s="572">
        <v>53.5</v>
      </c>
      <c r="Q99" s="573"/>
      <c r="R99" s="574"/>
      <c r="S99" s="945"/>
      <c r="T99" s="946"/>
      <c r="U99" s="946"/>
      <c r="V99" s="947"/>
      <c r="W99" s="948"/>
      <c r="X99" s="949"/>
      <c r="Y99" s="950"/>
      <c r="Z99" s="450"/>
      <c r="AA99" s="951"/>
      <c r="AB99" s="952"/>
    </row>
    <row r="100" spans="1:31" ht="43.5" customHeight="1" x14ac:dyDescent="0.2">
      <c r="A100" s="2287"/>
      <c r="B100" s="2361"/>
      <c r="C100" s="2333"/>
      <c r="D100" s="365"/>
      <c r="E100" s="499" t="s">
        <v>269</v>
      </c>
      <c r="F100" s="364" t="s">
        <v>130</v>
      </c>
      <c r="G100" s="2652"/>
      <c r="H100" s="136"/>
      <c r="I100" s="702"/>
      <c r="J100" s="570" t="s">
        <v>78</v>
      </c>
      <c r="K100" s="942"/>
      <c r="L100" s="943"/>
      <c r="M100" s="943"/>
      <c r="N100" s="944"/>
      <c r="O100" s="571"/>
      <c r="P100" s="572"/>
      <c r="Q100" s="573"/>
      <c r="R100" s="574"/>
      <c r="S100" s="945"/>
      <c r="T100" s="946"/>
      <c r="U100" s="946"/>
      <c r="V100" s="947"/>
      <c r="W100" s="948"/>
      <c r="X100" s="949"/>
      <c r="Y100" s="131" t="s">
        <v>264</v>
      </c>
      <c r="Z100" s="660">
        <v>1</v>
      </c>
      <c r="AA100" s="951"/>
      <c r="AB100" s="952"/>
    </row>
    <row r="101" spans="1:31" ht="30" customHeight="1" x14ac:dyDescent="0.2">
      <c r="A101" s="2287"/>
      <c r="B101" s="2361"/>
      <c r="C101" s="2333"/>
      <c r="D101" s="2381" t="s">
        <v>10</v>
      </c>
      <c r="E101" s="2653" t="s">
        <v>226</v>
      </c>
      <c r="F101" s="2655" t="s">
        <v>75</v>
      </c>
      <c r="G101" s="2651" t="s">
        <v>44</v>
      </c>
      <c r="H101" s="2388" t="s">
        <v>74</v>
      </c>
      <c r="I101" s="2643" t="s">
        <v>153</v>
      </c>
      <c r="J101" s="386" t="s">
        <v>33</v>
      </c>
      <c r="K101" s="339">
        <f>N101</f>
        <v>25</v>
      </c>
      <c r="L101" s="340"/>
      <c r="M101" s="340"/>
      <c r="N101" s="338">
        <v>25</v>
      </c>
      <c r="O101" s="339"/>
      <c r="P101" s="340"/>
      <c r="Q101" s="340"/>
      <c r="R101" s="341"/>
      <c r="S101" s="822"/>
      <c r="T101" s="749"/>
      <c r="U101" s="749"/>
      <c r="V101" s="861"/>
      <c r="W101" s="953">
        <v>25</v>
      </c>
      <c r="X101" s="954">
        <v>75</v>
      </c>
      <c r="Y101" s="955" t="s">
        <v>265</v>
      </c>
      <c r="Z101" s="956"/>
      <c r="AA101" s="957"/>
      <c r="AB101" s="567">
        <v>1</v>
      </c>
      <c r="AE101" s="11"/>
    </row>
    <row r="102" spans="1:31" ht="21" customHeight="1" x14ac:dyDescent="0.2">
      <c r="A102" s="2287"/>
      <c r="B102" s="2361"/>
      <c r="C102" s="2333"/>
      <c r="D102" s="2382"/>
      <c r="E102" s="2654"/>
      <c r="F102" s="2656"/>
      <c r="G102" s="2652"/>
      <c r="H102" s="2389"/>
      <c r="I102" s="2644"/>
      <c r="J102" s="275" t="s">
        <v>76</v>
      </c>
      <c r="K102" s="220"/>
      <c r="L102" s="221"/>
      <c r="M102" s="221"/>
      <c r="N102" s="223"/>
      <c r="O102" s="220"/>
      <c r="P102" s="221"/>
      <c r="Q102" s="221"/>
      <c r="R102" s="222"/>
      <c r="S102" s="141"/>
      <c r="T102" s="142"/>
      <c r="U102" s="142"/>
      <c r="V102" s="157"/>
      <c r="W102" s="958"/>
      <c r="X102" s="826"/>
      <c r="Y102" s="959"/>
      <c r="Z102" s="568"/>
      <c r="AA102" s="568"/>
      <c r="AB102" s="569"/>
      <c r="AE102" s="11"/>
    </row>
    <row r="103" spans="1:31" ht="25.5" customHeight="1" x14ac:dyDescent="0.2">
      <c r="A103" s="2287"/>
      <c r="B103" s="2361"/>
      <c r="C103" s="2333"/>
      <c r="D103" s="2381" t="s">
        <v>35</v>
      </c>
      <c r="E103" s="2503" t="s">
        <v>227</v>
      </c>
      <c r="F103" s="2655" t="s">
        <v>75</v>
      </c>
      <c r="G103" s="2589" t="s">
        <v>39</v>
      </c>
      <c r="H103" s="2388" t="s">
        <v>74</v>
      </c>
      <c r="I103" s="2643" t="s">
        <v>153</v>
      </c>
      <c r="J103" s="337" t="s">
        <v>33</v>
      </c>
      <c r="K103" s="339">
        <f>N103</f>
        <v>25</v>
      </c>
      <c r="L103" s="340"/>
      <c r="M103" s="340"/>
      <c r="N103" s="338">
        <v>25</v>
      </c>
      <c r="O103" s="389"/>
      <c r="P103" s="340"/>
      <c r="Q103" s="340"/>
      <c r="R103" s="341"/>
      <c r="S103" s="822"/>
      <c r="T103" s="749"/>
      <c r="U103" s="749"/>
      <c r="V103" s="861"/>
      <c r="W103" s="862">
        <v>50</v>
      </c>
      <c r="X103" s="823">
        <v>50</v>
      </c>
      <c r="Y103" s="650" t="s">
        <v>265</v>
      </c>
      <c r="Z103" s="660"/>
      <c r="AA103" s="660"/>
      <c r="AB103" s="661">
        <v>1</v>
      </c>
    </row>
    <row r="104" spans="1:31" ht="16.5" customHeight="1" x14ac:dyDescent="0.2">
      <c r="A104" s="2287"/>
      <c r="B104" s="2361"/>
      <c r="C104" s="2333"/>
      <c r="D104" s="2382"/>
      <c r="E104" s="2505"/>
      <c r="F104" s="2295"/>
      <c r="G104" s="2590"/>
      <c r="H104" s="2300"/>
      <c r="I104" s="2657"/>
      <c r="J104" s="100" t="s">
        <v>76</v>
      </c>
      <c r="K104" s="220">
        <f>L104+N104</f>
        <v>0</v>
      </c>
      <c r="L104" s="236"/>
      <c r="M104" s="236"/>
      <c r="N104" s="223"/>
      <c r="O104" s="220"/>
      <c r="P104" s="236"/>
      <c r="Q104" s="236"/>
      <c r="R104" s="328"/>
      <c r="S104" s="141"/>
      <c r="T104" s="142"/>
      <c r="U104" s="142"/>
      <c r="V104" s="157"/>
      <c r="W104" s="960"/>
      <c r="X104" s="32"/>
      <c r="Y104" s="668"/>
      <c r="Z104" s="674"/>
      <c r="AA104" s="674"/>
      <c r="AB104" s="675"/>
    </row>
    <row r="105" spans="1:31" ht="56.25" customHeight="1" x14ac:dyDescent="0.2">
      <c r="A105" s="300"/>
      <c r="B105" s="653"/>
      <c r="C105" s="420"/>
      <c r="D105" s="708" t="s">
        <v>44</v>
      </c>
      <c r="E105" s="510" t="s">
        <v>243</v>
      </c>
      <c r="F105" s="654"/>
      <c r="G105" s="670"/>
      <c r="H105" s="652"/>
      <c r="I105" s="589"/>
      <c r="J105" s="100"/>
      <c r="K105" s="243"/>
      <c r="L105" s="490"/>
      <c r="M105" s="490"/>
      <c r="N105" s="961"/>
      <c r="O105" s="220"/>
      <c r="P105" s="490"/>
      <c r="Q105" s="490"/>
      <c r="R105" s="213"/>
      <c r="S105" s="141"/>
      <c r="T105" s="141"/>
      <c r="U105" s="141"/>
      <c r="V105" s="962"/>
      <c r="W105" s="963"/>
      <c r="X105" s="94"/>
      <c r="Y105" s="964" t="s">
        <v>299</v>
      </c>
      <c r="Z105" s="965" t="s">
        <v>300</v>
      </c>
      <c r="AA105" s="966"/>
      <c r="AB105" s="967"/>
    </row>
    <row r="106" spans="1:31" ht="13.5" thickBot="1" x14ac:dyDescent="0.25">
      <c r="A106" s="301"/>
      <c r="B106" s="631"/>
      <c r="C106" s="311"/>
      <c r="D106" s="312"/>
      <c r="E106" s="313"/>
      <c r="F106" s="314"/>
      <c r="G106" s="315"/>
      <c r="H106" s="316"/>
      <c r="I106" s="2346" t="s">
        <v>146</v>
      </c>
      <c r="J106" s="2347"/>
      <c r="K106" s="318">
        <f t="shared" ref="K106:X106" si="12">SUM(K98:K104)</f>
        <v>177.6</v>
      </c>
      <c r="L106" s="318">
        <f t="shared" si="12"/>
        <v>127.6</v>
      </c>
      <c r="M106" s="318">
        <f t="shared" si="12"/>
        <v>0</v>
      </c>
      <c r="N106" s="840">
        <f t="shared" si="12"/>
        <v>50</v>
      </c>
      <c r="O106" s="317">
        <f t="shared" si="12"/>
        <v>75.5</v>
      </c>
      <c r="P106" s="318">
        <f t="shared" si="12"/>
        <v>75.5</v>
      </c>
      <c r="Q106" s="318">
        <f t="shared" si="12"/>
        <v>0</v>
      </c>
      <c r="R106" s="329">
        <f t="shared" si="12"/>
        <v>0</v>
      </c>
      <c r="S106" s="318">
        <f t="shared" si="12"/>
        <v>0</v>
      </c>
      <c r="T106" s="318">
        <f t="shared" si="12"/>
        <v>0</v>
      </c>
      <c r="U106" s="318">
        <f t="shared" si="12"/>
        <v>0</v>
      </c>
      <c r="V106" s="318">
        <f t="shared" si="12"/>
        <v>0</v>
      </c>
      <c r="W106" s="840">
        <f t="shared" si="12"/>
        <v>75</v>
      </c>
      <c r="X106" s="327">
        <f t="shared" si="12"/>
        <v>125</v>
      </c>
      <c r="Y106" s="2348"/>
      <c r="Z106" s="2641"/>
      <c r="AA106" s="2641"/>
      <c r="AB106" s="2349"/>
    </row>
    <row r="107" spans="1:31" x14ac:dyDescent="0.2">
      <c r="A107" s="679" t="s">
        <v>8</v>
      </c>
      <c r="B107" s="630" t="s">
        <v>8</v>
      </c>
      <c r="C107" s="2352" t="s">
        <v>39</v>
      </c>
      <c r="D107" s="2354"/>
      <c r="E107" s="2469" t="s">
        <v>250</v>
      </c>
      <c r="F107" s="636"/>
      <c r="G107" s="659" t="s">
        <v>39</v>
      </c>
      <c r="H107" s="617" t="s">
        <v>36</v>
      </c>
      <c r="I107" s="2326" t="s">
        <v>157</v>
      </c>
      <c r="J107" s="208" t="s">
        <v>33</v>
      </c>
      <c r="K107" s="279">
        <f>L107+N107</f>
        <v>0</v>
      </c>
      <c r="L107" s="279"/>
      <c r="M107" s="323"/>
      <c r="N107" s="196"/>
      <c r="O107" s="482">
        <f>+P107+R107</f>
        <v>145.19999999999999</v>
      </c>
      <c r="P107" s="279"/>
      <c r="Q107" s="323"/>
      <c r="R107" s="198">
        <v>145.19999999999999</v>
      </c>
      <c r="S107" s="279">
        <f>T107+V107</f>
        <v>0</v>
      </c>
      <c r="T107" s="279"/>
      <c r="U107" s="323"/>
      <c r="V107" s="196"/>
      <c r="W107" s="197"/>
      <c r="X107" s="196"/>
      <c r="Y107" s="650" t="s">
        <v>301</v>
      </c>
      <c r="Z107" s="586">
        <v>210</v>
      </c>
      <c r="AA107" s="660"/>
      <c r="AB107" s="661"/>
    </row>
    <row r="108" spans="1:31" ht="13.5" thickBot="1" x14ac:dyDescent="0.25">
      <c r="A108" s="300"/>
      <c r="B108" s="653"/>
      <c r="C108" s="2353"/>
      <c r="D108" s="2355"/>
      <c r="E108" s="2470"/>
      <c r="F108" s="414"/>
      <c r="G108" s="415"/>
      <c r="H108" s="413"/>
      <c r="I108" s="2477"/>
      <c r="J108" s="184" t="s">
        <v>9</v>
      </c>
      <c r="K108" s="165">
        <f t="shared" ref="K108:X110" si="13">SUM(K107:K107)</f>
        <v>0</v>
      </c>
      <c r="L108" s="161">
        <f t="shared" si="13"/>
        <v>0</v>
      </c>
      <c r="M108" s="161">
        <f t="shared" si="13"/>
        <v>0</v>
      </c>
      <c r="N108" s="162">
        <f t="shared" si="13"/>
        <v>0</v>
      </c>
      <c r="O108" s="165">
        <f t="shared" si="13"/>
        <v>145.19999999999999</v>
      </c>
      <c r="P108" s="161">
        <f t="shared" si="13"/>
        <v>0</v>
      </c>
      <c r="Q108" s="161">
        <f t="shared" si="13"/>
        <v>0</v>
      </c>
      <c r="R108" s="162">
        <f t="shared" si="13"/>
        <v>145.19999999999999</v>
      </c>
      <c r="S108" s="165">
        <f t="shared" si="13"/>
        <v>0</v>
      </c>
      <c r="T108" s="161">
        <f t="shared" si="13"/>
        <v>0</v>
      </c>
      <c r="U108" s="161">
        <f t="shared" si="13"/>
        <v>0</v>
      </c>
      <c r="V108" s="161">
        <f t="shared" si="13"/>
        <v>0</v>
      </c>
      <c r="W108" s="183">
        <f t="shared" si="13"/>
        <v>0</v>
      </c>
      <c r="X108" s="183">
        <f t="shared" si="13"/>
        <v>0</v>
      </c>
      <c r="Y108" s="16"/>
      <c r="Z108" s="406"/>
      <c r="AA108" s="406"/>
      <c r="AB108" s="407"/>
    </row>
    <row r="109" spans="1:31" ht="23.25" customHeight="1" x14ac:dyDescent="0.2">
      <c r="A109" s="2315" t="s">
        <v>8</v>
      </c>
      <c r="B109" s="2350" t="s">
        <v>8</v>
      </c>
      <c r="C109" s="2352" t="s">
        <v>120</v>
      </c>
      <c r="D109" s="2354"/>
      <c r="E109" s="2356" t="s">
        <v>105</v>
      </c>
      <c r="F109" s="2321"/>
      <c r="G109" s="2621" t="s">
        <v>45</v>
      </c>
      <c r="H109" s="617" t="s">
        <v>36</v>
      </c>
      <c r="I109" s="2359" t="s">
        <v>170</v>
      </c>
      <c r="J109" s="13" t="s">
        <v>33</v>
      </c>
      <c r="K109" s="245">
        <f>L109+N109</f>
        <v>150</v>
      </c>
      <c r="L109" s="246">
        <v>150</v>
      </c>
      <c r="M109" s="246"/>
      <c r="N109" s="968"/>
      <c r="O109" s="261">
        <f>P109+R109</f>
        <v>300</v>
      </c>
      <c r="P109" s="262">
        <v>300</v>
      </c>
      <c r="Q109" s="262"/>
      <c r="R109" s="248"/>
      <c r="S109" s="156">
        <f>T109+V109</f>
        <v>0</v>
      </c>
      <c r="T109" s="142">
        <v>0</v>
      </c>
      <c r="U109" s="142"/>
      <c r="V109" s="143"/>
      <c r="W109" s="42">
        <v>200</v>
      </c>
      <c r="X109" s="42">
        <v>200</v>
      </c>
      <c r="Y109" s="620" t="s">
        <v>48</v>
      </c>
      <c r="Z109" s="478">
        <v>7</v>
      </c>
      <c r="AA109" s="660">
        <v>4</v>
      </c>
      <c r="AB109" s="661">
        <v>4</v>
      </c>
    </row>
    <row r="110" spans="1:31" ht="13.5" thickBot="1" x14ac:dyDescent="0.25">
      <c r="A110" s="2288"/>
      <c r="B110" s="2351"/>
      <c r="C110" s="2353"/>
      <c r="D110" s="2355"/>
      <c r="E110" s="2261"/>
      <c r="F110" s="2310"/>
      <c r="G110" s="2642"/>
      <c r="H110" s="619"/>
      <c r="I110" s="2360"/>
      <c r="J110" s="184" t="s">
        <v>9</v>
      </c>
      <c r="K110" s="165">
        <f t="shared" si="13"/>
        <v>150</v>
      </c>
      <c r="L110" s="161">
        <f t="shared" si="13"/>
        <v>150</v>
      </c>
      <c r="M110" s="161">
        <f t="shared" si="13"/>
        <v>0</v>
      </c>
      <c r="N110" s="162">
        <f t="shared" si="13"/>
        <v>0</v>
      </c>
      <c r="O110" s="165">
        <f t="shared" si="13"/>
        <v>300</v>
      </c>
      <c r="P110" s="161">
        <f t="shared" si="13"/>
        <v>300</v>
      </c>
      <c r="Q110" s="161">
        <f t="shared" si="13"/>
        <v>0</v>
      </c>
      <c r="R110" s="162">
        <f t="shared" si="13"/>
        <v>0</v>
      </c>
      <c r="S110" s="165">
        <f t="shared" si="13"/>
        <v>0</v>
      </c>
      <c r="T110" s="161">
        <f t="shared" si="13"/>
        <v>0</v>
      </c>
      <c r="U110" s="161">
        <f t="shared" si="13"/>
        <v>0</v>
      </c>
      <c r="V110" s="161">
        <f t="shared" si="13"/>
        <v>0</v>
      </c>
      <c r="W110" s="183">
        <f t="shared" si="13"/>
        <v>200</v>
      </c>
      <c r="X110" s="183">
        <f t="shared" si="13"/>
        <v>200</v>
      </c>
      <c r="Y110" s="16"/>
      <c r="Z110" s="406"/>
      <c r="AA110" s="406"/>
      <c r="AB110" s="407"/>
    </row>
    <row r="111" spans="1:31" x14ac:dyDescent="0.2">
      <c r="A111" s="2315" t="s">
        <v>8</v>
      </c>
      <c r="B111" s="2350" t="s">
        <v>8</v>
      </c>
      <c r="C111" s="2352" t="s">
        <v>38</v>
      </c>
      <c r="D111" s="2354"/>
      <c r="E111" s="2500" t="s">
        <v>117</v>
      </c>
      <c r="F111" s="2658" t="s">
        <v>75</v>
      </c>
      <c r="G111" s="2621" t="s">
        <v>45</v>
      </c>
      <c r="H111" s="617" t="s">
        <v>74</v>
      </c>
      <c r="I111" s="2659" t="s">
        <v>150</v>
      </c>
      <c r="J111" s="13" t="s">
        <v>33</v>
      </c>
      <c r="K111" s="969">
        <f>L111+N111</f>
        <v>3.5</v>
      </c>
      <c r="L111" s="262">
        <f>1.9+1.6</f>
        <v>3.5</v>
      </c>
      <c r="M111" s="262"/>
      <c r="N111" s="968"/>
      <c r="O111" s="288"/>
      <c r="P111" s="289"/>
      <c r="Q111" s="289"/>
      <c r="R111" s="264"/>
      <c r="S111" s="204"/>
      <c r="T111" s="178"/>
      <c r="U111" s="178"/>
      <c r="V111" s="179"/>
      <c r="W111" s="68"/>
      <c r="X111" s="211"/>
      <c r="Y111" s="2467"/>
      <c r="Z111" s="2038"/>
      <c r="AA111" s="2038"/>
      <c r="AB111" s="2041"/>
    </row>
    <row r="112" spans="1:31" x14ac:dyDescent="0.2">
      <c r="A112" s="2287"/>
      <c r="B112" s="2361"/>
      <c r="C112" s="2362"/>
      <c r="D112" s="2499"/>
      <c r="E112" s="2501"/>
      <c r="F112" s="2295"/>
      <c r="G112" s="2590"/>
      <c r="H112" s="618"/>
      <c r="I112" s="2660"/>
      <c r="J112" s="22" t="s">
        <v>72</v>
      </c>
      <c r="K112" s="330">
        <f>L112+N112</f>
        <v>598.79999999999995</v>
      </c>
      <c r="L112" s="483"/>
      <c r="M112" s="483"/>
      <c r="N112" s="825">
        <v>598.79999999999995</v>
      </c>
      <c r="O112" s="226"/>
      <c r="P112" s="227"/>
      <c r="Q112" s="227"/>
      <c r="R112" s="282"/>
      <c r="S112" s="147"/>
      <c r="T112" s="148"/>
      <c r="U112" s="148"/>
      <c r="V112" s="149"/>
      <c r="W112" s="46"/>
      <c r="X112" s="93"/>
      <c r="Y112" s="2408"/>
      <c r="Z112" s="2039"/>
      <c r="AA112" s="2039"/>
      <c r="AB112" s="2042"/>
    </row>
    <row r="113" spans="1:31" x14ac:dyDescent="0.2">
      <c r="A113" s="2287"/>
      <c r="B113" s="2361"/>
      <c r="C113" s="2362"/>
      <c r="D113" s="2499"/>
      <c r="E113" s="2501"/>
      <c r="F113" s="44"/>
      <c r="G113" s="2590"/>
      <c r="H113" s="673" t="s">
        <v>140</v>
      </c>
      <c r="I113" s="2399" t="s">
        <v>151</v>
      </c>
      <c r="J113" s="22" t="s">
        <v>76</v>
      </c>
      <c r="K113" s="285">
        <f>L113+N113</f>
        <v>0</v>
      </c>
      <c r="L113" s="286"/>
      <c r="M113" s="286"/>
      <c r="N113" s="814"/>
      <c r="O113" s="226"/>
      <c r="P113" s="252"/>
      <c r="Q113" s="252"/>
      <c r="R113" s="260"/>
      <c r="S113" s="147"/>
      <c r="T113" s="148"/>
      <c r="U113" s="148"/>
      <c r="V113" s="149"/>
      <c r="W113" s="94"/>
      <c r="X113" s="963"/>
      <c r="Y113" s="2662"/>
      <c r="Z113" s="2663"/>
      <c r="AA113" s="2039"/>
      <c r="AB113" s="2042"/>
    </row>
    <row r="114" spans="1:31" x14ac:dyDescent="0.2">
      <c r="A114" s="2287"/>
      <c r="B114" s="2361"/>
      <c r="C114" s="2362"/>
      <c r="D114" s="2499"/>
      <c r="E114" s="2501"/>
      <c r="F114" s="44"/>
      <c r="G114" s="2590"/>
      <c r="H114" s="618"/>
      <c r="I114" s="2338"/>
      <c r="J114" s="22" t="s">
        <v>33</v>
      </c>
      <c r="K114" s="330">
        <f>L114+N114</f>
        <v>0.5</v>
      </c>
      <c r="L114" s="255">
        <v>0.5</v>
      </c>
      <c r="M114" s="255">
        <v>0.3</v>
      </c>
      <c r="N114" s="331"/>
      <c r="O114" s="226"/>
      <c r="P114" s="252"/>
      <c r="Q114" s="252"/>
      <c r="R114" s="260"/>
      <c r="S114" s="147"/>
      <c r="T114" s="148"/>
      <c r="U114" s="148"/>
      <c r="V114" s="149"/>
      <c r="W114" s="94"/>
      <c r="X114" s="963"/>
      <c r="Y114" s="2662"/>
      <c r="Z114" s="2663"/>
      <c r="AA114" s="2039"/>
      <c r="AB114" s="2042"/>
    </row>
    <row r="115" spans="1:31" x14ac:dyDescent="0.2">
      <c r="A115" s="2287"/>
      <c r="B115" s="2361"/>
      <c r="C115" s="2362"/>
      <c r="D115" s="2499"/>
      <c r="E115" s="2501"/>
      <c r="F115" s="44"/>
      <c r="G115" s="2590"/>
      <c r="H115" s="618"/>
      <c r="I115" s="2338"/>
      <c r="J115" s="14" t="s">
        <v>106</v>
      </c>
      <c r="K115" s="970">
        <f>L115</f>
        <v>1.3</v>
      </c>
      <c r="L115" s="688">
        <v>1.3</v>
      </c>
      <c r="M115" s="688"/>
      <c r="N115" s="223"/>
      <c r="O115" s="220"/>
      <c r="P115" s="236"/>
      <c r="Q115" s="236"/>
      <c r="R115" s="328"/>
      <c r="S115" s="141"/>
      <c r="T115" s="142"/>
      <c r="U115" s="142"/>
      <c r="V115" s="143"/>
      <c r="W115" s="32"/>
      <c r="X115" s="971"/>
      <c r="Y115" s="2664"/>
      <c r="Z115" s="57"/>
      <c r="AA115" s="57"/>
      <c r="AB115" s="661"/>
    </row>
    <row r="116" spans="1:31" ht="13.5" thickBot="1" x14ac:dyDescent="0.25">
      <c r="A116" s="2288"/>
      <c r="B116" s="2351"/>
      <c r="C116" s="2353"/>
      <c r="D116" s="2355"/>
      <c r="E116" s="2502"/>
      <c r="F116" s="45"/>
      <c r="G116" s="2642"/>
      <c r="H116" s="619"/>
      <c r="I116" s="2661"/>
      <c r="J116" s="184" t="s">
        <v>9</v>
      </c>
      <c r="K116" s="165">
        <f>SUM(K111:K115)</f>
        <v>604.1</v>
      </c>
      <c r="L116" s="165">
        <f>SUM(L111:L115)</f>
        <v>5.3</v>
      </c>
      <c r="M116" s="165">
        <f>SUM(M111:M115)</f>
        <v>0.3</v>
      </c>
      <c r="N116" s="188">
        <f>SUM(N111:N115)</f>
        <v>598.79999999999995</v>
      </c>
      <c r="O116" s="448"/>
      <c r="P116" s="180"/>
      <c r="Q116" s="180"/>
      <c r="R116" s="181"/>
      <c r="S116" s="180"/>
      <c r="T116" s="180"/>
      <c r="U116" s="180"/>
      <c r="V116" s="188"/>
      <c r="W116" s="189">
        <f>W115</f>
        <v>0</v>
      </c>
      <c r="X116" s="188">
        <f>SUM(X111:X115)</f>
        <v>0</v>
      </c>
      <c r="Y116" s="2665"/>
      <c r="Z116" s="406"/>
      <c r="AA116" s="406"/>
      <c r="AB116" s="407"/>
    </row>
    <row r="117" spans="1:31" ht="13.5" thickBot="1" x14ac:dyDescent="0.25">
      <c r="A117" s="302" t="s">
        <v>8</v>
      </c>
      <c r="B117" s="9" t="s">
        <v>8</v>
      </c>
      <c r="C117" s="2242" t="s">
        <v>11</v>
      </c>
      <c r="D117" s="2242"/>
      <c r="E117" s="2242"/>
      <c r="F117" s="2242"/>
      <c r="G117" s="2242"/>
      <c r="H117" s="2242"/>
      <c r="I117" s="2242"/>
      <c r="J117" s="2243"/>
      <c r="K117" s="21">
        <f>K116+K110+K106+K95+K91+K87+K76+K53+K41</f>
        <v>20634.900000000001</v>
      </c>
      <c r="L117" s="21">
        <f>L116+L110+L106+L95+L91+L87+L76+L53+L41</f>
        <v>18679.900000000001</v>
      </c>
      <c r="M117" s="21">
        <f>M116+M110+M106+M95+M91+M87+M76+M53+M41</f>
        <v>742.7</v>
      </c>
      <c r="N117" s="972">
        <f>N116+N110+N106+N95+N91+N87+N76+N53+N41</f>
        <v>1955</v>
      </c>
      <c r="O117" s="129">
        <f>O116+O110+O106+O95+O91+O87+O76+O53+O41+O108</f>
        <v>21997.9</v>
      </c>
      <c r="P117" s="21">
        <f t="shared" ref="P117:X117" si="14">P116+P110+P106+P95+P91+P87+P76+P53+P41</f>
        <v>19517.599999999999</v>
      </c>
      <c r="Q117" s="21">
        <f t="shared" si="14"/>
        <v>895.8</v>
      </c>
      <c r="R117" s="130">
        <f t="shared" si="14"/>
        <v>2335.1</v>
      </c>
      <c r="S117" s="21">
        <f t="shared" si="14"/>
        <v>0</v>
      </c>
      <c r="T117" s="21">
        <f t="shared" si="14"/>
        <v>0</v>
      </c>
      <c r="U117" s="21">
        <f t="shared" si="14"/>
        <v>0</v>
      </c>
      <c r="V117" s="972">
        <f t="shared" si="14"/>
        <v>0</v>
      </c>
      <c r="W117" s="217">
        <f t="shared" si="14"/>
        <v>19633.7</v>
      </c>
      <c r="X117" s="972">
        <f t="shared" si="14"/>
        <v>18656.900000000001</v>
      </c>
      <c r="Y117" s="34"/>
      <c r="Z117" s="35"/>
      <c r="AA117" s="35"/>
      <c r="AB117" s="36"/>
    </row>
    <row r="118" spans="1:31" ht="13.5" thickBot="1" x14ac:dyDescent="0.25">
      <c r="A118" s="302" t="s">
        <v>8</v>
      </c>
      <c r="B118" s="9" t="s">
        <v>10</v>
      </c>
      <c r="C118" s="2473" t="s">
        <v>59</v>
      </c>
      <c r="D118" s="2474"/>
      <c r="E118" s="2474"/>
      <c r="F118" s="2474"/>
      <c r="G118" s="2474"/>
      <c r="H118" s="2474"/>
      <c r="I118" s="2474"/>
      <c r="J118" s="2474"/>
      <c r="K118" s="2474"/>
      <c r="L118" s="2474"/>
      <c r="M118" s="2474"/>
      <c r="N118" s="2474"/>
      <c r="O118" s="2474"/>
      <c r="P118" s="2474"/>
      <c r="Q118" s="2474"/>
      <c r="R118" s="2474"/>
      <c r="S118" s="2474"/>
      <c r="T118" s="2474"/>
      <c r="U118" s="2474"/>
      <c r="V118" s="2474"/>
      <c r="W118" s="2474"/>
      <c r="X118" s="2474"/>
      <c r="Y118" s="2474"/>
      <c r="Z118" s="2474"/>
      <c r="AA118" s="2474"/>
      <c r="AB118" s="2475"/>
    </row>
    <row r="119" spans="1:31" x14ac:dyDescent="0.2">
      <c r="A119" s="2315" t="s">
        <v>8</v>
      </c>
      <c r="B119" s="2316" t="s">
        <v>10</v>
      </c>
      <c r="C119" s="2332" t="s">
        <v>8</v>
      </c>
      <c r="D119" s="643"/>
      <c r="E119" s="2672" t="s">
        <v>191</v>
      </c>
      <c r="F119" s="645"/>
      <c r="G119" s="637" t="s">
        <v>45</v>
      </c>
      <c r="H119" s="617" t="s">
        <v>36</v>
      </c>
      <c r="I119" s="382"/>
      <c r="J119" s="17" t="s">
        <v>33</v>
      </c>
      <c r="K119" s="245">
        <f>L119+N119</f>
        <v>0</v>
      </c>
      <c r="L119" s="246">
        <v>0</v>
      </c>
      <c r="M119" s="246"/>
      <c r="N119" s="247"/>
      <c r="O119" s="257">
        <f>P119+R119</f>
        <v>0</v>
      </c>
      <c r="P119" s="258">
        <v>0</v>
      </c>
      <c r="Q119" s="246"/>
      <c r="R119" s="248"/>
      <c r="S119" s="153">
        <f>T119+V119</f>
        <v>0</v>
      </c>
      <c r="T119" s="154">
        <v>0</v>
      </c>
      <c r="U119" s="154"/>
      <c r="V119" s="155"/>
      <c r="W119" s="37">
        <v>0</v>
      </c>
      <c r="X119" s="37">
        <v>0</v>
      </c>
      <c r="Y119" s="633"/>
      <c r="Z119" s="639"/>
      <c r="AA119" s="639"/>
      <c r="AB119" s="641"/>
      <c r="AE119" s="11"/>
    </row>
    <row r="120" spans="1:31" x14ac:dyDescent="0.2">
      <c r="A120" s="2287"/>
      <c r="B120" s="2289"/>
      <c r="C120" s="2333"/>
      <c r="D120" s="699"/>
      <c r="E120" s="2673"/>
      <c r="F120" s="429"/>
      <c r="G120" s="651"/>
      <c r="H120" s="652"/>
      <c r="I120" s="383"/>
      <c r="J120" s="379" t="s">
        <v>106</v>
      </c>
      <c r="K120" s="224"/>
      <c r="L120" s="249"/>
      <c r="M120" s="249"/>
      <c r="N120" s="242"/>
      <c r="O120" s="326"/>
      <c r="P120" s="237"/>
      <c r="Q120" s="249"/>
      <c r="R120" s="225"/>
      <c r="S120" s="144"/>
      <c r="T120" s="150"/>
      <c r="U120" s="150"/>
      <c r="V120" s="151"/>
      <c r="W120" s="206"/>
      <c r="X120" s="206"/>
      <c r="Y120" s="634"/>
      <c r="Z120" s="28"/>
      <c r="AA120" s="28"/>
      <c r="AB120" s="99"/>
      <c r="AE120" s="11"/>
    </row>
    <row r="121" spans="1:31" ht="16.5" customHeight="1" x14ac:dyDescent="0.2">
      <c r="A121" s="2287"/>
      <c r="B121" s="2289"/>
      <c r="C121" s="2333"/>
      <c r="D121" s="644" t="s">
        <v>8</v>
      </c>
      <c r="E121" s="2329" t="s">
        <v>85</v>
      </c>
      <c r="F121" s="646"/>
      <c r="G121" s="638" t="s">
        <v>45</v>
      </c>
      <c r="H121" s="618" t="s">
        <v>36</v>
      </c>
      <c r="I121" s="2471" t="s">
        <v>172</v>
      </c>
      <c r="J121" s="379" t="s">
        <v>33</v>
      </c>
      <c r="K121" s="973">
        <f t="shared" ref="K121:K128" si="15">L121+N121</f>
        <v>90</v>
      </c>
      <c r="L121" s="974">
        <v>90</v>
      </c>
      <c r="M121" s="249"/>
      <c r="N121" s="242"/>
      <c r="O121" s="320">
        <f t="shared" ref="O121:O126" si="16">P121+R121</f>
        <v>180</v>
      </c>
      <c r="P121" s="321">
        <v>180</v>
      </c>
      <c r="Q121" s="321"/>
      <c r="R121" s="380"/>
      <c r="S121" s="729">
        <f>T121+V121</f>
        <v>0</v>
      </c>
      <c r="T121" s="975">
        <v>0</v>
      </c>
      <c r="U121" s="975"/>
      <c r="V121" s="151"/>
      <c r="W121" s="206">
        <v>180</v>
      </c>
      <c r="X121" s="206">
        <v>180</v>
      </c>
      <c r="Y121" s="665" t="s">
        <v>63</v>
      </c>
      <c r="Z121" s="95">
        <v>350</v>
      </c>
      <c r="AA121" s="95">
        <v>350</v>
      </c>
      <c r="AB121" s="96">
        <v>350</v>
      </c>
      <c r="AE121" s="11"/>
    </row>
    <row r="122" spans="1:31" ht="36" customHeight="1" x14ac:dyDescent="0.2">
      <c r="A122" s="2287"/>
      <c r="B122" s="2289"/>
      <c r="C122" s="2333"/>
      <c r="D122" s="644"/>
      <c r="E122" s="2329"/>
      <c r="F122" s="646"/>
      <c r="G122" s="638"/>
      <c r="H122" s="618"/>
      <c r="I122" s="2472"/>
      <c r="J122" s="381" t="s">
        <v>106</v>
      </c>
      <c r="K122" s="976">
        <f t="shared" si="15"/>
        <v>2.9</v>
      </c>
      <c r="L122" s="335">
        <v>2.9</v>
      </c>
      <c r="M122" s="358"/>
      <c r="N122" s="889"/>
      <c r="O122" s="334">
        <f t="shared" si="16"/>
        <v>0</v>
      </c>
      <c r="P122" s="375"/>
      <c r="Q122" s="375"/>
      <c r="R122" s="376"/>
      <c r="S122" s="731">
        <f>T122+V122</f>
        <v>0</v>
      </c>
      <c r="T122" s="977"/>
      <c r="U122" s="977"/>
      <c r="V122" s="733"/>
      <c r="W122" s="742"/>
      <c r="X122" s="742"/>
      <c r="Y122" s="345" t="s">
        <v>64</v>
      </c>
      <c r="Z122" s="377">
        <v>300</v>
      </c>
      <c r="AA122" s="377">
        <v>300</v>
      </c>
      <c r="AB122" s="378">
        <v>300</v>
      </c>
      <c r="AE122" s="11"/>
    </row>
    <row r="123" spans="1:31" ht="36" customHeight="1" x14ac:dyDescent="0.2">
      <c r="A123" s="2287"/>
      <c r="B123" s="2289"/>
      <c r="C123" s="2333"/>
      <c r="D123" s="699"/>
      <c r="E123" s="2334"/>
      <c r="F123" s="429"/>
      <c r="G123" s="651"/>
      <c r="H123" s="652"/>
      <c r="I123" s="2623"/>
      <c r="J123" s="372"/>
      <c r="K123" s="978">
        <f t="shared" si="15"/>
        <v>0</v>
      </c>
      <c r="L123" s="896"/>
      <c r="M123" s="221"/>
      <c r="N123" s="223"/>
      <c r="O123" s="251">
        <f t="shared" si="16"/>
        <v>0</v>
      </c>
      <c r="P123" s="373"/>
      <c r="Q123" s="373"/>
      <c r="R123" s="374"/>
      <c r="S123" s="177">
        <f>T123+V123</f>
        <v>0</v>
      </c>
      <c r="T123" s="979"/>
      <c r="U123" s="979"/>
      <c r="V123" s="143"/>
      <c r="W123" s="826"/>
      <c r="X123" s="826"/>
      <c r="Y123" s="980" t="s">
        <v>266</v>
      </c>
      <c r="Z123" s="384">
        <v>36</v>
      </c>
      <c r="AA123" s="384">
        <v>36</v>
      </c>
      <c r="AB123" s="385">
        <v>36</v>
      </c>
      <c r="AE123" s="11"/>
    </row>
    <row r="124" spans="1:31" ht="57.75" customHeight="1" x14ac:dyDescent="0.2">
      <c r="A124" s="2287"/>
      <c r="B124" s="2289"/>
      <c r="C124" s="2333"/>
      <c r="D124" s="644" t="s">
        <v>10</v>
      </c>
      <c r="E124" s="2329" t="s">
        <v>88</v>
      </c>
      <c r="F124" s="646"/>
      <c r="G124" s="638" t="s">
        <v>45</v>
      </c>
      <c r="H124" s="618" t="s">
        <v>36</v>
      </c>
      <c r="I124" s="2471" t="s">
        <v>172</v>
      </c>
      <c r="J124" s="386" t="s">
        <v>33</v>
      </c>
      <c r="K124" s="387">
        <f t="shared" si="15"/>
        <v>513.5</v>
      </c>
      <c r="L124" s="388">
        <v>513.5</v>
      </c>
      <c r="M124" s="340"/>
      <c r="N124" s="338"/>
      <c r="O124" s="389">
        <f t="shared" si="16"/>
        <v>672.4</v>
      </c>
      <c r="P124" s="390">
        <v>672.4</v>
      </c>
      <c r="Q124" s="340"/>
      <c r="R124" s="341"/>
      <c r="S124" s="822"/>
      <c r="T124" s="749"/>
      <c r="U124" s="749"/>
      <c r="V124" s="751"/>
      <c r="W124" s="823">
        <v>760</v>
      </c>
      <c r="X124" s="823">
        <v>900</v>
      </c>
      <c r="Y124" s="391" t="s">
        <v>185</v>
      </c>
      <c r="Z124" s="392">
        <v>18</v>
      </c>
      <c r="AA124" s="392">
        <v>18</v>
      </c>
      <c r="AB124" s="393">
        <v>18</v>
      </c>
      <c r="AE124" s="11"/>
    </row>
    <row r="125" spans="1:31" x14ac:dyDescent="0.2">
      <c r="A125" s="2287"/>
      <c r="B125" s="2289"/>
      <c r="C125" s="2333"/>
      <c r="D125" s="699"/>
      <c r="E125" s="2342"/>
      <c r="F125" s="429"/>
      <c r="G125" s="651"/>
      <c r="H125" s="652"/>
      <c r="I125" s="2623"/>
      <c r="J125" s="275" t="s">
        <v>106</v>
      </c>
      <c r="K125" s="359">
        <f t="shared" si="15"/>
        <v>40.700000000000003</v>
      </c>
      <c r="L125" s="236">
        <v>40.700000000000003</v>
      </c>
      <c r="M125" s="221"/>
      <c r="N125" s="223"/>
      <c r="O125" s="220">
        <f t="shared" si="16"/>
        <v>0</v>
      </c>
      <c r="P125" s="221"/>
      <c r="Q125" s="221"/>
      <c r="R125" s="222"/>
      <c r="S125" s="141">
        <f>T125+V125</f>
        <v>0</v>
      </c>
      <c r="T125" s="142"/>
      <c r="U125" s="142"/>
      <c r="V125" s="143"/>
      <c r="W125" s="826"/>
      <c r="X125" s="826"/>
      <c r="Y125" s="668"/>
      <c r="Z125" s="53"/>
      <c r="AA125" s="53"/>
      <c r="AB125" s="98"/>
      <c r="AE125" s="11"/>
    </row>
    <row r="126" spans="1:31" ht="19.5" customHeight="1" x14ac:dyDescent="0.2">
      <c r="A126" s="679"/>
      <c r="B126" s="630"/>
      <c r="C126" s="690"/>
      <c r="D126" s="644" t="s">
        <v>35</v>
      </c>
      <c r="E126" s="2341" t="s">
        <v>62</v>
      </c>
      <c r="F126" s="428"/>
      <c r="G126" s="676" t="s">
        <v>45</v>
      </c>
      <c r="H126" s="673" t="s">
        <v>36</v>
      </c>
      <c r="I126" s="2471" t="s">
        <v>154</v>
      </c>
      <c r="J126" s="386" t="s">
        <v>33</v>
      </c>
      <c r="K126" s="339">
        <f t="shared" si="15"/>
        <v>5</v>
      </c>
      <c r="L126" s="340">
        <v>5</v>
      </c>
      <c r="M126" s="340"/>
      <c r="N126" s="338"/>
      <c r="O126" s="339">
        <f t="shared" si="16"/>
        <v>5</v>
      </c>
      <c r="P126" s="340">
        <v>5</v>
      </c>
      <c r="Q126" s="340"/>
      <c r="R126" s="341"/>
      <c r="S126" s="822">
        <f>T126+V126</f>
        <v>0</v>
      </c>
      <c r="T126" s="749">
        <v>0</v>
      </c>
      <c r="U126" s="749"/>
      <c r="V126" s="751"/>
      <c r="W126" s="823">
        <v>5</v>
      </c>
      <c r="X126" s="823">
        <v>5</v>
      </c>
      <c r="Y126" s="391" t="s">
        <v>86</v>
      </c>
      <c r="Z126" s="392">
        <v>2</v>
      </c>
      <c r="AA126" s="392">
        <v>2</v>
      </c>
      <c r="AB126" s="393">
        <v>2</v>
      </c>
      <c r="AE126" s="11"/>
    </row>
    <row r="127" spans="1:31" ht="22.5" customHeight="1" x14ac:dyDescent="0.2">
      <c r="A127" s="679"/>
      <c r="B127" s="630"/>
      <c r="C127" s="690"/>
      <c r="D127" s="699"/>
      <c r="E127" s="2342"/>
      <c r="F127" s="429"/>
      <c r="G127" s="651"/>
      <c r="H127" s="652"/>
      <c r="I127" s="2623"/>
      <c r="J127" s="275" t="s">
        <v>106</v>
      </c>
      <c r="K127" s="220">
        <f t="shared" si="15"/>
        <v>2.5</v>
      </c>
      <c r="L127" s="221">
        <v>2.5</v>
      </c>
      <c r="M127" s="221"/>
      <c r="N127" s="223"/>
      <c r="O127" s="220"/>
      <c r="P127" s="221"/>
      <c r="Q127" s="221"/>
      <c r="R127" s="222"/>
      <c r="S127" s="141"/>
      <c r="T127" s="142"/>
      <c r="U127" s="142"/>
      <c r="V127" s="143"/>
      <c r="W127" s="59"/>
      <c r="X127" s="59"/>
      <c r="Y127" s="55" t="s">
        <v>186</v>
      </c>
      <c r="Z127" s="53">
        <v>100</v>
      </c>
      <c r="AA127" s="53"/>
      <c r="AB127" s="98"/>
      <c r="AE127" s="11"/>
    </row>
    <row r="128" spans="1:31" ht="43.5" customHeight="1" x14ac:dyDescent="0.2">
      <c r="A128" s="679"/>
      <c r="B128" s="630"/>
      <c r="C128" s="690"/>
      <c r="D128" s="698" t="s">
        <v>44</v>
      </c>
      <c r="E128" s="696" t="s">
        <v>66</v>
      </c>
      <c r="F128" s="428"/>
      <c r="G128" s="676" t="s">
        <v>45</v>
      </c>
      <c r="H128" s="673" t="s">
        <v>36</v>
      </c>
      <c r="I128" s="694" t="s">
        <v>154</v>
      </c>
      <c r="J128" s="386" t="s">
        <v>33</v>
      </c>
      <c r="K128" s="339">
        <f t="shared" si="15"/>
        <v>6</v>
      </c>
      <c r="L128" s="340">
        <v>6</v>
      </c>
      <c r="M128" s="340"/>
      <c r="N128" s="338"/>
      <c r="O128" s="355">
        <f t="shared" ref="O128:O133" si="17">P128+R128</f>
        <v>6</v>
      </c>
      <c r="P128" s="356">
        <v>6</v>
      </c>
      <c r="Q128" s="394"/>
      <c r="R128" s="395"/>
      <c r="S128" s="748">
        <f>T128+V128</f>
        <v>0</v>
      </c>
      <c r="T128" s="981">
        <v>0</v>
      </c>
      <c r="U128" s="981"/>
      <c r="V128" s="751"/>
      <c r="W128" s="823">
        <v>6</v>
      </c>
      <c r="X128" s="823">
        <v>6</v>
      </c>
      <c r="Y128" s="665" t="s">
        <v>67</v>
      </c>
      <c r="Z128" s="95">
        <v>20</v>
      </c>
      <c r="AA128" s="95">
        <v>20</v>
      </c>
      <c r="AB128" s="96">
        <v>20</v>
      </c>
      <c r="AE128" s="11"/>
    </row>
    <row r="129" spans="1:41" ht="27" customHeight="1" x14ac:dyDescent="0.2">
      <c r="A129" s="679"/>
      <c r="B129" s="630"/>
      <c r="C129" s="690"/>
      <c r="D129" s="698" t="s">
        <v>45</v>
      </c>
      <c r="E129" s="427" t="s">
        <v>87</v>
      </c>
      <c r="F129" s="2666"/>
      <c r="G129" s="2668" t="s">
        <v>45</v>
      </c>
      <c r="H129" s="2670" t="s">
        <v>36</v>
      </c>
      <c r="I129" s="2399" t="s">
        <v>156</v>
      </c>
      <c r="J129" s="386" t="s">
        <v>33</v>
      </c>
      <c r="K129" s="389">
        <f>L129+N129</f>
        <v>20</v>
      </c>
      <c r="L129" s="390">
        <v>20</v>
      </c>
      <c r="M129" s="390"/>
      <c r="N129" s="396"/>
      <c r="O129" s="352">
        <f t="shared" si="17"/>
        <v>10</v>
      </c>
      <c r="P129" s="390">
        <v>10</v>
      </c>
      <c r="Q129" s="390"/>
      <c r="R129" s="397"/>
      <c r="S129" s="822">
        <f>T129+V129</f>
        <v>0</v>
      </c>
      <c r="T129" s="749">
        <v>0</v>
      </c>
      <c r="U129" s="749"/>
      <c r="V129" s="751"/>
      <c r="W129" s="823">
        <v>10</v>
      </c>
      <c r="X129" s="823">
        <v>10</v>
      </c>
      <c r="Y129" s="54" t="s">
        <v>65</v>
      </c>
      <c r="Z129" s="95">
        <v>150</v>
      </c>
      <c r="AA129" s="95">
        <v>150</v>
      </c>
      <c r="AB129" s="96">
        <v>150</v>
      </c>
      <c r="AE129" s="11"/>
      <c r="AF129" s="278"/>
      <c r="AG129" s="278"/>
      <c r="AH129" s="278"/>
      <c r="AI129" s="278"/>
      <c r="AJ129" s="278"/>
      <c r="AK129" s="278"/>
      <c r="AL129" s="278"/>
      <c r="AM129" s="278"/>
      <c r="AN129" s="278"/>
      <c r="AO129" s="278"/>
    </row>
    <row r="130" spans="1:41" ht="21" customHeight="1" x14ac:dyDescent="0.2">
      <c r="A130" s="679"/>
      <c r="B130" s="630"/>
      <c r="C130" s="690"/>
      <c r="D130" s="698" t="s">
        <v>37</v>
      </c>
      <c r="E130" s="703" t="s">
        <v>187</v>
      </c>
      <c r="F130" s="2667"/>
      <c r="G130" s="2669"/>
      <c r="H130" s="2671"/>
      <c r="I130" s="2339"/>
      <c r="J130" s="386" t="s">
        <v>33</v>
      </c>
      <c r="K130" s="389"/>
      <c r="L130" s="390"/>
      <c r="M130" s="390"/>
      <c r="N130" s="396"/>
      <c r="O130" s="352">
        <f t="shared" si="17"/>
        <v>80</v>
      </c>
      <c r="P130" s="390">
        <v>80</v>
      </c>
      <c r="Q130" s="390"/>
      <c r="R130" s="397"/>
      <c r="S130" s="822">
        <f>T130+V130</f>
        <v>0</v>
      </c>
      <c r="T130" s="749">
        <v>0</v>
      </c>
      <c r="U130" s="749"/>
      <c r="V130" s="751"/>
      <c r="W130" s="823">
        <v>20</v>
      </c>
      <c r="X130" s="823">
        <v>20</v>
      </c>
      <c r="Y130" s="54" t="s">
        <v>302</v>
      </c>
      <c r="Z130" s="982">
        <v>1</v>
      </c>
      <c r="AA130" s="982">
        <v>0.3</v>
      </c>
      <c r="AB130" s="983">
        <v>0.3</v>
      </c>
      <c r="AE130" s="11"/>
      <c r="AF130" s="278"/>
      <c r="AG130" s="278"/>
      <c r="AH130" s="278"/>
      <c r="AI130" s="278"/>
      <c r="AJ130" s="278"/>
      <c r="AK130" s="278"/>
      <c r="AL130" s="278"/>
      <c r="AM130" s="278"/>
      <c r="AN130" s="278"/>
      <c r="AO130" s="278"/>
    </row>
    <row r="131" spans="1:41" ht="30" customHeight="1" x14ac:dyDescent="0.2">
      <c r="A131" s="679"/>
      <c r="B131" s="630"/>
      <c r="C131" s="690"/>
      <c r="D131" s="698" t="s">
        <v>46</v>
      </c>
      <c r="E131" s="703" t="s">
        <v>188</v>
      </c>
      <c r="F131" s="2667"/>
      <c r="G131" s="2669"/>
      <c r="H131" s="2671"/>
      <c r="I131" s="2339"/>
      <c r="J131" s="386" t="s">
        <v>33</v>
      </c>
      <c r="K131" s="389"/>
      <c r="L131" s="390"/>
      <c r="M131" s="390"/>
      <c r="N131" s="396"/>
      <c r="O131" s="352">
        <f t="shared" si="17"/>
        <v>5</v>
      </c>
      <c r="P131" s="390">
        <v>5</v>
      </c>
      <c r="Q131" s="390"/>
      <c r="R131" s="397"/>
      <c r="S131" s="822">
        <f>T131+V131</f>
        <v>0</v>
      </c>
      <c r="T131" s="749">
        <v>0</v>
      </c>
      <c r="U131" s="749"/>
      <c r="V131" s="751"/>
      <c r="W131" s="823">
        <v>0</v>
      </c>
      <c r="X131" s="823">
        <v>5</v>
      </c>
      <c r="Y131" s="54" t="s">
        <v>303</v>
      </c>
      <c r="Z131" s="95">
        <v>3</v>
      </c>
      <c r="AA131" s="95"/>
      <c r="AB131" s="96">
        <v>3</v>
      </c>
      <c r="AE131" s="11"/>
      <c r="AF131" s="278"/>
      <c r="AG131" s="278"/>
      <c r="AH131" s="278"/>
      <c r="AI131" s="278"/>
      <c r="AJ131" s="278"/>
      <c r="AK131" s="278"/>
      <c r="AL131" s="278"/>
      <c r="AM131" s="278"/>
      <c r="AN131" s="278"/>
      <c r="AO131" s="278"/>
    </row>
    <row r="132" spans="1:41" ht="30" customHeight="1" x14ac:dyDescent="0.2">
      <c r="A132" s="679"/>
      <c r="B132" s="630"/>
      <c r="C132" s="690"/>
      <c r="D132" s="708" t="s">
        <v>39</v>
      </c>
      <c r="E132" s="510" t="s">
        <v>189</v>
      </c>
      <c r="F132" s="2667"/>
      <c r="G132" s="2669"/>
      <c r="H132" s="2671"/>
      <c r="I132" s="2339"/>
      <c r="J132" s="23" t="s">
        <v>33</v>
      </c>
      <c r="K132" s="238"/>
      <c r="L132" s="239"/>
      <c r="M132" s="239"/>
      <c r="N132" s="472"/>
      <c r="O132" s="254">
        <f t="shared" si="17"/>
        <v>8</v>
      </c>
      <c r="P132" s="239">
        <v>8</v>
      </c>
      <c r="Q132" s="239"/>
      <c r="R132" s="282"/>
      <c r="S132" s="147">
        <f>T132+V132</f>
        <v>0</v>
      </c>
      <c r="T132" s="148">
        <v>0</v>
      </c>
      <c r="U132" s="148"/>
      <c r="V132" s="149"/>
      <c r="W132" s="725"/>
      <c r="X132" s="725">
        <v>5</v>
      </c>
      <c r="Y132" s="87" t="s">
        <v>304</v>
      </c>
      <c r="Z132" s="984">
        <v>100</v>
      </c>
      <c r="AA132" s="984"/>
      <c r="AB132" s="985">
        <v>100</v>
      </c>
      <c r="AE132" s="11"/>
      <c r="AF132" s="278"/>
      <c r="AG132" s="278"/>
      <c r="AH132" s="278"/>
      <c r="AI132" s="278"/>
      <c r="AJ132" s="278"/>
      <c r="AK132" s="278"/>
      <c r="AL132" s="278"/>
      <c r="AM132" s="278"/>
      <c r="AN132" s="278"/>
      <c r="AO132" s="278"/>
    </row>
    <row r="133" spans="1:41" ht="42.75" customHeight="1" x14ac:dyDescent="0.2">
      <c r="A133" s="300"/>
      <c r="B133" s="653"/>
      <c r="C133" s="690"/>
      <c r="D133" s="691" t="s">
        <v>120</v>
      </c>
      <c r="E133" s="684" t="s">
        <v>231</v>
      </c>
      <c r="F133" s="471"/>
      <c r="G133" s="649"/>
      <c r="H133" s="73"/>
      <c r="I133" s="715"/>
      <c r="J133" s="322" t="s">
        <v>33</v>
      </c>
      <c r="K133" s="986"/>
      <c r="L133" s="987"/>
      <c r="M133" s="323"/>
      <c r="N133" s="199"/>
      <c r="O133" s="398">
        <f t="shared" si="17"/>
        <v>113</v>
      </c>
      <c r="P133" s="253">
        <v>113</v>
      </c>
      <c r="Q133" s="253"/>
      <c r="R133" s="324"/>
      <c r="S133" s="988"/>
      <c r="T133" s="145"/>
      <c r="U133" s="195"/>
      <c r="V133" s="784"/>
      <c r="W133" s="989"/>
      <c r="X133" s="990"/>
      <c r="Y133" s="868" t="s">
        <v>305</v>
      </c>
      <c r="Z133" s="991">
        <v>100</v>
      </c>
      <c r="AA133" s="992"/>
      <c r="AB133" s="993"/>
    </row>
    <row r="134" spans="1:41" ht="24.75" customHeight="1" x14ac:dyDescent="0.2">
      <c r="A134" s="679"/>
      <c r="B134" s="630"/>
      <c r="C134" s="690"/>
      <c r="D134" s="708" t="s">
        <v>38</v>
      </c>
      <c r="E134" s="437" t="s">
        <v>80</v>
      </c>
      <c r="F134" s="429"/>
      <c r="G134" s="651"/>
      <c r="H134" s="652"/>
      <c r="I134" s="459"/>
      <c r="J134" s="186" t="s">
        <v>33</v>
      </c>
      <c r="K134" s="254">
        <f>L134+N134</f>
        <v>100.3</v>
      </c>
      <c r="L134" s="255">
        <v>100.3</v>
      </c>
      <c r="M134" s="255"/>
      <c r="N134" s="331"/>
      <c r="O134" s="254"/>
      <c r="P134" s="255"/>
      <c r="Q134" s="255"/>
      <c r="R134" s="256"/>
      <c r="S134" s="147"/>
      <c r="T134" s="148"/>
      <c r="U134" s="148"/>
      <c r="V134" s="149"/>
      <c r="W134" s="725"/>
      <c r="X134" s="725"/>
      <c r="Y134" s="87"/>
      <c r="Z134" s="984"/>
      <c r="AA134" s="984"/>
      <c r="AB134" s="985"/>
      <c r="AE134" s="11"/>
      <c r="AF134" s="278"/>
      <c r="AG134" s="278"/>
      <c r="AH134" s="278"/>
      <c r="AI134" s="278"/>
      <c r="AJ134" s="278"/>
      <c r="AK134" s="278"/>
      <c r="AL134" s="278"/>
      <c r="AM134" s="278"/>
      <c r="AN134" s="278"/>
      <c r="AO134" s="278"/>
    </row>
    <row r="135" spans="1:41" ht="13.5" thickBot="1" x14ac:dyDescent="0.25">
      <c r="A135" s="679"/>
      <c r="B135" s="630"/>
      <c r="C135" s="311"/>
      <c r="D135" s="312"/>
      <c r="E135" s="366"/>
      <c r="F135" s="314"/>
      <c r="G135" s="315"/>
      <c r="H135" s="367"/>
      <c r="I135" s="2346" t="s">
        <v>146</v>
      </c>
      <c r="J135" s="2347"/>
      <c r="K135" s="371">
        <f>SUM(K121:K134)</f>
        <v>780.9</v>
      </c>
      <c r="L135" s="371">
        <f t="shared" ref="L135:X135" si="18">SUM(L121:L134)</f>
        <v>780.9</v>
      </c>
      <c r="M135" s="371">
        <f t="shared" si="18"/>
        <v>0</v>
      </c>
      <c r="N135" s="371">
        <f t="shared" si="18"/>
        <v>0</v>
      </c>
      <c r="O135" s="371">
        <f>SUM(O121:O134)</f>
        <v>1079.4000000000001</v>
      </c>
      <c r="P135" s="371">
        <f t="shared" si="18"/>
        <v>1079.4000000000001</v>
      </c>
      <c r="Q135" s="371">
        <f t="shared" si="18"/>
        <v>0</v>
      </c>
      <c r="R135" s="371">
        <f t="shared" si="18"/>
        <v>0</v>
      </c>
      <c r="S135" s="371">
        <f t="shared" si="18"/>
        <v>0</v>
      </c>
      <c r="T135" s="371">
        <f t="shared" si="18"/>
        <v>0</v>
      </c>
      <c r="U135" s="371">
        <f t="shared" si="18"/>
        <v>0</v>
      </c>
      <c r="V135" s="371">
        <f t="shared" si="18"/>
        <v>0</v>
      </c>
      <c r="W135" s="371">
        <f t="shared" si="18"/>
        <v>981</v>
      </c>
      <c r="X135" s="371">
        <f t="shared" si="18"/>
        <v>1131</v>
      </c>
      <c r="Y135" s="994"/>
      <c r="Z135" s="995"/>
      <c r="AA135" s="995"/>
      <c r="AB135" s="996"/>
      <c r="AE135" s="11"/>
      <c r="AF135" s="278"/>
      <c r="AG135" s="278"/>
      <c r="AH135" s="278"/>
      <c r="AI135" s="278"/>
      <c r="AJ135" s="278"/>
      <c r="AK135" s="278"/>
      <c r="AL135" s="278"/>
      <c r="AM135" s="278"/>
      <c r="AN135" s="278"/>
      <c r="AO135" s="278"/>
    </row>
    <row r="136" spans="1:41" x14ac:dyDescent="0.2">
      <c r="A136" s="2315" t="s">
        <v>8</v>
      </c>
      <c r="B136" s="2316" t="s">
        <v>10</v>
      </c>
      <c r="C136" s="2317" t="s">
        <v>10</v>
      </c>
      <c r="D136" s="2317"/>
      <c r="E136" s="2672" t="s">
        <v>73</v>
      </c>
      <c r="F136" s="2658" t="s">
        <v>75</v>
      </c>
      <c r="G136" s="2550" t="s">
        <v>37</v>
      </c>
      <c r="H136" s="2484" t="s">
        <v>74</v>
      </c>
      <c r="I136" s="2359" t="s">
        <v>155</v>
      </c>
      <c r="J136" s="185" t="s">
        <v>33</v>
      </c>
      <c r="K136" s="276">
        <f>L136+N136</f>
        <v>75.2</v>
      </c>
      <c r="L136" s="277"/>
      <c r="M136" s="277"/>
      <c r="N136" s="968">
        <v>75.2</v>
      </c>
      <c r="O136" s="276"/>
      <c r="P136" s="277"/>
      <c r="Q136" s="277"/>
      <c r="R136" s="399"/>
      <c r="S136" s="997"/>
      <c r="T136" s="175"/>
      <c r="U136" s="175"/>
      <c r="V136" s="155"/>
      <c r="W136" s="42"/>
      <c r="X136" s="42"/>
      <c r="Y136" s="2467"/>
      <c r="Z136" s="647"/>
      <c r="AA136" s="639"/>
      <c r="AB136" s="641"/>
      <c r="AE136" s="11"/>
      <c r="AF136" s="278"/>
      <c r="AG136" s="278"/>
      <c r="AH136" s="278"/>
      <c r="AI136" s="278"/>
      <c r="AJ136" s="278"/>
      <c r="AK136" s="278"/>
      <c r="AL136" s="278"/>
      <c r="AM136" s="278"/>
      <c r="AN136" s="278"/>
      <c r="AO136" s="278"/>
    </row>
    <row r="137" spans="1:41" x14ac:dyDescent="0.2">
      <c r="A137" s="2287"/>
      <c r="B137" s="2289"/>
      <c r="C137" s="2328"/>
      <c r="D137" s="2328"/>
      <c r="E137" s="2674"/>
      <c r="F137" s="2295"/>
      <c r="G137" s="2551"/>
      <c r="H137" s="2300"/>
      <c r="I137" s="2339"/>
      <c r="J137" s="208" t="s">
        <v>106</v>
      </c>
      <c r="K137" s="398">
        <f>N137</f>
        <v>400</v>
      </c>
      <c r="L137" s="280"/>
      <c r="M137" s="280"/>
      <c r="N137" s="825">
        <v>400</v>
      </c>
      <c r="O137" s="398"/>
      <c r="P137" s="280"/>
      <c r="Q137" s="280"/>
      <c r="R137" s="400"/>
      <c r="S137" s="735"/>
      <c r="T137" s="176"/>
      <c r="U137" s="176"/>
      <c r="V137" s="146"/>
      <c r="W137" s="63"/>
      <c r="X137" s="63"/>
      <c r="Y137" s="2408"/>
      <c r="Z137" s="648"/>
      <c r="AA137" s="28"/>
      <c r="AB137" s="99"/>
      <c r="AE137" s="11"/>
      <c r="AF137" s="278"/>
      <c r="AG137" s="278"/>
      <c r="AH137" s="278"/>
      <c r="AI137" s="278"/>
      <c r="AJ137" s="278"/>
      <c r="AK137" s="278"/>
      <c r="AL137" s="278"/>
      <c r="AM137" s="278"/>
      <c r="AN137" s="278"/>
      <c r="AO137" s="278"/>
    </row>
    <row r="138" spans="1:41" ht="13.5" thickBot="1" x14ac:dyDescent="0.25">
      <c r="A138" s="2288"/>
      <c r="B138" s="2290"/>
      <c r="C138" s="2318"/>
      <c r="D138" s="2318"/>
      <c r="E138" s="2675"/>
      <c r="F138" s="2296"/>
      <c r="G138" s="2552"/>
      <c r="H138" s="2301"/>
      <c r="I138" s="2676"/>
      <c r="J138" s="184" t="s">
        <v>9</v>
      </c>
      <c r="K138" s="165">
        <f>SUM(K136:K137)</f>
        <v>475.2</v>
      </c>
      <c r="L138" s="165">
        <f>SUM(L136:L137)</f>
        <v>0</v>
      </c>
      <c r="M138" s="165">
        <f>SUM(M136:M137)</f>
        <v>0</v>
      </c>
      <c r="N138" s="170">
        <f>SUM(N136:N137)</f>
        <v>475.2</v>
      </c>
      <c r="O138" s="160"/>
      <c r="P138" s="165"/>
      <c r="Q138" s="165"/>
      <c r="R138" s="168"/>
      <c r="S138" s="165"/>
      <c r="T138" s="165"/>
      <c r="U138" s="165"/>
      <c r="V138" s="170"/>
      <c r="W138" s="183"/>
      <c r="X138" s="183"/>
      <c r="Y138" s="2468"/>
      <c r="Z138" s="640"/>
      <c r="AA138" s="640"/>
      <c r="AB138" s="642"/>
      <c r="AE138" s="11"/>
      <c r="AF138" s="278"/>
      <c r="AG138" s="278"/>
      <c r="AH138" s="278"/>
      <c r="AI138" s="278"/>
      <c r="AJ138" s="278"/>
      <c r="AK138" s="278"/>
      <c r="AL138" s="278"/>
      <c r="AM138" s="278"/>
      <c r="AN138" s="278"/>
      <c r="AO138" s="278"/>
    </row>
    <row r="139" spans="1:41" ht="13.5" thickBot="1" x14ac:dyDescent="0.25">
      <c r="A139" s="303" t="s">
        <v>8</v>
      </c>
      <c r="B139" s="9" t="s">
        <v>10</v>
      </c>
      <c r="C139" s="2242" t="s">
        <v>11</v>
      </c>
      <c r="D139" s="2242"/>
      <c r="E139" s="2242"/>
      <c r="F139" s="2242"/>
      <c r="G139" s="2242"/>
      <c r="H139" s="2242"/>
      <c r="I139" s="2242"/>
      <c r="J139" s="2243"/>
      <c r="K139" s="21">
        <f t="shared" ref="K139:X139" si="19">K135+K138</f>
        <v>1256.0999999999999</v>
      </c>
      <c r="L139" s="21">
        <f t="shared" si="19"/>
        <v>780.9</v>
      </c>
      <c r="M139" s="21">
        <f t="shared" si="19"/>
        <v>0</v>
      </c>
      <c r="N139" s="972">
        <f t="shared" si="19"/>
        <v>475.2</v>
      </c>
      <c r="O139" s="129">
        <f t="shared" si="19"/>
        <v>1079.4000000000001</v>
      </c>
      <c r="P139" s="21">
        <f t="shared" si="19"/>
        <v>1079.4000000000001</v>
      </c>
      <c r="Q139" s="21">
        <f t="shared" si="19"/>
        <v>0</v>
      </c>
      <c r="R139" s="130">
        <f t="shared" si="19"/>
        <v>0</v>
      </c>
      <c r="S139" s="129">
        <f t="shared" si="19"/>
        <v>0</v>
      </c>
      <c r="T139" s="21">
        <f t="shared" si="19"/>
        <v>0</v>
      </c>
      <c r="U139" s="21">
        <f t="shared" si="19"/>
        <v>0</v>
      </c>
      <c r="V139" s="972">
        <f t="shared" si="19"/>
        <v>0</v>
      </c>
      <c r="W139" s="217">
        <f t="shared" si="19"/>
        <v>981</v>
      </c>
      <c r="X139" s="217">
        <f t="shared" si="19"/>
        <v>1131</v>
      </c>
      <c r="Y139" s="2285"/>
      <c r="Z139" s="2677"/>
      <c r="AA139" s="2677"/>
      <c r="AB139" s="2286"/>
      <c r="AF139" s="278"/>
      <c r="AG139" s="278"/>
      <c r="AH139" s="278"/>
      <c r="AI139" s="278"/>
      <c r="AJ139" s="278"/>
      <c r="AK139" s="278"/>
      <c r="AL139" s="278"/>
      <c r="AM139" s="278"/>
      <c r="AN139" s="278"/>
      <c r="AO139" s="278"/>
    </row>
    <row r="140" spans="1:41" ht="13.5" thickBot="1" x14ac:dyDescent="0.25">
      <c r="A140" s="302" t="s">
        <v>8</v>
      </c>
      <c r="B140" s="9" t="s">
        <v>35</v>
      </c>
      <c r="C140" s="2473" t="s">
        <v>60</v>
      </c>
      <c r="D140" s="2474"/>
      <c r="E140" s="2474"/>
      <c r="F140" s="2474"/>
      <c r="G140" s="2474"/>
      <c r="H140" s="2474"/>
      <c r="I140" s="2474"/>
      <c r="J140" s="2474"/>
      <c r="K140" s="2474"/>
      <c r="L140" s="2474"/>
      <c r="M140" s="2474"/>
      <c r="N140" s="2474"/>
      <c r="O140" s="2474"/>
      <c r="P140" s="2474"/>
      <c r="Q140" s="2474"/>
      <c r="R140" s="2474"/>
      <c r="S140" s="2474"/>
      <c r="T140" s="2474"/>
      <c r="U140" s="2474"/>
      <c r="V140" s="2474"/>
      <c r="W140" s="2474"/>
      <c r="X140" s="2474"/>
      <c r="Y140" s="2474"/>
      <c r="Z140" s="2474"/>
      <c r="AA140" s="2474"/>
      <c r="AB140" s="2475"/>
      <c r="AF140" s="278"/>
      <c r="AG140" s="278"/>
      <c r="AH140" s="278"/>
      <c r="AI140" s="278"/>
      <c r="AJ140" s="278"/>
      <c r="AK140" s="278"/>
      <c r="AL140" s="278"/>
      <c r="AM140" s="278"/>
      <c r="AN140" s="278"/>
      <c r="AO140" s="278"/>
    </row>
    <row r="141" spans="1:41" x14ac:dyDescent="0.2">
      <c r="A141" s="2315" t="s">
        <v>8</v>
      </c>
      <c r="B141" s="2316" t="s">
        <v>35</v>
      </c>
      <c r="C141" s="2317" t="s">
        <v>8</v>
      </c>
      <c r="D141" s="2317"/>
      <c r="E141" s="2319" t="s">
        <v>68</v>
      </c>
      <c r="F141" s="2321"/>
      <c r="G141" s="2550" t="s">
        <v>45</v>
      </c>
      <c r="H141" s="2324" t="s">
        <v>36</v>
      </c>
      <c r="I141" s="2326" t="s">
        <v>157</v>
      </c>
      <c r="J141" s="283" t="s">
        <v>33</v>
      </c>
      <c r="K141" s="261">
        <f>L141+N141</f>
        <v>1233.5</v>
      </c>
      <c r="L141" s="262">
        <v>1233.5</v>
      </c>
      <c r="M141" s="262"/>
      <c r="N141" s="968"/>
      <c r="O141" s="261">
        <f>P141+R141</f>
        <v>2146.4</v>
      </c>
      <c r="P141" s="262">
        <f>2297.3-102.7-48.2</f>
        <v>2146.4</v>
      </c>
      <c r="Q141" s="262"/>
      <c r="R141" s="281"/>
      <c r="S141" s="153">
        <f>T141+V141</f>
        <v>0</v>
      </c>
      <c r="T141" s="154">
        <v>0</v>
      </c>
      <c r="U141" s="154"/>
      <c r="V141" s="155"/>
      <c r="W141" s="42">
        <v>2527.1</v>
      </c>
      <c r="X141" s="86">
        <v>2527.1</v>
      </c>
      <c r="Y141" s="2467" t="s">
        <v>139</v>
      </c>
      <c r="Z141" s="39">
        <v>3.7</v>
      </c>
      <c r="AA141" s="39">
        <v>3.7</v>
      </c>
      <c r="AB141" s="40">
        <v>3.7</v>
      </c>
      <c r="AE141" s="11"/>
      <c r="AF141" s="278"/>
      <c r="AG141" s="278"/>
      <c r="AH141" s="278"/>
      <c r="AI141" s="278"/>
      <c r="AJ141" s="278"/>
      <c r="AK141" s="278"/>
      <c r="AL141" s="278"/>
      <c r="AM141" s="278"/>
      <c r="AN141" s="278"/>
      <c r="AO141" s="278"/>
    </row>
    <row r="142" spans="1:41" x14ac:dyDescent="0.2">
      <c r="A142" s="2287"/>
      <c r="B142" s="2289"/>
      <c r="C142" s="2328"/>
      <c r="D142" s="2328"/>
      <c r="E142" s="2329"/>
      <c r="F142" s="2309"/>
      <c r="G142" s="2551"/>
      <c r="H142" s="2330"/>
      <c r="I142" s="2331"/>
      <c r="J142" s="186" t="s">
        <v>106</v>
      </c>
      <c r="K142" s="254">
        <f>L142+N142</f>
        <v>100</v>
      </c>
      <c r="L142" s="483">
        <v>100</v>
      </c>
      <c r="M142" s="483"/>
      <c r="N142" s="331"/>
      <c r="O142" s="254">
        <f>P142+R142</f>
        <v>0</v>
      </c>
      <c r="P142" s="483"/>
      <c r="Q142" s="483"/>
      <c r="R142" s="458"/>
      <c r="S142" s="147">
        <f>T142+V142</f>
        <v>0</v>
      </c>
      <c r="T142" s="145"/>
      <c r="U142" s="145"/>
      <c r="V142" s="146"/>
      <c r="W142" s="63"/>
      <c r="X142" s="82"/>
      <c r="Y142" s="2408"/>
      <c r="Z142" s="38"/>
      <c r="AA142" s="28"/>
      <c r="AB142" s="99"/>
      <c r="AE142" s="11"/>
      <c r="AF142" s="278"/>
      <c r="AG142" s="278"/>
      <c r="AH142" s="278"/>
      <c r="AI142" s="278"/>
      <c r="AJ142" s="278"/>
      <c r="AK142" s="278"/>
      <c r="AL142" s="278"/>
      <c r="AM142" s="278"/>
      <c r="AN142" s="278"/>
      <c r="AO142" s="278"/>
    </row>
    <row r="143" spans="1:41" x14ac:dyDescent="0.2">
      <c r="A143" s="2287"/>
      <c r="B143" s="2289"/>
      <c r="C143" s="2328"/>
      <c r="D143" s="2328"/>
      <c r="E143" s="2329"/>
      <c r="F143" s="2309"/>
      <c r="G143" s="2551"/>
      <c r="H143" s="2330"/>
      <c r="I143" s="2331"/>
      <c r="J143" s="284"/>
      <c r="K143" s="285">
        <f>L143+N143</f>
        <v>0</v>
      </c>
      <c r="L143" s="286"/>
      <c r="M143" s="286"/>
      <c r="N143" s="331"/>
      <c r="O143" s="232"/>
      <c r="P143" s="286"/>
      <c r="Q143" s="286"/>
      <c r="R143" s="287"/>
      <c r="S143" s="141">
        <f>T143+V143</f>
        <v>0</v>
      </c>
      <c r="T143" s="150"/>
      <c r="U143" s="150"/>
      <c r="V143" s="151"/>
      <c r="W143" s="20"/>
      <c r="X143" s="83"/>
      <c r="Y143" s="2408"/>
      <c r="Z143" s="28"/>
      <c r="AA143" s="28"/>
      <c r="AB143" s="99"/>
      <c r="AE143" s="11"/>
      <c r="AF143" s="278"/>
      <c r="AG143" s="278"/>
      <c r="AH143" s="278"/>
      <c r="AI143" s="278"/>
      <c r="AJ143" s="278"/>
      <c r="AK143" s="278"/>
      <c r="AL143" s="278"/>
      <c r="AM143" s="278"/>
      <c r="AN143" s="278"/>
      <c r="AO143" s="278"/>
    </row>
    <row r="144" spans="1:41" ht="13.5" thickBot="1" x14ac:dyDescent="0.25">
      <c r="A144" s="2288"/>
      <c r="B144" s="2290"/>
      <c r="C144" s="2318"/>
      <c r="D144" s="2318"/>
      <c r="E144" s="2320"/>
      <c r="F144" s="2310"/>
      <c r="G144" s="2552"/>
      <c r="H144" s="2325"/>
      <c r="I144" s="2327"/>
      <c r="J144" s="259" t="s">
        <v>9</v>
      </c>
      <c r="K144" s="165">
        <f t="shared" ref="K144:X144" si="20">SUM(K141:K143)</f>
        <v>1333.5</v>
      </c>
      <c r="L144" s="161">
        <f t="shared" si="20"/>
        <v>1333.5</v>
      </c>
      <c r="M144" s="161">
        <f t="shared" si="20"/>
        <v>0</v>
      </c>
      <c r="N144" s="164">
        <f t="shared" si="20"/>
        <v>0</v>
      </c>
      <c r="O144" s="160">
        <f t="shared" si="20"/>
        <v>2146.4</v>
      </c>
      <c r="P144" s="161">
        <f t="shared" si="20"/>
        <v>2146.4</v>
      </c>
      <c r="Q144" s="161">
        <f t="shared" si="20"/>
        <v>0</v>
      </c>
      <c r="R144" s="162">
        <f t="shared" si="20"/>
        <v>0</v>
      </c>
      <c r="S144" s="165">
        <f t="shared" si="20"/>
        <v>0</v>
      </c>
      <c r="T144" s="161">
        <f t="shared" si="20"/>
        <v>0</v>
      </c>
      <c r="U144" s="161">
        <f t="shared" si="20"/>
        <v>0</v>
      </c>
      <c r="V144" s="164">
        <f t="shared" si="20"/>
        <v>0</v>
      </c>
      <c r="W144" s="183">
        <f t="shared" si="20"/>
        <v>2527.1</v>
      </c>
      <c r="X144" s="168">
        <f t="shared" si="20"/>
        <v>2527.1</v>
      </c>
      <c r="Y144" s="2468"/>
      <c r="Z144" s="640"/>
      <c r="AA144" s="640"/>
      <c r="AB144" s="642"/>
      <c r="AE144" s="11"/>
      <c r="AF144" s="278"/>
      <c r="AG144" s="278"/>
      <c r="AH144" s="278"/>
      <c r="AI144" s="278"/>
      <c r="AJ144" s="278"/>
      <c r="AK144" s="278"/>
      <c r="AL144" s="278"/>
      <c r="AM144" s="278"/>
      <c r="AN144" s="278"/>
      <c r="AO144" s="278"/>
    </row>
    <row r="145" spans="1:41" ht="23.25" customHeight="1" x14ac:dyDescent="0.2">
      <c r="A145" s="2315" t="s">
        <v>8</v>
      </c>
      <c r="B145" s="2316" t="s">
        <v>35</v>
      </c>
      <c r="C145" s="2317" t="s">
        <v>10</v>
      </c>
      <c r="D145" s="2317"/>
      <c r="E145" s="2319" t="s">
        <v>321</v>
      </c>
      <c r="F145" s="2321"/>
      <c r="G145" s="2550" t="s">
        <v>37</v>
      </c>
      <c r="H145" s="2324" t="s">
        <v>36</v>
      </c>
      <c r="I145" s="2326" t="s">
        <v>158</v>
      </c>
      <c r="J145" s="1197" t="s">
        <v>78</v>
      </c>
      <c r="K145" s="261">
        <f>L145+N145</f>
        <v>7.2</v>
      </c>
      <c r="L145" s="262">
        <v>7.2</v>
      </c>
      <c r="M145" s="262"/>
      <c r="N145" s="968"/>
      <c r="O145" s="261">
        <f>P145</f>
        <v>6.5</v>
      </c>
      <c r="P145" s="262">
        <f>1880*3.4528/1000</f>
        <v>6.5</v>
      </c>
      <c r="Q145" s="262"/>
      <c r="R145" s="281"/>
      <c r="S145" s="153">
        <f>T145+V145</f>
        <v>0</v>
      </c>
      <c r="T145" s="154">
        <v>0</v>
      </c>
      <c r="U145" s="154"/>
      <c r="V145" s="155"/>
      <c r="W145" s="42"/>
      <c r="X145" s="86"/>
      <c r="Y145" s="2467" t="s">
        <v>322</v>
      </c>
      <c r="Z145" s="39">
        <v>10</v>
      </c>
      <c r="AA145" s="39"/>
      <c r="AB145" s="40"/>
      <c r="AE145" s="11"/>
      <c r="AF145" s="278"/>
      <c r="AG145" s="278"/>
      <c r="AH145" s="278"/>
      <c r="AI145" s="278"/>
      <c r="AJ145" s="278"/>
      <c r="AK145" s="278"/>
      <c r="AL145" s="278"/>
      <c r="AM145" s="278"/>
      <c r="AN145" s="278"/>
      <c r="AO145" s="278"/>
    </row>
    <row r="146" spans="1:41" ht="20.25" customHeight="1" x14ac:dyDescent="0.2">
      <c r="A146" s="2287"/>
      <c r="B146" s="2289"/>
      <c r="C146" s="2328"/>
      <c r="D146" s="2328"/>
      <c r="E146" s="2329"/>
      <c r="F146" s="2309"/>
      <c r="G146" s="2551"/>
      <c r="H146" s="2330"/>
      <c r="I146" s="2331"/>
      <c r="J146" s="1197"/>
      <c r="K146" s="232"/>
      <c r="L146" s="483"/>
      <c r="M146" s="483"/>
      <c r="N146" s="838"/>
      <c r="O146" s="232"/>
      <c r="P146" s="483"/>
      <c r="Q146" s="483"/>
      <c r="R146" s="458"/>
      <c r="S146" s="147">
        <f>T146+V146</f>
        <v>0</v>
      </c>
      <c r="T146" s="145"/>
      <c r="U146" s="145"/>
      <c r="V146" s="146"/>
      <c r="W146" s="63"/>
      <c r="X146" s="82"/>
      <c r="Y146" s="2408"/>
      <c r="Z146" s="38"/>
      <c r="AA146" s="28"/>
      <c r="AB146" s="99"/>
      <c r="AE146" s="11"/>
      <c r="AF146" s="278"/>
      <c r="AG146" s="278"/>
      <c r="AH146" s="278"/>
      <c r="AI146" s="278"/>
      <c r="AJ146" s="278"/>
      <c r="AK146" s="278"/>
      <c r="AL146" s="278"/>
      <c r="AM146" s="278"/>
      <c r="AN146" s="278"/>
      <c r="AO146" s="278"/>
    </row>
    <row r="147" spans="1:41" ht="13.5" thickBot="1" x14ac:dyDescent="0.25">
      <c r="A147" s="2288"/>
      <c r="B147" s="2290"/>
      <c r="C147" s="2318"/>
      <c r="D147" s="2318"/>
      <c r="E147" s="2320"/>
      <c r="F147" s="2310"/>
      <c r="G147" s="2552"/>
      <c r="H147" s="2325"/>
      <c r="I147" s="2327"/>
      <c r="J147" s="259" t="s">
        <v>9</v>
      </c>
      <c r="K147" s="165">
        <f t="shared" ref="K147:X147" si="21">SUM(K145:K146)</f>
        <v>7.2</v>
      </c>
      <c r="L147" s="161">
        <f t="shared" si="21"/>
        <v>7.2</v>
      </c>
      <c r="M147" s="161">
        <f t="shared" si="21"/>
        <v>0</v>
      </c>
      <c r="N147" s="164">
        <f t="shared" si="21"/>
        <v>0</v>
      </c>
      <c r="O147" s="160">
        <f t="shared" si="21"/>
        <v>6.5</v>
      </c>
      <c r="P147" s="161">
        <f t="shared" si="21"/>
        <v>6.5</v>
      </c>
      <c r="Q147" s="161">
        <f t="shared" si="21"/>
        <v>0</v>
      </c>
      <c r="R147" s="162">
        <f t="shared" si="21"/>
        <v>0</v>
      </c>
      <c r="S147" s="165">
        <f t="shared" si="21"/>
        <v>0</v>
      </c>
      <c r="T147" s="161">
        <f t="shared" si="21"/>
        <v>0</v>
      </c>
      <c r="U147" s="161">
        <f t="shared" si="21"/>
        <v>0</v>
      </c>
      <c r="V147" s="164">
        <f t="shared" si="21"/>
        <v>0</v>
      </c>
      <c r="W147" s="183">
        <f t="shared" si="21"/>
        <v>0</v>
      </c>
      <c r="X147" s="168">
        <f t="shared" si="21"/>
        <v>0</v>
      </c>
      <c r="Y147" s="2468"/>
      <c r="Z147" s="1195"/>
      <c r="AA147" s="1195"/>
      <c r="AB147" s="1196"/>
      <c r="AE147" s="11"/>
      <c r="AF147" s="278"/>
      <c r="AG147" s="278"/>
      <c r="AH147" s="278"/>
      <c r="AI147" s="278"/>
      <c r="AJ147" s="278"/>
      <c r="AK147" s="278"/>
      <c r="AL147" s="278"/>
      <c r="AM147" s="278"/>
      <c r="AN147" s="278"/>
      <c r="AO147" s="278"/>
    </row>
    <row r="148" spans="1:41" ht="13.5" thickBot="1" x14ac:dyDescent="0.25">
      <c r="A148" s="303" t="s">
        <v>8</v>
      </c>
      <c r="B148" s="9" t="s">
        <v>35</v>
      </c>
      <c r="C148" s="2242" t="s">
        <v>11</v>
      </c>
      <c r="D148" s="2242"/>
      <c r="E148" s="2242"/>
      <c r="F148" s="2242"/>
      <c r="G148" s="2242"/>
      <c r="H148" s="2242"/>
      <c r="I148" s="2242"/>
      <c r="J148" s="2243"/>
      <c r="K148" s="21">
        <f>K147+K144</f>
        <v>1340.7</v>
      </c>
      <c r="L148" s="21">
        <f t="shared" ref="L148:X148" si="22">L147+L144</f>
        <v>1340.7</v>
      </c>
      <c r="M148" s="21">
        <f t="shared" si="22"/>
        <v>0</v>
      </c>
      <c r="N148" s="21">
        <f t="shared" si="22"/>
        <v>0</v>
      </c>
      <c r="O148" s="21">
        <f t="shared" si="22"/>
        <v>2152.9</v>
      </c>
      <c r="P148" s="21">
        <f t="shared" si="22"/>
        <v>2152.9</v>
      </c>
      <c r="Q148" s="21">
        <f t="shared" si="22"/>
        <v>0</v>
      </c>
      <c r="R148" s="21">
        <f t="shared" si="22"/>
        <v>0</v>
      </c>
      <c r="S148" s="21">
        <f t="shared" si="22"/>
        <v>0</v>
      </c>
      <c r="T148" s="21">
        <f t="shared" si="22"/>
        <v>0</v>
      </c>
      <c r="U148" s="21">
        <f t="shared" si="22"/>
        <v>0</v>
      </c>
      <c r="V148" s="21">
        <f t="shared" si="22"/>
        <v>0</v>
      </c>
      <c r="W148" s="21">
        <f t="shared" si="22"/>
        <v>2527.1</v>
      </c>
      <c r="X148" s="21">
        <f t="shared" si="22"/>
        <v>2527.1</v>
      </c>
      <c r="Y148" s="2285"/>
      <c r="Z148" s="2677"/>
      <c r="AA148" s="2677"/>
      <c r="AB148" s="2286"/>
    </row>
    <row r="149" spans="1:41" ht="13.5" thickBot="1" x14ac:dyDescent="0.25">
      <c r="A149" s="302" t="s">
        <v>8</v>
      </c>
      <c r="B149" s="9" t="s">
        <v>44</v>
      </c>
      <c r="C149" s="2244" t="s">
        <v>61</v>
      </c>
      <c r="D149" s="2245"/>
      <c r="E149" s="2245"/>
      <c r="F149" s="2245"/>
      <c r="G149" s="2245"/>
      <c r="H149" s="2245"/>
      <c r="I149" s="2245"/>
      <c r="J149" s="2245"/>
      <c r="K149" s="2245"/>
      <c r="L149" s="2245"/>
      <c r="M149" s="2245"/>
      <c r="N149" s="2245"/>
      <c r="O149" s="2245"/>
      <c r="P149" s="2245"/>
      <c r="Q149" s="2245"/>
      <c r="R149" s="2245"/>
      <c r="S149" s="2245"/>
      <c r="T149" s="2245"/>
      <c r="U149" s="2245"/>
      <c r="V149" s="2245"/>
      <c r="W149" s="2245"/>
      <c r="X149" s="2245"/>
      <c r="Y149" s="2245"/>
      <c r="Z149" s="2245"/>
      <c r="AA149" s="2245"/>
      <c r="AB149" s="2247"/>
    </row>
    <row r="150" spans="1:41" ht="40.5" customHeight="1" x14ac:dyDescent="0.2">
      <c r="A150" s="681" t="s">
        <v>8</v>
      </c>
      <c r="B150" s="629" t="s">
        <v>44</v>
      </c>
      <c r="C150" s="452" t="s">
        <v>8</v>
      </c>
      <c r="D150" s="2678"/>
      <c r="E150" s="667" t="s">
        <v>121</v>
      </c>
      <c r="F150" s="297"/>
      <c r="G150" s="616" t="s">
        <v>45</v>
      </c>
      <c r="H150" s="617" t="s">
        <v>36</v>
      </c>
      <c r="I150" s="2326" t="s">
        <v>157</v>
      </c>
      <c r="J150" s="13" t="s">
        <v>33</v>
      </c>
      <c r="K150" s="261">
        <f>L150+N151</f>
        <v>265.7</v>
      </c>
      <c r="L150" s="262">
        <v>265.7</v>
      </c>
      <c r="M150" s="246"/>
      <c r="N150" s="247"/>
      <c r="O150" s="245">
        <f>P150+R150</f>
        <v>300</v>
      </c>
      <c r="P150" s="246">
        <v>300</v>
      </c>
      <c r="Q150" s="246"/>
      <c r="R150" s="248"/>
      <c r="S150" s="153">
        <f>T150+V150</f>
        <v>0</v>
      </c>
      <c r="T150" s="154">
        <v>0</v>
      </c>
      <c r="U150" s="154"/>
      <c r="V150" s="163"/>
      <c r="W150" s="42">
        <v>300</v>
      </c>
      <c r="X150" s="86">
        <v>300</v>
      </c>
      <c r="Y150" s="2467" t="s">
        <v>70</v>
      </c>
      <c r="Z150" s="66">
        <v>285</v>
      </c>
      <c r="AA150" s="66">
        <v>285</v>
      </c>
      <c r="AB150" s="641">
        <v>285</v>
      </c>
      <c r="AC150" s="65"/>
      <c r="AE150" s="11"/>
    </row>
    <row r="151" spans="1:41" x14ac:dyDescent="0.2">
      <c r="A151" s="2252"/>
      <c r="B151" s="2254"/>
      <c r="C151" s="2305"/>
      <c r="D151" s="2307"/>
      <c r="E151" s="2260" t="s">
        <v>69</v>
      </c>
      <c r="F151" s="2309"/>
      <c r="G151" s="2551"/>
      <c r="H151" s="2313"/>
      <c r="I151" s="2679"/>
      <c r="J151" s="22" t="s">
        <v>106</v>
      </c>
      <c r="K151" s="254">
        <f>L151+N152</f>
        <v>8.5</v>
      </c>
      <c r="L151" s="255">
        <v>8.5</v>
      </c>
      <c r="M151" s="227"/>
      <c r="N151" s="228">
        <v>0</v>
      </c>
      <c r="O151" s="453"/>
      <c r="P151" s="433"/>
      <c r="Q151" s="433"/>
      <c r="R151" s="434"/>
      <c r="S151" s="998"/>
      <c r="T151" s="999"/>
      <c r="U151" s="999"/>
      <c r="V151" s="1000"/>
      <c r="W151" s="1001"/>
      <c r="X151" s="1002"/>
      <c r="Y151" s="2680"/>
      <c r="Z151" s="28"/>
      <c r="AA151" s="28"/>
      <c r="AB151" s="99"/>
    </row>
    <row r="152" spans="1:41" ht="17.25" customHeight="1" thickBot="1" x14ac:dyDescent="0.25">
      <c r="A152" s="2253"/>
      <c r="B152" s="2255"/>
      <c r="C152" s="2306"/>
      <c r="D152" s="2308"/>
      <c r="E152" s="2261"/>
      <c r="F152" s="2310"/>
      <c r="G152" s="2552"/>
      <c r="H152" s="2314"/>
      <c r="I152" s="457"/>
      <c r="J152" s="187" t="s">
        <v>9</v>
      </c>
      <c r="K152" s="1003">
        <f>K151+K150</f>
        <v>274.2</v>
      </c>
      <c r="L152" s="455">
        <f t="shared" ref="L152:X152" si="23">L151+L150</f>
        <v>274.2</v>
      </c>
      <c r="M152" s="455">
        <f t="shared" si="23"/>
        <v>0</v>
      </c>
      <c r="N152" s="1004">
        <f t="shared" si="23"/>
        <v>0</v>
      </c>
      <c r="O152" s="454">
        <f t="shared" si="23"/>
        <v>300</v>
      </c>
      <c r="P152" s="455">
        <f t="shared" si="23"/>
        <v>300</v>
      </c>
      <c r="Q152" s="455">
        <f t="shared" si="23"/>
        <v>0</v>
      </c>
      <c r="R152" s="456">
        <f t="shared" si="23"/>
        <v>0</v>
      </c>
      <c r="S152" s="1005">
        <f t="shared" si="23"/>
        <v>0</v>
      </c>
      <c r="T152" s="455">
        <f t="shared" si="23"/>
        <v>0</v>
      </c>
      <c r="U152" s="455">
        <f t="shared" si="23"/>
        <v>0</v>
      </c>
      <c r="V152" s="1006">
        <f t="shared" si="23"/>
        <v>0</v>
      </c>
      <c r="W152" s="1007">
        <f t="shared" si="23"/>
        <v>300</v>
      </c>
      <c r="X152" s="1006">
        <f t="shared" si="23"/>
        <v>300</v>
      </c>
      <c r="Y152" s="2681"/>
      <c r="Z152" s="53"/>
      <c r="AA152" s="53"/>
      <c r="AB152" s="98"/>
    </row>
    <row r="153" spans="1:41" ht="18" customHeight="1" x14ac:dyDescent="0.2">
      <c r="A153" s="2287" t="s">
        <v>8</v>
      </c>
      <c r="B153" s="2289" t="s">
        <v>44</v>
      </c>
      <c r="C153" s="2256" t="s">
        <v>10</v>
      </c>
      <c r="D153" s="2291"/>
      <c r="E153" s="2293" t="s">
        <v>101</v>
      </c>
      <c r="F153" s="2295"/>
      <c r="G153" s="2291" t="s">
        <v>37</v>
      </c>
      <c r="H153" s="2300" t="s">
        <v>36</v>
      </c>
      <c r="I153" s="2331" t="s">
        <v>157</v>
      </c>
      <c r="J153" s="100" t="s">
        <v>33</v>
      </c>
      <c r="K153" s="220">
        <f>L153</f>
        <v>48.6</v>
      </c>
      <c r="L153" s="221">
        <v>48.6</v>
      </c>
      <c r="M153" s="221"/>
      <c r="N153" s="223"/>
      <c r="O153" s="220">
        <f>P153</f>
        <v>20.3</v>
      </c>
      <c r="P153" s="221">
        <v>20.3</v>
      </c>
      <c r="Q153" s="221"/>
      <c r="R153" s="222"/>
      <c r="S153" s="141">
        <f>T153+V153</f>
        <v>0</v>
      </c>
      <c r="T153" s="142">
        <v>0</v>
      </c>
      <c r="U153" s="142"/>
      <c r="V153" s="157"/>
      <c r="W153" s="1008">
        <v>21</v>
      </c>
      <c r="X153" s="826">
        <v>21</v>
      </c>
      <c r="Y153" s="620" t="s">
        <v>103</v>
      </c>
      <c r="Z153" s="639">
        <v>44</v>
      </c>
      <c r="AA153" s="639">
        <v>45</v>
      </c>
      <c r="AB153" s="641">
        <v>45</v>
      </c>
      <c r="AE153" s="11"/>
    </row>
    <row r="154" spans="1:41" ht="16.5" customHeight="1" x14ac:dyDescent="0.2">
      <c r="A154" s="2287"/>
      <c r="B154" s="2289"/>
      <c r="C154" s="2256"/>
      <c r="D154" s="2291"/>
      <c r="E154" s="2293"/>
      <c r="F154" s="2295"/>
      <c r="G154" s="2291"/>
      <c r="H154" s="2300"/>
      <c r="I154" s="2331"/>
      <c r="J154" s="100"/>
      <c r="K154" s="243"/>
      <c r="L154" s="235"/>
      <c r="M154" s="235"/>
      <c r="N154" s="228"/>
      <c r="O154" s="220"/>
      <c r="P154" s="235"/>
      <c r="Q154" s="235"/>
      <c r="R154" s="244"/>
      <c r="S154" s="141"/>
      <c r="T154" s="150"/>
      <c r="U154" s="150"/>
      <c r="V154" s="167"/>
      <c r="W154" s="71"/>
      <c r="X154" s="20"/>
      <c r="Y154" s="24" t="s">
        <v>102</v>
      </c>
      <c r="Z154" s="28">
        <v>3</v>
      </c>
      <c r="AA154" s="29">
        <v>4</v>
      </c>
      <c r="AB154" s="99">
        <v>4</v>
      </c>
      <c r="AE154" s="11"/>
    </row>
    <row r="155" spans="1:41" ht="18.75" customHeight="1" thickBot="1" x14ac:dyDescent="0.25">
      <c r="A155" s="2288"/>
      <c r="B155" s="2290"/>
      <c r="C155" s="2257"/>
      <c r="D155" s="2292"/>
      <c r="E155" s="2294"/>
      <c r="F155" s="2296"/>
      <c r="G155" s="2292"/>
      <c r="H155" s="2301"/>
      <c r="I155" s="292"/>
      <c r="J155" s="187" t="s">
        <v>9</v>
      </c>
      <c r="K155" s="165">
        <f>SUM(K153:K154)</f>
        <v>48.6</v>
      </c>
      <c r="L155" s="161">
        <f>SUM(L153:L154)</f>
        <v>48.6</v>
      </c>
      <c r="M155" s="161">
        <f>SUM(M153:M154)</f>
        <v>0</v>
      </c>
      <c r="N155" s="164">
        <f>SUM(N153:N154)</f>
        <v>0</v>
      </c>
      <c r="O155" s="160">
        <f>O153</f>
        <v>20.3</v>
      </c>
      <c r="P155" s="165">
        <f t="shared" ref="P155:X155" si="24">P153</f>
        <v>20.3</v>
      </c>
      <c r="Q155" s="165">
        <f t="shared" si="24"/>
        <v>0</v>
      </c>
      <c r="R155" s="168">
        <f t="shared" si="24"/>
        <v>0</v>
      </c>
      <c r="S155" s="165">
        <f t="shared" si="24"/>
        <v>0</v>
      </c>
      <c r="T155" s="165">
        <f t="shared" si="24"/>
        <v>0</v>
      </c>
      <c r="U155" s="165">
        <f t="shared" si="24"/>
        <v>0</v>
      </c>
      <c r="V155" s="168">
        <f t="shared" si="24"/>
        <v>0</v>
      </c>
      <c r="W155" s="170">
        <f t="shared" si="24"/>
        <v>21</v>
      </c>
      <c r="X155" s="183">
        <f t="shared" si="24"/>
        <v>21</v>
      </c>
      <c r="Y155" s="25" t="s">
        <v>159</v>
      </c>
      <c r="Z155" s="640">
        <v>230</v>
      </c>
      <c r="AA155" s="30">
        <v>240</v>
      </c>
      <c r="AB155" s="642">
        <v>240</v>
      </c>
      <c r="AE155" s="11"/>
    </row>
    <row r="156" spans="1:41" ht="13.5" thickBot="1" x14ac:dyDescent="0.25">
      <c r="A156" s="680" t="s">
        <v>8</v>
      </c>
      <c r="B156" s="631" t="s">
        <v>44</v>
      </c>
      <c r="C156" s="2241" t="s">
        <v>11</v>
      </c>
      <c r="D156" s="2242"/>
      <c r="E156" s="2242"/>
      <c r="F156" s="2242"/>
      <c r="G156" s="2242"/>
      <c r="H156" s="2242"/>
      <c r="I156" s="2242"/>
      <c r="J156" s="2243"/>
      <c r="K156" s="21">
        <f>K155+K152</f>
        <v>322.8</v>
      </c>
      <c r="L156" s="21">
        <f t="shared" ref="L156:X156" si="25">L155+L152</f>
        <v>322.8</v>
      </c>
      <c r="M156" s="21">
        <f t="shared" si="25"/>
        <v>0</v>
      </c>
      <c r="N156" s="972">
        <f t="shared" si="25"/>
        <v>0</v>
      </c>
      <c r="O156" s="129">
        <f t="shared" si="25"/>
        <v>320.3</v>
      </c>
      <c r="P156" s="21">
        <f t="shared" si="25"/>
        <v>320.3</v>
      </c>
      <c r="Q156" s="21">
        <f t="shared" si="25"/>
        <v>0</v>
      </c>
      <c r="R156" s="130">
        <f t="shared" si="25"/>
        <v>0</v>
      </c>
      <c r="S156" s="21">
        <f t="shared" si="25"/>
        <v>0</v>
      </c>
      <c r="T156" s="21">
        <f t="shared" si="25"/>
        <v>0</v>
      </c>
      <c r="U156" s="21">
        <f t="shared" si="25"/>
        <v>0</v>
      </c>
      <c r="V156" s="21">
        <f t="shared" si="25"/>
        <v>0</v>
      </c>
      <c r="W156" s="21">
        <f t="shared" si="25"/>
        <v>321</v>
      </c>
      <c r="X156" s="21">
        <f t="shared" si="25"/>
        <v>321</v>
      </c>
      <c r="Y156" s="401"/>
      <c r="Z156" s="402"/>
      <c r="AA156" s="403"/>
      <c r="AB156" s="404"/>
    </row>
    <row r="157" spans="1:41" ht="13.5" thickBot="1" x14ac:dyDescent="0.25">
      <c r="A157" s="302" t="s">
        <v>8</v>
      </c>
      <c r="B157" s="9" t="s">
        <v>89</v>
      </c>
      <c r="C157" s="2244" t="s">
        <v>90</v>
      </c>
      <c r="D157" s="2245"/>
      <c r="E157" s="2245"/>
      <c r="F157" s="2245"/>
      <c r="G157" s="2245"/>
      <c r="H157" s="2245"/>
      <c r="I157" s="2245"/>
      <c r="J157" s="2245"/>
      <c r="K157" s="2245"/>
      <c r="L157" s="2245"/>
      <c r="M157" s="2245"/>
      <c r="N157" s="2245"/>
      <c r="O157" s="2246"/>
      <c r="P157" s="2246"/>
      <c r="Q157" s="2246"/>
      <c r="R157" s="2246"/>
      <c r="S157" s="2245"/>
      <c r="T157" s="2245"/>
      <c r="U157" s="2245"/>
      <c r="V157" s="2245"/>
      <c r="W157" s="2245"/>
      <c r="X157" s="2245"/>
      <c r="Y157" s="2245"/>
      <c r="Z157" s="2245"/>
      <c r="AA157" s="2245"/>
      <c r="AB157" s="2247"/>
    </row>
    <row r="158" spans="1:41" ht="18" customHeight="1" x14ac:dyDescent="0.2">
      <c r="A158" s="304" t="s">
        <v>8</v>
      </c>
      <c r="B158" s="635" t="s">
        <v>45</v>
      </c>
      <c r="C158" s="632" t="s">
        <v>8</v>
      </c>
      <c r="D158" s="293"/>
      <c r="E158" s="91" t="s">
        <v>95</v>
      </c>
      <c r="F158" s="2682"/>
      <c r="G158" s="621"/>
      <c r="H158" s="2248">
        <v>6</v>
      </c>
      <c r="I158" s="624"/>
      <c r="J158" s="291" t="s">
        <v>106</v>
      </c>
      <c r="K158" s="969">
        <f t="shared" ref="K158:K163" si="26">L158+N158</f>
        <v>1405.5</v>
      </c>
      <c r="L158" s="262">
        <v>1405.5</v>
      </c>
      <c r="M158" s="227"/>
      <c r="N158" s="228"/>
      <c r="O158" s="257">
        <f t="shared" ref="O158" si="27">+R158+P158</f>
        <v>0</v>
      </c>
      <c r="P158" s="258">
        <v>0</v>
      </c>
      <c r="Q158" s="246"/>
      <c r="R158" s="248"/>
      <c r="S158" s="153">
        <f t="shared" ref="S158" si="28">T158+V158</f>
        <v>0</v>
      </c>
      <c r="T158" s="154">
        <v>0</v>
      </c>
      <c r="U158" s="154"/>
      <c r="V158" s="155"/>
      <c r="W158" s="42">
        <v>0</v>
      </c>
      <c r="X158" s="86">
        <v>0</v>
      </c>
      <c r="Y158" s="633"/>
      <c r="Z158" s="95"/>
      <c r="AA158" s="95"/>
      <c r="AB158" s="96"/>
    </row>
    <row r="159" spans="1:41" ht="18" customHeight="1" x14ac:dyDescent="0.2">
      <c r="A159" s="678"/>
      <c r="B159" s="626"/>
      <c r="C159" s="627"/>
      <c r="D159" s="294" t="s">
        <v>8</v>
      </c>
      <c r="E159" s="693" t="s">
        <v>97</v>
      </c>
      <c r="F159" s="2683"/>
      <c r="G159" s="592" t="s">
        <v>39</v>
      </c>
      <c r="H159" s="2249"/>
      <c r="I159" s="2251" t="s">
        <v>158</v>
      </c>
      <c r="J159" s="291" t="s">
        <v>33</v>
      </c>
      <c r="K159" s="330">
        <f t="shared" si="26"/>
        <v>676</v>
      </c>
      <c r="L159" s="255">
        <v>676</v>
      </c>
      <c r="M159" s="227"/>
      <c r="N159" s="228"/>
      <c r="O159" s="325">
        <f>P159+R159</f>
        <v>634</v>
      </c>
      <c r="P159" s="255">
        <f>583.4+50.6</f>
        <v>634</v>
      </c>
      <c r="Q159" s="255"/>
      <c r="R159" s="256">
        <v>0</v>
      </c>
      <c r="S159" s="285">
        <f>+T159+V159</f>
        <v>0</v>
      </c>
      <c r="T159" s="255">
        <v>0</v>
      </c>
      <c r="U159" s="255"/>
      <c r="V159" s="331">
        <v>0</v>
      </c>
      <c r="W159" s="785">
        <v>634</v>
      </c>
      <c r="X159" s="330">
        <v>634</v>
      </c>
      <c r="Y159" s="60" t="s">
        <v>253</v>
      </c>
      <c r="Z159" s="95">
        <v>7</v>
      </c>
      <c r="AA159" s="95">
        <v>7</v>
      </c>
      <c r="AB159" s="96">
        <v>7</v>
      </c>
    </row>
    <row r="160" spans="1:41" ht="18" customHeight="1" x14ac:dyDescent="0.2">
      <c r="A160" s="678"/>
      <c r="B160" s="626"/>
      <c r="C160" s="627"/>
      <c r="D160" s="695" t="s">
        <v>10</v>
      </c>
      <c r="E160" s="628" t="s">
        <v>98</v>
      </c>
      <c r="F160" s="2683"/>
      <c r="G160" s="592" t="s">
        <v>39</v>
      </c>
      <c r="H160" s="2249"/>
      <c r="I160" s="2251"/>
      <c r="J160" s="291" t="s">
        <v>33</v>
      </c>
      <c r="K160" s="330">
        <f t="shared" si="26"/>
        <v>699.4</v>
      </c>
      <c r="L160" s="255">
        <v>699.4</v>
      </c>
      <c r="M160" s="227"/>
      <c r="N160" s="228"/>
      <c r="O160" s="325">
        <f t="shared" ref="O160:O163" si="29">P160+R160</f>
        <v>705</v>
      </c>
      <c r="P160" s="255">
        <f>682.2+22.8</f>
        <v>705</v>
      </c>
      <c r="Q160" s="255"/>
      <c r="R160" s="234">
        <v>0</v>
      </c>
      <c r="S160" s="285">
        <f>+V160+T160</f>
        <v>0</v>
      </c>
      <c r="T160" s="255">
        <v>0</v>
      </c>
      <c r="U160" s="255"/>
      <c r="V160" s="331">
        <v>0</v>
      </c>
      <c r="W160" s="785">
        <v>705</v>
      </c>
      <c r="X160" s="330">
        <v>705</v>
      </c>
      <c r="Y160" s="60" t="s">
        <v>252</v>
      </c>
      <c r="Z160" s="95">
        <v>6</v>
      </c>
      <c r="AA160" s="95">
        <v>6</v>
      </c>
      <c r="AB160" s="96">
        <v>6</v>
      </c>
    </row>
    <row r="161" spans="1:50" ht="18" customHeight="1" x14ac:dyDescent="0.2">
      <c r="A161" s="678"/>
      <c r="B161" s="626"/>
      <c r="C161" s="627"/>
      <c r="D161" s="294" t="s">
        <v>35</v>
      </c>
      <c r="E161" s="693" t="s">
        <v>99</v>
      </c>
      <c r="F161" s="2683"/>
      <c r="G161" s="592" t="s">
        <v>38</v>
      </c>
      <c r="H161" s="2249"/>
      <c r="I161" s="2251"/>
      <c r="J161" s="291" t="s">
        <v>33</v>
      </c>
      <c r="K161" s="330">
        <f t="shared" si="26"/>
        <v>223.3</v>
      </c>
      <c r="L161" s="255">
        <v>223.3</v>
      </c>
      <c r="M161" s="227"/>
      <c r="N161" s="228"/>
      <c r="O161" s="325">
        <f t="shared" si="29"/>
        <v>231</v>
      </c>
      <c r="P161" s="255">
        <f>206.8+24.2</f>
        <v>231</v>
      </c>
      <c r="Q161" s="255"/>
      <c r="R161" s="234">
        <v>0</v>
      </c>
      <c r="S161" s="285">
        <f>+V161+T161</f>
        <v>0</v>
      </c>
      <c r="T161" s="255">
        <v>0</v>
      </c>
      <c r="U161" s="255"/>
      <c r="V161" s="331">
        <v>0</v>
      </c>
      <c r="W161" s="785">
        <v>231</v>
      </c>
      <c r="X161" s="330">
        <v>231</v>
      </c>
      <c r="Y161" s="60" t="s">
        <v>253</v>
      </c>
      <c r="Z161" s="95">
        <v>8</v>
      </c>
      <c r="AA161" s="95">
        <v>8</v>
      </c>
      <c r="AB161" s="96">
        <v>8</v>
      </c>
    </row>
    <row r="162" spans="1:50" s="47" customFormat="1" ht="18" customHeight="1" x14ac:dyDescent="0.2">
      <c r="A162" s="679"/>
      <c r="B162" s="630"/>
      <c r="C162" s="64"/>
      <c r="D162" s="295" t="s">
        <v>44</v>
      </c>
      <c r="E162" s="693" t="s">
        <v>100</v>
      </c>
      <c r="F162" s="2683"/>
      <c r="G162" s="592" t="s">
        <v>120</v>
      </c>
      <c r="H162" s="2249"/>
      <c r="I162" s="2251"/>
      <c r="J162" s="22" t="s">
        <v>33</v>
      </c>
      <c r="K162" s="405">
        <f t="shared" si="26"/>
        <v>11070.4</v>
      </c>
      <c r="L162" s="255">
        <f>11431.3-360.9</f>
        <v>11070.4</v>
      </c>
      <c r="M162" s="1009"/>
      <c r="N162" s="1010"/>
      <c r="O162" s="325">
        <f t="shared" si="29"/>
        <v>10497.2</v>
      </c>
      <c r="P162" s="286">
        <v>10497.2</v>
      </c>
      <c r="Q162" s="252"/>
      <c r="R162" s="229">
        <v>0</v>
      </c>
      <c r="S162" s="147">
        <f>+V162+T162</f>
        <v>0</v>
      </c>
      <c r="T162" s="150">
        <v>0</v>
      </c>
      <c r="U162" s="150"/>
      <c r="V162" s="151">
        <v>0</v>
      </c>
      <c r="W162" s="1011">
        <v>10497.2</v>
      </c>
      <c r="X162" s="1012">
        <v>10497.2</v>
      </c>
      <c r="Y162" s="60" t="s">
        <v>253</v>
      </c>
      <c r="Z162" s="49">
        <v>96</v>
      </c>
      <c r="AA162" s="48">
        <v>96</v>
      </c>
      <c r="AB162" s="128">
        <v>96</v>
      </c>
    </row>
    <row r="163" spans="1:50" ht="16.5" customHeight="1" x14ac:dyDescent="0.2">
      <c r="A163" s="2252"/>
      <c r="B163" s="2254"/>
      <c r="C163" s="2256"/>
      <c r="D163" s="2258" t="s">
        <v>45</v>
      </c>
      <c r="E163" s="2260" t="s">
        <v>96</v>
      </c>
      <c r="F163" s="2683"/>
      <c r="G163" s="622" t="s">
        <v>35</v>
      </c>
      <c r="H163" s="2249"/>
      <c r="I163" s="624"/>
      <c r="J163" s="291" t="s">
        <v>33</v>
      </c>
      <c r="K163" s="330">
        <f t="shared" si="26"/>
        <v>17</v>
      </c>
      <c r="L163" s="255">
        <v>17</v>
      </c>
      <c r="M163" s="227"/>
      <c r="N163" s="228"/>
      <c r="O163" s="254">
        <f t="shared" si="29"/>
        <v>9.3000000000000007</v>
      </c>
      <c r="P163" s="330">
        <v>9.3000000000000007</v>
      </c>
      <c r="Q163" s="330"/>
      <c r="R163" s="439">
        <v>0</v>
      </c>
      <c r="S163" s="147">
        <f>SUM(S158:S162)</f>
        <v>0</v>
      </c>
      <c r="T163" s="147">
        <f>SUM(T158:T162)</f>
        <v>0</v>
      </c>
      <c r="U163" s="147"/>
      <c r="V163" s="149">
        <f>SUM(V158:V162)</f>
        <v>0</v>
      </c>
      <c r="W163" s="785">
        <v>9.3000000000000007</v>
      </c>
      <c r="X163" s="439">
        <v>9.3000000000000007</v>
      </c>
      <c r="Y163" s="665" t="s">
        <v>252</v>
      </c>
      <c r="Z163" s="95">
        <v>1</v>
      </c>
      <c r="AA163" s="95">
        <v>1</v>
      </c>
      <c r="AB163" s="96">
        <v>1</v>
      </c>
    </row>
    <row r="164" spans="1:50" ht="15" customHeight="1" thickBot="1" x14ac:dyDescent="0.25">
      <c r="A164" s="2253"/>
      <c r="B164" s="2255"/>
      <c r="C164" s="2257"/>
      <c r="D164" s="2259"/>
      <c r="E164" s="2261"/>
      <c r="F164" s="2684"/>
      <c r="G164" s="623"/>
      <c r="H164" s="2250"/>
      <c r="I164" s="625"/>
      <c r="J164" s="187" t="s">
        <v>9</v>
      </c>
      <c r="K164" s="180">
        <f>SUM(K158:K163)</f>
        <v>14091.6</v>
      </c>
      <c r="L164" s="180">
        <f t="shared" ref="L164:X164" si="30">SUM(L158:L163)</f>
        <v>14091.6</v>
      </c>
      <c r="M164" s="180">
        <f t="shared" si="30"/>
        <v>0</v>
      </c>
      <c r="N164" s="188">
        <f t="shared" si="30"/>
        <v>0</v>
      </c>
      <c r="O164" s="440">
        <f>SUM(O158:O163)</f>
        <v>12076.5</v>
      </c>
      <c r="P164" s="218">
        <f>SUM(P158:P163)</f>
        <v>12076.5</v>
      </c>
      <c r="Q164" s="218">
        <f t="shared" si="30"/>
        <v>0</v>
      </c>
      <c r="R164" s="219">
        <f t="shared" si="30"/>
        <v>0</v>
      </c>
      <c r="S164" s="180">
        <f t="shared" si="30"/>
        <v>0</v>
      </c>
      <c r="T164" s="180">
        <f>SUM(T158:T163)</f>
        <v>0</v>
      </c>
      <c r="U164" s="180">
        <f t="shared" si="30"/>
        <v>0</v>
      </c>
      <c r="V164" s="188">
        <f t="shared" si="30"/>
        <v>0</v>
      </c>
      <c r="W164" s="189">
        <f>SUM(W158:W163)</f>
        <v>12076.5</v>
      </c>
      <c r="X164" s="181">
        <f t="shared" si="30"/>
        <v>12076.5</v>
      </c>
      <c r="Y164" s="25"/>
      <c r="Z164" s="640"/>
      <c r="AA164" s="30"/>
      <c r="AB164" s="642"/>
      <c r="AE164" s="11"/>
    </row>
    <row r="165" spans="1:50" ht="19.5" customHeight="1" x14ac:dyDescent="0.2">
      <c r="A165" s="2315" t="s">
        <v>8</v>
      </c>
      <c r="B165" s="2316" t="s">
        <v>45</v>
      </c>
      <c r="C165" s="2686" t="s">
        <v>10</v>
      </c>
      <c r="D165" s="2687"/>
      <c r="E165" s="2688" t="s">
        <v>306</v>
      </c>
      <c r="F165" s="2658"/>
      <c r="G165" s="2687" t="s">
        <v>45</v>
      </c>
      <c r="H165" s="2484" t="s">
        <v>36</v>
      </c>
      <c r="I165" s="2326" t="s">
        <v>307</v>
      </c>
      <c r="J165" s="22" t="s">
        <v>33</v>
      </c>
      <c r="K165" s="254"/>
      <c r="L165" s="255"/>
      <c r="M165" s="227"/>
      <c r="N165" s="228"/>
      <c r="O165" s="901"/>
      <c r="P165" s="902"/>
      <c r="Q165" s="221"/>
      <c r="R165" s="223"/>
      <c r="S165" s="158">
        <f>T165+V165</f>
        <v>0</v>
      </c>
      <c r="T165" s="148">
        <v>0</v>
      </c>
      <c r="U165" s="148"/>
      <c r="V165" s="149"/>
      <c r="W165" s="46">
        <v>0</v>
      </c>
      <c r="X165" s="50">
        <v>0</v>
      </c>
      <c r="Y165" s="2695" t="s">
        <v>308</v>
      </c>
      <c r="Z165" s="639">
        <v>1</v>
      </c>
      <c r="AA165" s="639"/>
      <c r="AB165" s="641"/>
      <c r="AE165" s="11"/>
    </row>
    <row r="166" spans="1:50" ht="21" customHeight="1" x14ac:dyDescent="0.2">
      <c r="A166" s="2287"/>
      <c r="B166" s="2289"/>
      <c r="C166" s="2256"/>
      <c r="D166" s="2291"/>
      <c r="E166" s="2293"/>
      <c r="F166" s="2295"/>
      <c r="G166" s="2291"/>
      <c r="H166" s="2300"/>
      <c r="I166" s="2331"/>
      <c r="J166" s="100"/>
      <c r="K166" s="243">
        <f>L166</f>
        <v>25</v>
      </c>
      <c r="L166" s="235">
        <v>25</v>
      </c>
      <c r="M166" s="235"/>
      <c r="N166" s="229"/>
      <c r="O166" s="243"/>
      <c r="P166" s="235"/>
      <c r="Q166" s="235"/>
      <c r="R166" s="898"/>
      <c r="S166" s="156"/>
      <c r="T166" s="150"/>
      <c r="U166" s="150"/>
      <c r="V166" s="151"/>
      <c r="W166" s="20"/>
      <c r="X166" s="83"/>
      <c r="Y166" s="2696"/>
      <c r="Z166" s="28"/>
      <c r="AA166" s="29"/>
      <c r="AB166" s="99"/>
      <c r="AE166" s="11"/>
    </row>
    <row r="167" spans="1:50" ht="24" customHeight="1" thickBot="1" x14ac:dyDescent="0.25">
      <c r="A167" s="2288"/>
      <c r="B167" s="2290"/>
      <c r="C167" s="2257"/>
      <c r="D167" s="2292"/>
      <c r="E167" s="2294"/>
      <c r="F167" s="2296"/>
      <c r="G167" s="2292"/>
      <c r="H167" s="2301"/>
      <c r="I167" s="2304"/>
      <c r="J167" s="187" t="s">
        <v>9</v>
      </c>
      <c r="K167" s="165">
        <f>SUM(K165:K166)</f>
        <v>25</v>
      </c>
      <c r="L167" s="161">
        <f>SUM(L165:L166)</f>
        <v>25</v>
      </c>
      <c r="M167" s="161">
        <f>SUM(M165:M166)</f>
        <v>0</v>
      </c>
      <c r="N167" s="162">
        <f>SUM(N165:N166)</f>
        <v>0</v>
      </c>
      <c r="O167" s="165">
        <f>O165</f>
        <v>0</v>
      </c>
      <c r="P167" s="165">
        <f t="shared" ref="P167:X167" si="31">P165</f>
        <v>0</v>
      </c>
      <c r="Q167" s="165">
        <f t="shared" si="31"/>
        <v>0</v>
      </c>
      <c r="R167" s="170">
        <f t="shared" si="31"/>
        <v>0</v>
      </c>
      <c r="S167" s="160">
        <f t="shared" si="31"/>
        <v>0</v>
      </c>
      <c r="T167" s="165">
        <f t="shared" si="31"/>
        <v>0</v>
      </c>
      <c r="U167" s="165">
        <f t="shared" si="31"/>
        <v>0</v>
      </c>
      <c r="V167" s="170">
        <f t="shared" si="31"/>
        <v>0</v>
      </c>
      <c r="W167" s="183">
        <f t="shared" si="31"/>
        <v>0</v>
      </c>
      <c r="X167" s="168">
        <f t="shared" si="31"/>
        <v>0</v>
      </c>
      <c r="Y167" s="25"/>
      <c r="Z167" s="640"/>
      <c r="AA167" s="30"/>
      <c r="AB167" s="642"/>
      <c r="AE167" s="11"/>
    </row>
    <row r="168" spans="1:50" s="47" customFormat="1" ht="15.75" customHeight="1" x14ac:dyDescent="0.2">
      <c r="A168" s="2315" t="s">
        <v>8</v>
      </c>
      <c r="B168" s="118" t="s">
        <v>45</v>
      </c>
      <c r="C168" s="119" t="s">
        <v>35</v>
      </c>
      <c r="D168" s="1013"/>
      <c r="E168" s="2688" t="s">
        <v>122</v>
      </c>
      <c r="F168" s="120"/>
      <c r="G168" s="121" t="s">
        <v>37</v>
      </c>
      <c r="H168" s="122">
        <v>6</v>
      </c>
      <c r="I168" s="2697" t="s">
        <v>309</v>
      </c>
      <c r="J168" s="106" t="s">
        <v>33</v>
      </c>
      <c r="K168" s="1014">
        <f>L168+N168</f>
        <v>3.5</v>
      </c>
      <c r="L168" s="1015">
        <v>3.5</v>
      </c>
      <c r="M168" s="1016"/>
      <c r="N168" s="1017"/>
      <c r="O168" s="1014">
        <f>P168+R168</f>
        <v>0</v>
      </c>
      <c r="P168" s="1015">
        <v>0</v>
      </c>
      <c r="Q168" s="1015"/>
      <c r="R168" s="1018"/>
      <c r="S168" s="1019">
        <f>T168</f>
        <v>0</v>
      </c>
      <c r="T168" s="1020">
        <v>0</v>
      </c>
      <c r="U168" s="1020"/>
      <c r="V168" s="1021"/>
      <c r="W168" s="107"/>
      <c r="X168" s="108"/>
      <c r="Y168" s="2699" t="s">
        <v>132</v>
      </c>
      <c r="Z168" s="139">
        <v>100</v>
      </c>
      <c r="AA168" s="109"/>
      <c r="AB168" s="110"/>
    </row>
    <row r="169" spans="1:50" s="47" customFormat="1" ht="13.5" customHeight="1" x14ac:dyDescent="0.2">
      <c r="A169" s="2287"/>
      <c r="B169" s="104"/>
      <c r="C169" s="105"/>
      <c r="D169" s="1022"/>
      <c r="E169" s="2293"/>
      <c r="F169" s="111"/>
      <c r="H169" s="112"/>
      <c r="I169" s="2472"/>
      <c r="J169" s="113"/>
      <c r="K169" s="1023"/>
      <c r="L169" s="1024"/>
      <c r="M169" s="1024"/>
      <c r="N169" s="1024"/>
      <c r="O169" s="1025"/>
      <c r="P169" s="1024"/>
      <c r="Q169" s="1024"/>
      <c r="R169" s="1026"/>
      <c r="S169" s="1027"/>
      <c r="T169" s="1028"/>
      <c r="U169" s="1028"/>
      <c r="V169" s="1028"/>
      <c r="W169" s="107"/>
      <c r="X169" s="108"/>
      <c r="Y169" s="2700"/>
      <c r="Z169" s="114"/>
      <c r="AA169" s="114"/>
      <c r="AB169" s="115"/>
    </row>
    <row r="170" spans="1:50" s="47" customFormat="1" ht="15" customHeight="1" thickBot="1" x14ac:dyDescent="0.25">
      <c r="A170" s="2288"/>
      <c r="B170" s="123"/>
      <c r="C170" s="124"/>
      <c r="D170" s="1029"/>
      <c r="E170" s="2294"/>
      <c r="F170" s="125"/>
      <c r="G170" s="126"/>
      <c r="H170" s="127"/>
      <c r="I170" s="2698"/>
      <c r="J170" s="190" t="s">
        <v>9</v>
      </c>
      <c r="K170" s="1030">
        <f>K168</f>
        <v>3.5</v>
      </c>
      <c r="L170" s="1030">
        <f>L168</f>
        <v>3.5</v>
      </c>
      <c r="M170" s="1031"/>
      <c r="N170" s="1031"/>
      <c r="O170" s="1032">
        <f>P170+R170</f>
        <v>0</v>
      </c>
      <c r="P170" s="1031">
        <f>SUM(P168:P169)</f>
        <v>0</v>
      </c>
      <c r="Q170" s="1031"/>
      <c r="R170" s="1033">
        <f>SUM(R168:R169)</f>
        <v>0</v>
      </c>
      <c r="S170" s="1030">
        <f>S168</f>
        <v>0</v>
      </c>
      <c r="T170" s="1030">
        <f>T168</f>
        <v>0</v>
      </c>
      <c r="U170" s="1031"/>
      <c r="V170" s="1031">
        <f>SUM(V168:V169)</f>
        <v>0</v>
      </c>
      <c r="W170" s="191">
        <f>SUM(W168:W169)</f>
        <v>0</v>
      </c>
      <c r="X170" s="192">
        <f>SUM(X168:X169)</f>
        <v>0</v>
      </c>
      <c r="Y170" s="2700"/>
      <c r="Z170" s="140"/>
      <c r="AA170" s="116"/>
      <c r="AB170" s="117"/>
    </row>
    <row r="171" spans="1:50" ht="14.25" customHeight="1" thickBot="1" x14ac:dyDescent="0.25">
      <c r="A171" s="680" t="s">
        <v>8</v>
      </c>
      <c r="B171" s="631" t="s">
        <v>45</v>
      </c>
      <c r="C171" s="2452" t="s">
        <v>11</v>
      </c>
      <c r="D171" s="2453"/>
      <c r="E171" s="2453"/>
      <c r="F171" s="2453"/>
      <c r="G171" s="2453"/>
      <c r="H171" s="2453"/>
      <c r="I171" s="2453"/>
      <c r="J171" s="2243"/>
      <c r="K171" s="21">
        <f>K164+K170</f>
        <v>14095.1</v>
      </c>
      <c r="L171" s="21">
        <f t="shared" ref="L171:V171" si="32">L164+L170</f>
        <v>14095.1</v>
      </c>
      <c r="M171" s="21">
        <f t="shared" si="32"/>
        <v>0</v>
      </c>
      <c r="N171" s="21">
        <f t="shared" si="32"/>
        <v>0</v>
      </c>
      <c r="O171" s="21">
        <f t="shared" si="32"/>
        <v>12076.5</v>
      </c>
      <c r="P171" s="21">
        <f t="shared" si="32"/>
        <v>12076.5</v>
      </c>
      <c r="Q171" s="21">
        <f t="shared" si="32"/>
        <v>0</v>
      </c>
      <c r="R171" s="21">
        <f t="shared" si="32"/>
        <v>0</v>
      </c>
      <c r="S171" s="21">
        <f t="shared" si="32"/>
        <v>0</v>
      </c>
      <c r="T171" s="21">
        <f t="shared" si="32"/>
        <v>0</v>
      </c>
      <c r="U171" s="21">
        <f t="shared" si="32"/>
        <v>0</v>
      </c>
      <c r="V171" s="21">
        <f t="shared" si="32"/>
        <v>0</v>
      </c>
      <c r="W171" s="21">
        <f>W164+W170</f>
        <v>12076.5</v>
      </c>
      <c r="X171" s="21">
        <f>X164+X170</f>
        <v>12076.5</v>
      </c>
      <c r="Y171" s="2285"/>
      <c r="Z171" s="2677"/>
      <c r="AA171" s="2677"/>
      <c r="AB171" s="2286"/>
    </row>
    <row r="172" spans="1:50" ht="14.25" customHeight="1" thickBot="1" x14ac:dyDescent="0.25">
      <c r="A172" s="303" t="s">
        <v>8</v>
      </c>
      <c r="B172" s="2454" t="s">
        <v>12</v>
      </c>
      <c r="C172" s="2455"/>
      <c r="D172" s="2455"/>
      <c r="E172" s="2455"/>
      <c r="F172" s="2455"/>
      <c r="G172" s="2455"/>
      <c r="H172" s="2455"/>
      <c r="I172" s="2455"/>
      <c r="J172" s="2456"/>
      <c r="K172" s="305">
        <f t="shared" ref="K172:X172" si="33">SUM(K117,K139,K148,K156,K171)</f>
        <v>37649.599999999999</v>
      </c>
      <c r="L172" s="305">
        <f t="shared" si="33"/>
        <v>35219.4</v>
      </c>
      <c r="M172" s="305">
        <f t="shared" si="33"/>
        <v>742.7</v>
      </c>
      <c r="N172" s="1034">
        <f t="shared" si="33"/>
        <v>2430.1999999999998</v>
      </c>
      <c r="O172" s="306">
        <f t="shared" si="33"/>
        <v>37627</v>
      </c>
      <c r="P172" s="305">
        <f t="shared" si="33"/>
        <v>35146.699999999997</v>
      </c>
      <c r="Q172" s="305">
        <f t="shared" si="33"/>
        <v>895.8</v>
      </c>
      <c r="R172" s="307">
        <f t="shared" si="33"/>
        <v>2335.1</v>
      </c>
      <c r="S172" s="305">
        <f t="shared" si="33"/>
        <v>0</v>
      </c>
      <c r="T172" s="305">
        <f t="shared" si="33"/>
        <v>0</v>
      </c>
      <c r="U172" s="305">
        <f t="shared" si="33"/>
        <v>0</v>
      </c>
      <c r="V172" s="1034">
        <f t="shared" si="33"/>
        <v>0</v>
      </c>
      <c r="W172" s="1035">
        <f t="shared" si="33"/>
        <v>35539.300000000003</v>
      </c>
      <c r="X172" s="307">
        <f t="shared" si="33"/>
        <v>34712.5</v>
      </c>
      <c r="Y172" s="2457"/>
      <c r="Z172" s="2702"/>
      <c r="AA172" s="2702"/>
      <c r="AB172" s="2458"/>
    </row>
    <row r="173" spans="1:50" ht="14.25" customHeight="1" thickBot="1" x14ac:dyDescent="0.25">
      <c r="A173" s="79" t="s">
        <v>46</v>
      </c>
      <c r="B173" s="2459" t="s">
        <v>104</v>
      </c>
      <c r="C173" s="2460"/>
      <c r="D173" s="2460"/>
      <c r="E173" s="2460"/>
      <c r="F173" s="2460"/>
      <c r="G173" s="2460"/>
      <c r="H173" s="2460"/>
      <c r="I173" s="2460"/>
      <c r="J173" s="2461"/>
      <c r="K173" s="80">
        <f>SUM(K172)</f>
        <v>37649.599999999999</v>
      </c>
      <c r="L173" s="80">
        <f t="shared" ref="L173:X173" si="34">SUM(L172)</f>
        <v>35219.4</v>
      </c>
      <c r="M173" s="80">
        <f t="shared" si="34"/>
        <v>742.7</v>
      </c>
      <c r="N173" s="1036">
        <f t="shared" si="34"/>
        <v>2430.1999999999998</v>
      </c>
      <c r="O173" s="80">
        <f t="shared" si="34"/>
        <v>37627</v>
      </c>
      <c r="P173" s="80">
        <f t="shared" si="34"/>
        <v>35146.699999999997</v>
      </c>
      <c r="Q173" s="80">
        <f t="shared" si="34"/>
        <v>895.8</v>
      </c>
      <c r="R173" s="81">
        <f t="shared" si="34"/>
        <v>2335.1</v>
      </c>
      <c r="S173" s="1037">
        <f>SUM(S172)</f>
        <v>0</v>
      </c>
      <c r="T173" s="80">
        <f t="shared" si="34"/>
        <v>0</v>
      </c>
      <c r="U173" s="80">
        <f t="shared" si="34"/>
        <v>0</v>
      </c>
      <c r="V173" s="1036">
        <f t="shared" si="34"/>
        <v>0</v>
      </c>
      <c r="W173" s="81">
        <f t="shared" si="34"/>
        <v>35539.300000000003</v>
      </c>
      <c r="X173" s="1038">
        <f t="shared" si="34"/>
        <v>34712.5</v>
      </c>
      <c r="Y173" s="2462"/>
      <c r="Z173" s="2685"/>
      <c r="AA173" s="2685"/>
      <c r="AB173" s="2463"/>
    </row>
    <row r="174" spans="1:50" s="19" customFormat="1" ht="30" customHeight="1" x14ac:dyDescent="0.2">
      <c r="A174" s="2701" t="s">
        <v>270</v>
      </c>
      <c r="B174" s="2701"/>
      <c r="C174" s="2701"/>
      <c r="D174" s="2701"/>
      <c r="E174" s="2701"/>
      <c r="F174" s="2701"/>
      <c r="G174" s="2701"/>
      <c r="H174" s="2701"/>
      <c r="I174" s="2701"/>
      <c r="J174" s="2701"/>
      <c r="K174" s="2701"/>
      <c r="L174" s="2701"/>
      <c r="M174" s="2701"/>
      <c r="N174" s="2701"/>
      <c r="O174" s="2701"/>
      <c r="P174" s="2701"/>
      <c r="Q174" s="2701"/>
      <c r="R174" s="2701"/>
      <c r="S174" s="2701"/>
      <c r="T174" s="2701"/>
      <c r="U174" s="2701"/>
      <c r="V174" s="2701"/>
      <c r="W174" s="2701"/>
      <c r="X174" s="2701"/>
      <c r="Y174" s="2701"/>
      <c r="Z174" s="2701"/>
      <c r="AA174" s="2701"/>
      <c r="AB174" s="2701"/>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row>
    <row r="175" spans="1:50" s="19" customFormat="1" ht="14.25" customHeight="1" x14ac:dyDescent="0.2">
      <c r="A175" s="2465"/>
      <c r="B175" s="2465"/>
      <c r="C175" s="2465"/>
      <c r="D175" s="2465"/>
      <c r="E175" s="2465"/>
      <c r="F175" s="2465"/>
      <c r="G175" s="2465"/>
      <c r="H175" s="2465"/>
      <c r="I175" s="2465"/>
      <c r="J175" s="2465"/>
      <c r="K175" s="2465"/>
      <c r="L175" s="2465"/>
      <c r="M175" s="2465"/>
      <c r="N175" s="2465"/>
      <c r="O175" s="2465"/>
      <c r="P175" s="2465"/>
      <c r="Q175" s="2465"/>
      <c r="R175" s="2465"/>
      <c r="S175" s="2465"/>
      <c r="T175" s="2465"/>
      <c r="U175" s="2465"/>
      <c r="V175" s="2465"/>
      <c r="W175" s="56"/>
      <c r="X175" s="56"/>
      <c r="Y175" s="56"/>
      <c r="Z175" s="56"/>
      <c r="AA175" s="56"/>
      <c r="AB175" s="56"/>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row>
    <row r="176" spans="1:50" s="19" customFormat="1" ht="14.25" customHeight="1" thickBot="1" x14ac:dyDescent="0.25">
      <c r="A176" s="2466" t="s">
        <v>17</v>
      </c>
      <c r="B176" s="2466"/>
      <c r="C176" s="2466"/>
      <c r="D176" s="2466"/>
      <c r="E176" s="2466"/>
      <c r="F176" s="2466"/>
      <c r="G176" s="2466"/>
      <c r="H176" s="2466"/>
      <c r="I176" s="2466"/>
      <c r="J176" s="2466"/>
      <c r="K176" s="2466"/>
      <c r="L176" s="2466"/>
      <c r="M176" s="2466"/>
      <c r="N176" s="2466"/>
      <c r="O176" s="2466"/>
      <c r="P176" s="2466"/>
      <c r="Q176" s="2466"/>
      <c r="R176" s="2466"/>
      <c r="S176" s="2466"/>
      <c r="T176" s="2466"/>
      <c r="U176" s="2466"/>
      <c r="V176" s="2466"/>
      <c r="W176" s="2"/>
      <c r="X176" s="3"/>
      <c r="Y176" s="4"/>
      <c r="Z176" s="4"/>
      <c r="AA176" s="4"/>
      <c r="AB176" s="4"/>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row>
    <row r="177" spans="1:32" ht="45" customHeight="1" thickBot="1" x14ac:dyDescent="0.25">
      <c r="A177" s="2449" t="s">
        <v>13</v>
      </c>
      <c r="B177" s="2450"/>
      <c r="C177" s="2450"/>
      <c r="D177" s="2450"/>
      <c r="E177" s="2450"/>
      <c r="F177" s="2450"/>
      <c r="G177" s="2450"/>
      <c r="H177" s="2450"/>
      <c r="I177" s="2450"/>
      <c r="J177" s="2451"/>
      <c r="K177" s="2563" t="s">
        <v>276</v>
      </c>
      <c r="L177" s="2564"/>
      <c r="M177" s="2564"/>
      <c r="N177" s="2565"/>
      <c r="O177" s="2563" t="s">
        <v>160</v>
      </c>
      <c r="P177" s="2564"/>
      <c r="Q177" s="2564"/>
      <c r="R177" s="2565"/>
      <c r="S177" s="2449" t="s">
        <v>161</v>
      </c>
      <c r="T177" s="2450"/>
      <c r="U177" s="2450"/>
      <c r="V177" s="2450"/>
      <c r="W177" s="26" t="s">
        <v>165</v>
      </c>
      <c r="X177" s="26" t="s">
        <v>166</v>
      </c>
    </row>
    <row r="178" spans="1:32" ht="14.25" customHeight="1" x14ac:dyDescent="0.2">
      <c r="A178" s="2446" t="s">
        <v>18</v>
      </c>
      <c r="B178" s="2447"/>
      <c r="C178" s="2447"/>
      <c r="D178" s="2447"/>
      <c r="E178" s="2447"/>
      <c r="F178" s="2447"/>
      <c r="G178" s="2447"/>
      <c r="H178" s="2447"/>
      <c r="I178" s="2447"/>
      <c r="J178" s="2448"/>
      <c r="K178" s="2689">
        <f>SUM(K179:N184)</f>
        <v>34807.599999999999</v>
      </c>
      <c r="L178" s="2690"/>
      <c r="M178" s="2690"/>
      <c r="N178" s="2691"/>
      <c r="O178" s="2689">
        <f>SUM(O179:R184)</f>
        <v>35085.599999999999</v>
      </c>
      <c r="P178" s="2690"/>
      <c r="Q178" s="2690"/>
      <c r="R178" s="2691"/>
      <c r="S178" s="2689">
        <f>SUM(S179:V184)</f>
        <v>0</v>
      </c>
      <c r="T178" s="2690"/>
      <c r="U178" s="2690"/>
      <c r="V178" s="2691"/>
      <c r="W178" s="1039">
        <f ca="1">SUM(W179:W184)</f>
        <v>35250.6</v>
      </c>
      <c r="X178" s="1039">
        <f ca="1">SUM(X179:X184)</f>
        <v>34477.5</v>
      </c>
      <c r="Y178" s="51"/>
    </row>
    <row r="179" spans="1:32" ht="14.25" customHeight="1" x14ac:dyDescent="0.2">
      <c r="A179" s="2282" t="s">
        <v>24</v>
      </c>
      <c r="B179" s="2283"/>
      <c r="C179" s="2283"/>
      <c r="D179" s="2283"/>
      <c r="E179" s="2283"/>
      <c r="F179" s="2283"/>
      <c r="G179" s="2283"/>
      <c r="H179" s="2283"/>
      <c r="I179" s="2283"/>
      <c r="J179" s="2284"/>
      <c r="K179" s="2692">
        <f>SUMIF(J14:J173,"SB",K14:K173)</f>
        <v>30972.1</v>
      </c>
      <c r="L179" s="2693"/>
      <c r="M179" s="2693"/>
      <c r="N179" s="2694"/>
      <c r="O179" s="2692">
        <f>SUMIF(J14:J173,"SB",O14:O173)</f>
        <v>34761.300000000003</v>
      </c>
      <c r="P179" s="2693"/>
      <c r="Q179" s="2693"/>
      <c r="R179" s="2694"/>
      <c r="S179" s="2692">
        <f>SUMIF(J14:J173,"sb",S14:S173)</f>
        <v>0</v>
      </c>
      <c r="T179" s="2693"/>
      <c r="U179" s="2693"/>
      <c r="V179" s="2694"/>
      <c r="W179" s="1040">
        <f>SUMIF(J14:J173,"SB",W14:W173)</f>
        <v>35120</v>
      </c>
      <c r="X179" s="1040">
        <f>SUMIF(J14:J173,"SB",X14:X173)</f>
        <v>34343.199999999997</v>
      </c>
      <c r="Y179" s="69"/>
      <c r="AF179" s="421"/>
    </row>
    <row r="180" spans="1:32" x14ac:dyDescent="0.2">
      <c r="A180" s="2235" t="s">
        <v>25</v>
      </c>
      <c r="B180" s="2236"/>
      <c r="C180" s="2236"/>
      <c r="D180" s="2236"/>
      <c r="E180" s="2236"/>
      <c r="F180" s="2236"/>
      <c r="G180" s="2236"/>
      <c r="H180" s="2236"/>
      <c r="I180" s="2236"/>
      <c r="J180" s="2237"/>
      <c r="K180" s="2692">
        <f>SUMIF(J14:J173,"SB(SP)",K14:K173)</f>
        <v>119.7</v>
      </c>
      <c r="L180" s="2693"/>
      <c r="M180" s="2693"/>
      <c r="N180" s="2694"/>
      <c r="O180" s="2692">
        <f>SUMIF(J14:J173,"SB(SP)",O14:O173)</f>
        <v>119.2</v>
      </c>
      <c r="P180" s="2693"/>
      <c r="Q180" s="2693"/>
      <c r="R180" s="2694"/>
      <c r="S180" s="2692">
        <f>SUMIF(J14:J173,"SB(SP)",S14:S173)</f>
        <v>0</v>
      </c>
      <c r="T180" s="2693"/>
      <c r="U180" s="2693"/>
      <c r="V180" s="2694"/>
      <c r="W180" s="1040">
        <f>SUMIF(J14:J173,"SB(SP)",W14:W173)</f>
        <v>119.3</v>
      </c>
      <c r="X180" s="1040">
        <f>SUMIF(J14:J173,"SB(SP)",X14:X173)</f>
        <v>119.3</v>
      </c>
    </row>
    <row r="181" spans="1:32" x14ac:dyDescent="0.2">
      <c r="A181" s="2235" t="s">
        <v>26</v>
      </c>
      <c r="B181" s="2236"/>
      <c r="C181" s="2236"/>
      <c r="D181" s="2236"/>
      <c r="E181" s="2236"/>
      <c r="F181" s="2236"/>
      <c r="G181" s="2236"/>
      <c r="H181" s="2236"/>
      <c r="I181" s="2236"/>
      <c r="J181" s="2237"/>
      <c r="K181" s="2692">
        <f>SUMIF(J14:J173,"SB(F)",K14:K173)</f>
        <v>0</v>
      </c>
      <c r="L181" s="2693"/>
      <c r="M181" s="2693"/>
      <c r="N181" s="2694"/>
      <c r="O181" s="2692">
        <f>SUMIF(J14:J173,"SB(F)",O14:O173)</f>
        <v>0</v>
      </c>
      <c r="P181" s="2693"/>
      <c r="Q181" s="2693"/>
      <c r="R181" s="2694"/>
      <c r="S181" s="2692">
        <f>SUMIF(J14:J173,"SB(F)",S14:S173)</f>
        <v>0</v>
      </c>
      <c r="T181" s="2693"/>
      <c r="U181" s="2693"/>
      <c r="V181" s="2694"/>
      <c r="W181" s="1040">
        <f>SUMIF(J14:J173,"SB(F)",W14:W173)</f>
        <v>0</v>
      </c>
      <c r="X181" s="1040">
        <f>SUMIF(J14:J173,"SB(F)",X14:X173)</f>
        <v>0</v>
      </c>
      <c r="Y181" s="52"/>
      <c r="Z181" s="1"/>
      <c r="AA181" s="1"/>
      <c r="AB181" s="1"/>
      <c r="AC181" s="1"/>
      <c r="AD181" s="1"/>
      <c r="AE181" s="1"/>
    </row>
    <row r="182" spans="1:32" x14ac:dyDescent="0.2">
      <c r="A182" s="2235" t="s">
        <v>107</v>
      </c>
      <c r="B182" s="2236"/>
      <c r="C182" s="2236"/>
      <c r="D182" s="2236"/>
      <c r="E182" s="2236"/>
      <c r="F182" s="2236"/>
      <c r="G182" s="2236"/>
      <c r="H182" s="2236"/>
      <c r="I182" s="2236"/>
      <c r="J182" s="2237"/>
      <c r="K182" s="2692">
        <f>SUMIF(J14:J173,"SB(L)",K14:K173)</f>
        <v>3117</v>
      </c>
      <c r="L182" s="2693"/>
      <c r="M182" s="2693"/>
      <c r="N182" s="2694"/>
      <c r="O182" s="2692">
        <f>SUMIF(J12:J163,"SB(L)",O12:O173)</f>
        <v>0</v>
      </c>
      <c r="P182" s="2693"/>
      <c r="Q182" s="2693"/>
      <c r="R182" s="2694"/>
      <c r="S182" s="2692">
        <f>SUMIF(J12:J163,"SB(L)",S12:S163)</f>
        <v>0</v>
      </c>
      <c r="T182" s="2693"/>
      <c r="U182" s="2693"/>
      <c r="V182" s="2694"/>
      <c r="W182" s="1040">
        <f ca="1">SUMIF(J14:J173,"SB(L)",W14:W172)</f>
        <v>0</v>
      </c>
      <c r="X182" s="1040">
        <f ca="1">SUMIF(K14:K173,"SB(L)",X14:X172)</f>
        <v>0</v>
      </c>
      <c r="Y182" s="52"/>
      <c r="Z182" s="1"/>
      <c r="AA182" s="1"/>
      <c r="AB182" s="1"/>
      <c r="AC182" s="1"/>
      <c r="AD182" s="1"/>
      <c r="AE182" s="1"/>
    </row>
    <row r="183" spans="1:32" x14ac:dyDescent="0.2">
      <c r="A183" s="2235" t="s">
        <v>128</v>
      </c>
      <c r="B183" s="2262"/>
      <c r="C183" s="2262"/>
      <c r="D183" s="2262"/>
      <c r="E183" s="2262"/>
      <c r="F183" s="2262"/>
      <c r="G183" s="2262"/>
      <c r="H183" s="2262"/>
      <c r="I183" s="2262"/>
      <c r="J183" s="2263"/>
      <c r="K183" s="2692">
        <f>SUMIF(J15:J174,"SB(VR)",K15:K174)</f>
        <v>0</v>
      </c>
      <c r="L183" s="2693"/>
      <c r="M183" s="2693"/>
      <c r="N183" s="2694"/>
      <c r="O183" s="2692">
        <f>SUMIF(J13:J164,"SB(VR)",O13:O164)</f>
        <v>205.1</v>
      </c>
      <c r="P183" s="2693"/>
      <c r="Q183" s="2693"/>
      <c r="R183" s="2694"/>
      <c r="S183" s="2692">
        <f>SUMIF(J13:J164,"SB(VR)",S13:S164)</f>
        <v>0</v>
      </c>
      <c r="T183" s="2693"/>
      <c r="U183" s="2693"/>
      <c r="V183" s="2694"/>
      <c r="W183" s="1040">
        <f>SUMIF(J14:J173,"SB(VR)",W14:W173)</f>
        <v>0</v>
      </c>
      <c r="X183" s="1040">
        <f>SUMIF(J14:J173,"SB(VR)",X14:X173)</f>
        <v>0</v>
      </c>
      <c r="Y183" s="52"/>
      <c r="Z183" s="1"/>
      <c r="AA183" s="1"/>
      <c r="AB183" s="1"/>
      <c r="AC183" s="1"/>
      <c r="AD183" s="1"/>
      <c r="AE183" s="1"/>
    </row>
    <row r="184" spans="1:32" x14ac:dyDescent="0.2">
      <c r="A184" s="2235" t="s">
        <v>27</v>
      </c>
      <c r="B184" s="2236"/>
      <c r="C184" s="2236"/>
      <c r="D184" s="2236"/>
      <c r="E184" s="2236"/>
      <c r="F184" s="2236"/>
      <c r="G184" s="2236"/>
      <c r="H184" s="2236"/>
      <c r="I184" s="2236"/>
      <c r="J184" s="2237"/>
      <c r="K184" s="2692">
        <f>SUMIF(J14:J173,"SB(P)",K14:K173)</f>
        <v>598.79999999999995</v>
      </c>
      <c r="L184" s="2693"/>
      <c r="M184" s="2693"/>
      <c r="N184" s="2694"/>
      <c r="O184" s="2692">
        <f>SUMIF(J14:J173,"SB(P)",O14:O173)</f>
        <v>0</v>
      </c>
      <c r="P184" s="2693"/>
      <c r="Q184" s="2693"/>
      <c r="R184" s="2694"/>
      <c r="S184" s="2692">
        <f>SUMIF(J14:J173,"SB(P)",S14:S173)</f>
        <v>0</v>
      </c>
      <c r="T184" s="2693"/>
      <c r="U184" s="2693"/>
      <c r="V184" s="2694"/>
      <c r="W184" s="1040">
        <f>SUMIF(J14:J173,"SB(P)",W14:W173)</f>
        <v>11.3</v>
      </c>
      <c r="X184" s="1040">
        <f>SUMIF(J14:J173,"SB(P)",X14:X173)</f>
        <v>15</v>
      </c>
    </row>
    <row r="185" spans="1:32" x14ac:dyDescent="0.2">
      <c r="A185" s="2271" t="s">
        <v>19</v>
      </c>
      <c r="B185" s="2272"/>
      <c r="C185" s="2272"/>
      <c r="D185" s="2272"/>
      <c r="E185" s="2272"/>
      <c r="F185" s="2272"/>
      <c r="G185" s="2272"/>
      <c r="H185" s="2272"/>
      <c r="I185" s="2272"/>
      <c r="J185" s="2273"/>
      <c r="K185" s="2713">
        <f>SUM(K186:N189)</f>
        <v>2842</v>
      </c>
      <c r="L185" s="2714"/>
      <c r="M185" s="2714"/>
      <c r="N185" s="2715"/>
      <c r="O185" s="2713">
        <f>SUM(O186:R189)</f>
        <v>2541.4</v>
      </c>
      <c r="P185" s="2714"/>
      <c r="Q185" s="2714"/>
      <c r="R185" s="2715"/>
      <c r="S185" s="2713">
        <f>SUM(S186:V189)</f>
        <v>0</v>
      </c>
      <c r="T185" s="2714"/>
      <c r="U185" s="2714"/>
      <c r="V185" s="2715"/>
      <c r="W185" s="1041">
        <f>SUM(W186:W189)</f>
        <v>288.7</v>
      </c>
      <c r="X185" s="1041">
        <f>SUM(X186:X189)</f>
        <v>235</v>
      </c>
    </row>
    <row r="186" spans="1:32" x14ac:dyDescent="0.2">
      <c r="A186" s="2276" t="s">
        <v>28</v>
      </c>
      <c r="B186" s="2277"/>
      <c r="C186" s="2277"/>
      <c r="D186" s="2277"/>
      <c r="E186" s="2277"/>
      <c r="F186" s="2277"/>
      <c r="G186" s="2277"/>
      <c r="H186" s="2277"/>
      <c r="I186" s="2277"/>
      <c r="J186" s="2278"/>
      <c r="K186" s="2692">
        <f>SUMIF(J14:J173,"ES",K14:K173)</f>
        <v>553.4</v>
      </c>
      <c r="L186" s="2693"/>
      <c r="M186" s="2693"/>
      <c r="N186" s="2694"/>
      <c r="O186" s="2692">
        <f>SUMIF(J14:J173,"ES",O14:O173)</f>
        <v>419.9</v>
      </c>
      <c r="P186" s="2693"/>
      <c r="Q186" s="2693"/>
      <c r="R186" s="2694"/>
      <c r="S186" s="2692">
        <f>SUMIF(J14:J173,"ES",S14:S173)</f>
        <v>0</v>
      </c>
      <c r="T186" s="2693"/>
      <c r="U186" s="2693"/>
      <c r="V186" s="2694"/>
      <c r="W186" s="1040">
        <f>SUMIF(J14:J173,"ES",W14:W173)</f>
        <v>177.4</v>
      </c>
      <c r="X186" s="1040">
        <f>SUMIF(J14:J173,"ES",X14:X173)</f>
        <v>220</v>
      </c>
    </row>
    <row r="187" spans="1:32" x14ac:dyDescent="0.2">
      <c r="A187" s="2279" t="s">
        <v>29</v>
      </c>
      <c r="B187" s="2280"/>
      <c r="C187" s="2280"/>
      <c r="D187" s="2280"/>
      <c r="E187" s="2280"/>
      <c r="F187" s="2280"/>
      <c r="G187" s="2280"/>
      <c r="H187" s="2280"/>
      <c r="I187" s="2280"/>
      <c r="J187" s="2281"/>
      <c r="K187" s="2692">
        <f>SUMIF(J14:J173,"KPP",K14:K173)</f>
        <v>0</v>
      </c>
      <c r="L187" s="2693"/>
      <c r="M187" s="2693"/>
      <c r="N187" s="2694"/>
      <c r="O187" s="2692">
        <f>SUMIF(J14:J173,"KPP",O14:O173)</f>
        <v>0</v>
      </c>
      <c r="P187" s="2693"/>
      <c r="Q187" s="2693"/>
      <c r="R187" s="2694"/>
      <c r="S187" s="2692">
        <f>SUMIF(J14:J173,"KPP",S14:S173)</f>
        <v>0</v>
      </c>
      <c r="T187" s="2693"/>
      <c r="U187" s="2693"/>
      <c r="V187" s="2694"/>
      <c r="W187" s="1040">
        <f>SUMIF(J14:J173,"KPP",W14:W173)</f>
        <v>0</v>
      </c>
      <c r="X187" s="1040">
        <f>SUMIF(J14:J173,"KPP",X14:X173)</f>
        <v>0</v>
      </c>
    </row>
    <row r="188" spans="1:32" x14ac:dyDescent="0.2">
      <c r="A188" s="2235" t="s">
        <v>30</v>
      </c>
      <c r="B188" s="2236"/>
      <c r="C188" s="2236"/>
      <c r="D188" s="2236"/>
      <c r="E188" s="2236"/>
      <c r="F188" s="2236"/>
      <c r="G188" s="2236"/>
      <c r="H188" s="2236"/>
      <c r="I188" s="2236"/>
      <c r="J188" s="2237"/>
      <c r="K188" s="2692">
        <f>SUMIF(J14:J173,"LRVB",K14:K173)</f>
        <v>93.4</v>
      </c>
      <c r="L188" s="2693"/>
      <c r="M188" s="2693"/>
      <c r="N188" s="2694"/>
      <c r="O188" s="2692">
        <f>SUMIF(J14:J173,"LRVB",O14:O173)</f>
        <v>77</v>
      </c>
      <c r="P188" s="2693"/>
      <c r="Q188" s="2693"/>
      <c r="R188" s="2694"/>
      <c r="S188" s="2692">
        <f>SUMIF(J14:J173,"LRVB",S14:S173)</f>
        <v>0</v>
      </c>
      <c r="T188" s="2693"/>
      <c r="U188" s="2693"/>
      <c r="V188" s="2694"/>
      <c r="W188" s="1040">
        <f>SUMIF(J14:J173,"LRVB",W14:W173)</f>
        <v>11.3</v>
      </c>
      <c r="X188" s="1040">
        <f>SUMIF(J14:J173,"LRVB",X14:X173)</f>
        <v>15</v>
      </c>
    </row>
    <row r="189" spans="1:32" x14ac:dyDescent="0.2">
      <c r="A189" s="2235" t="s">
        <v>31</v>
      </c>
      <c r="B189" s="2236"/>
      <c r="C189" s="2236"/>
      <c r="D189" s="2236"/>
      <c r="E189" s="2236"/>
      <c r="F189" s="2236"/>
      <c r="G189" s="2236"/>
      <c r="H189" s="2236"/>
      <c r="I189" s="2236"/>
      <c r="J189" s="2237"/>
      <c r="K189" s="2692">
        <f>SUMIF(J14:J173,"Kt",K14:K173)</f>
        <v>2195.1999999999998</v>
      </c>
      <c r="L189" s="2693"/>
      <c r="M189" s="2693"/>
      <c r="N189" s="2694"/>
      <c r="O189" s="2692">
        <f>SUMIF(J14:J173,"Kt",O14:O173)</f>
        <v>2044.5</v>
      </c>
      <c r="P189" s="2693"/>
      <c r="Q189" s="2693"/>
      <c r="R189" s="2694"/>
      <c r="S189" s="2692">
        <f>SUMIF(J14:J173,"Kt",S14:S173)</f>
        <v>0</v>
      </c>
      <c r="T189" s="2693"/>
      <c r="U189" s="2693"/>
      <c r="V189" s="2694"/>
      <c r="W189" s="1040">
        <f>SUMIF(J14:J173,"Kt",W14:W173)</f>
        <v>100</v>
      </c>
      <c r="X189" s="1040">
        <f>SUMIF(J14:J173,"Kt",X14:X173)</f>
        <v>0</v>
      </c>
      <c r="Z189" s="5"/>
      <c r="AA189" s="5"/>
      <c r="AB189" s="5"/>
    </row>
    <row r="190" spans="1:32" ht="13.5" thickBot="1" x14ac:dyDescent="0.25">
      <c r="A190" s="2238" t="s">
        <v>20</v>
      </c>
      <c r="B190" s="2239"/>
      <c r="C190" s="2239"/>
      <c r="D190" s="2239"/>
      <c r="E190" s="2239"/>
      <c r="F190" s="2239"/>
      <c r="G190" s="2239"/>
      <c r="H190" s="2239"/>
      <c r="I190" s="2239"/>
      <c r="J190" s="2240"/>
      <c r="K190" s="2703">
        <f>SUM(K178,K185)</f>
        <v>37649.599999999999</v>
      </c>
      <c r="L190" s="2704"/>
      <c r="M190" s="2704"/>
      <c r="N190" s="2705"/>
      <c r="O190" s="2706">
        <f>SUM(O178,O185)</f>
        <v>37627</v>
      </c>
      <c r="P190" s="2707"/>
      <c r="Q190" s="2707"/>
      <c r="R190" s="2708"/>
      <c r="S190" s="2706">
        <f>SUM(S178,S185)</f>
        <v>0</v>
      </c>
      <c r="T190" s="2707"/>
      <c r="U190" s="2707"/>
      <c r="V190" s="2708"/>
      <c r="W190" s="1042">
        <f ca="1">SUM(W178,W185)</f>
        <v>35539.300000000003</v>
      </c>
      <c r="X190" s="1042">
        <f ca="1">SUM(X178,X185)</f>
        <v>34712.5</v>
      </c>
      <c r="Z190" s="5"/>
      <c r="AA190" s="5"/>
      <c r="AB190" s="5"/>
    </row>
    <row r="191" spans="1:32" x14ac:dyDescent="0.2">
      <c r="K191" s="69"/>
      <c r="L191" s="69"/>
      <c r="O191" s="296" t="s">
        <v>246</v>
      </c>
      <c r="P191" s="2709">
        <f>O190/3.4528*1000</f>
        <v>10897532</v>
      </c>
      <c r="Q191" s="2710"/>
      <c r="R191" s="686"/>
      <c r="S191" s="686"/>
      <c r="T191" s="686"/>
      <c r="U191" s="686"/>
      <c r="V191" s="686"/>
      <c r="W191" s="686">
        <f ca="1">W190/3.4528*1000</f>
        <v>10292893</v>
      </c>
      <c r="X191" s="2711">
        <f ca="1">X190/3.4528*1000</f>
        <v>10053435</v>
      </c>
      <c r="Y191" s="2712"/>
      <c r="Z191" s="5"/>
      <c r="AA191" s="5"/>
      <c r="AB191" s="5"/>
    </row>
  </sheetData>
  <mergeCells count="423">
    <mergeCell ref="A186:J186"/>
    <mergeCell ref="K186:N186"/>
    <mergeCell ref="O186:R186"/>
    <mergeCell ref="S186:V186"/>
    <mergeCell ref="A187:J187"/>
    <mergeCell ref="K187:N187"/>
    <mergeCell ref="O187:R187"/>
    <mergeCell ref="S187:V187"/>
    <mergeCell ref="A184:J184"/>
    <mergeCell ref="K184:N184"/>
    <mergeCell ref="O184:R184"/>
    <mergeCell ref="S184:V184"/>
    <mergeCell ref="A185:J185"/>
    <mergeCell ref="K185:N185"/>
    <mergeCell ref="O185:R185"/>
    <mergeCell ref="S185:V185"/>
    <mergeCell ref="A190:J190"/>
    <mergeCell ref="K190:N190"/>
    <mergeCell ref="O190:R190"/>
    <mergeCell ref="S190:V190"/>
    <mergeCell ref="P191:Q191"/>
    <mergeCell ref="X191:Y191"/>
    <mergeCell ref="A188:J188"/>
    <mergeCell ref="K188:N188"/>
    <mergeCell ref="O188:R188"/>
    <mergeCell ref="S188:V188"/>
    <mergeCell ref="A189:J189"/>
    <mergeCell ref="K189:N189"/>
    <mergeCell ref="O189:R189"/>
    <mergeCell ref="S189:V189"/>
    <mergeCell ref="A182:J182"/>
    <mergeCell ref="K182:N182"/>
    <mergeCell ref="O182:R182"/>
    <mergeCell ref="S182:V182"/>
    <mergeCell ref="A183:J183"/>
    <mergeCell ref="K183:N183"/>
    <mergeCell ref="O183:R183"/>
    <mergeCell ref="S183:V183"/>
    <mergeCell ref="A180:J180"/>
    <mergeCell ref="K180:N180"/>
    <mergeCell ref="O180:R180"/>
    <mergeCell ref="S180:V180"/>
    <mergeCell ref="A181:J181"/>
    <mergeCell ref="K181:N181"/>
    <mergeCell ref="O181:R181"/>
    <mergeCell ref="S181:V181"/>
    <mergeCell ref="A178:J178"/>
    <mergeCell ref="K178:N178"/>
    <mergeCell ref="O178:R178"/>
    <mergeCell ref="S178:V178"/>
    <mergeCell ref="A179:J179"/>
    <mergeCell ref="K179:N179"/>
    <mergeCell ref="O179:R179"/>
    <mergeCell ref="S179:V179"/>
    <mergeCell ref="Y165:Y166"/>
    <mergeCell ref="A168:A170"/>
    <mergeCell ref="E168:E170"/>
    <mergeCell ref="I168:I170"/>
    <mergeCell ref="Y168:Y170"/>
    <mergeCell ref="A174:AB174"/>
    <mergeCell ref="A175:V175"/>
    <mergeCell ref="A176:V176"/>
    <mergeCell ref="A177:J177"/>
    <mergeCell ref="K177:N177"/>
    <mergeCell ref="O177:R177"/>
    <mergeCell ref="S177:V177"/>
    <mergeCell ref="C171:J171"/>
    <mergeCell ref="Y171:AB171"/>
    <mergeCell ref="B172:J172"/>
    <mergeCell ref="Y172:AB172"/>
    <mergeCell ref="B173:J173"/>
    <mergeCell ref="Y173:AB173"/>
    <mergeCell ref="A165:A167"/>
    <mergeCell ref="B165:B167"/>
    <mergeCell ref="C165:C167"/>
    <mergeCell ref="D165:D167"/>
    <mergeCell ref="E165:E167"/>
    <mergeCell ref="F165:F167"/>
    <mergeCell ref="G165:G167"/>
    <mergeCell ref="H165:H167"/>
    <mergeCell ref="I165:I167"/>
    <mergeCell ref="F158:F164"/>
    <mergeCell ref="H158:H164"/>
    <mergeCell ref="I159:I162"/>
    <mergeCell ref="H151:H152"/>
    <mergeCell ref="A153:A155"/>
    <mergeCell ref="B153:B155"/>
    <mergeCell ref="C153:C155"/>
    <mergeCell ref="D153:D155"/>
    <mergeCell ref="E153:E155"/>
    <mergeCell ref="F153:F155"/>
    <mergeCell ref="G153:G155"/>
    <mergeCell ref="H153:H155"/>
    <mergeCell ref="A163:A164"/>
    <mergeCell ref="B163:B164"/>
    <mergeCell ref="C163:C164"/>
    <mergeCell ref="D163:D164"/>
    <mergeCell ref="E163:E164"/>
    <mergeCell ref="A151:A152"/>
    <mergeCell ref="B151:B152"/>
    <mergeCell ref="C151:C152"/>
    <mergeCell ref="E151:E152"/>
    <mergeCell ref="F151:F152"/>
    <mergeCell ref="G151:G152"/>
    <mergeCell ref="I153:I154"/>
    <mergeCell ref="C156:J156"/>
    <mergeCell ref="C157:AB157"/>
    <mergeCell ref="Y141:Y144"/>
    <mergeCell ref="C148:J148"/>
    <mergeCell ref="Y148:AB148"/>
    <mergeCell ref="Y136:Y138"/>
    <mergeCell ref="C139:J139"/>
    <mergeCell ref="Y139:AB139"/>
    <mergeCell ref="C140:AB140"/>
    <mergeCell ref="C149:AB149"/>
    <mergeCell ref="D150:D152"/>
    <mergeCell ref="I150:I151"/>
    <mergeCell ref="Y150:Y152"/>
    <mergeCell ref="Y145:Y147"/>
    <mergeCell ref="A141:A144"/>
    <mergeCell ref="B141:B144"/>
    <mergeCell ref="C141:C144"/>
    <mergeCell ref="D141:D144"/>
    <mergeCell ref="E141:E144"/>
    <mergeCell ref="F141:F144"/>
    <mergeCell ref="I135:J135"/>
    <mergeCell ref="A136:A138"/>
    <mergeCell ref="B136:B138"/>
    <mergeCell ref="C136:C138"/>
    <mergeCell ref="D136:D138"/>
    <mergeCell ref="E136:E138"/>
    <mergeCell ref="F136:F138"/>
    <mergeCell ref="G136:G138"/>
    <mergeCell ref="H136:H138"/>
    <mergeCell ref="I136:I138"/>
    <mergeCell ref="G141:G144"/>
    <mergeCell ref="H141:H144"/>
    <mergeCell ref="I141:I144"/>
    <mergeCell ref="E126:E127"/>
    <mergeCell ref="I126:I127"/>
    <mergeCell ref="F129:F132"/>
    <mergeCell ref="G129:G132"/>
    <mergeCell ref="H129:H132"/>
    <mergeCell ref="I129:I132"/>
    <mergeCell ref="C117:J117"/>
    <mergeCell ref="C118:AB118"/>
    <mergeCell ref="A119:A125"/>
    <mergeCell ref="B119:B125"/>
    <mergeCell ref="C119:C125"/>
    <mergeCell ref="E119:E120"/>
    <mergeCell ref="E121:E123"/>
    <mergeCell ref="I121:I123"/>
    <mergeCell ref="E124:E125"/>
    <mergeCell ref="I124:I125"/>
    <mergeCell ref="Y111:Y112"/>
    <mergeCell ref="Z111:Z112"/>
    <mergeCell ref="AA111:AA112"/>
    <mergeCell ref="AB111:AB112"/>
    <mergeCell ref="I113:I116"/>
    <mergeCell ref="Y113:Y114"/>
    <mergeCell ref="Z113:Z114"/>
    <mergeCell ref="AA113:AA114"/>
    <mergeCell ref="AB113:AB114"/>
    <mergeCell ref="Y115:Y116"/>
    <mergeCell ref="G109:G110"/>
    <mergeCell ref="I109:I110"/>
    <mergeCell ref="A111:A116"/>
    <mergeCell ref="B111:B116"/>
    <mergeCell ref="C111:C116"/>
    <mergeCell ref="D111:D116"/>
    <mergeCell ref="E111:E116"/>
    <mergeCell ref="F111:F112"/>
    <mergeCell ref="G111:G116"/>
    <mergeCell ref="I111:I112"/>
    <mergeCell ref="A109:A110"/>
    <mergeCell ref="B109:B110"/>
    <mergeCell ref="C109:C110"/>
    <mergeCell ref="D109:D110"/>
    <mergeCell ref="E109:E110"/>
    <mergeCell ref="F109:F110"/>
    <mergeCell ref="I106:J106"/>
    <mergeCell ref="Y106:AB106"/>
    <mergeCell ref="C107:C108"/>
    <mergeCell ref="D107:D108"/>
    <mergeCell ref="E107:E108"/>
    <mergeCell ref="I107:I108"/>
    <mergeCell ref="D103:D104"/>
    <mergeCell ref="E103:E104"/>
    <mergeCell ref="F103:F104"/>
    <mergeCell ref="G103:G104"/>
    <mergeCell ref="H103:H104"/>
    <mergeCell ref="I103:I104"/>
    <mergeCell ref="I101:I102"/>
    <mergeCell ref="I92:I94"/>
    <mergeCell ref="Y92:Y93"/>
    <mergeCell ref="A96:A104"/>
    <mergeCell ref="B96:B104"/>
    <mergeCell ref="C96:C104"/>
    <mergeCell ref="E96:E97"/>
    <mergeCell ref="Y96:Y97"/>
    <mergeCell ref="E98:E99"/>
    <mergeCell ref="F98:F99"/>
    <mergeCell ref="G98:G100"/>
    <mergeCell ref="A92:A95"/>
    <mergeCell ref="B92:B95"/>
    <mergeCell ref="C92:C95"/>
    <mergeCell ref="D92:D95"/>
    <mergeCell ref="E92:E95"/>
    <mergeCell ref="F92:F95"/>
    <mergeCell ref="G92:G95"/>
    <mergeCell ref="H92:H95"/>
    <mergeCell ref="D101:D102"/>
    <mergeCell ref="E101:E102"/>
    <mergeCell ref="F101:F102"/>
    <mergeCell ref="G101:G102"/>
    <mergeCell ref="H101:H102"/>
    <mergeCell ref="I81:I82"/>
    <mergeCell ref="I87:J87"/>
    <mergeCell ref="Y87:AB87"/>
    <mergeCell ref="A88:A91"/>
    <mergeCell ref="B88:B91"/>
    <mergeCell ref="C88:C91"/>
    <mergeCell ref="D88:D91"/>
    <mergeCell ref="E88:E89"/>
    <mergeCell ref="F88:F91"/>
    <mergeCell ref="G88:G91"/>
    <mergeCell ref="H88:H91"/>
    <mergeCell ref="I88:I90"/>
    <mergeCell ref="E90:E91"/>
    <mergeCell ref="A81:A82"/>
    <mergeCell ref="B81:B82"/>
    <mergeCell ref="C81:C82"/>
    <mergeCell ref="D81:D82"/>
    <mergeCell ref="E81:E82"/>
    <mergeCell ref="F81:F82"/>
    <mergeCell ref="G81:G82"/>
    <mergeCell ref="H81:H82"/>
    <mergeCell ref="F79:F80"/>
    <mergeCell ref="G79:G80"/>
    <mergeCell ref="H79:H80"/>
    <mergeCell ref="Y77:Y78"/>
    <mergeCell ref="Z77:Z78"/>
    <mergeCell ref="AA77:AA78"/>
    <mergeCell ref="AB77:AB78"/>
    <mergeCell ref="A79:A80"/>
    <mergeCell ref="B79:B80"/>
    <mergeCell ref="C79:C80"/>
    <mergeCell ref="D79:D80"/>
    <mergeCell ref="E79:E80"/>
    <mergeCell ref="AA79:AA80"/>
    <mergeCell ref="AB79:AB80"/>
    <mergeCell ref="I79:I80"/>
    <mergeCell ref="Y79:Y80"/>
    <mergeCell ref="Z79:Z80"/>
    <mergeCell ref="W68:W70"/>
    <mergeCell ref="X68:X70"/>
    <mergeCell ref="I76:J76"/>
    <mergeCell ref="A77:A78"/>
    <mergeCell ref="B77:B78"/>
    <mergeCell ref="C77:C78"/>
    <mergeCell ref="D77:D78"/>
    <mergeCell ref="E77:E78"/>
    <mergeCell ref="F77:F78"/>
    <mergeCell ref="G77:G78"/>
    <mergeCell ref="Q68:Q70"/>
    <mergeCell ref="R68:R70"/>
    <mergeCell ref="S68:S70"/>
    <mergeCell ref="T68:T70"/>
    <mergeCell ref="U68:U70"/>
    <mergeCell ref="V68:V70"/>
    <mergeCell ref="K68:K70"/>
    <mergeCell ref="L68:L70"/>
    <mergeCell ref="M68:M70"/>
    <mergeCell ref="N68:N70"/>
    <mergeCell ref="O68:O70"/>
    <mergeCell ref="P68:P70"/>
    <mergeCell ref="H77:H78"/>
    <mergeCell ref="E62:E63"/>
    <mergeCell ref="I62:I66"/>
    <mergeCell ref="E68:E70"/>
    <mergeCell ref="A59:A60"/>
    <mergeCell ref="B59:B60"/>
    <mergeCell ref="C59:C60"/>
    <mergeCell ref="D59:D60"/>
    <mergeCell ref="E59:E60"/>
    <mergeCell ref="F59:F60"/>
    <mergeCell ref="F57:F58"/>
    <mergeCell ref="G57:G58"/>
    <mergeCell ref="H57:H58"/>
    <mergeCell ref="I57:I58"/>
    <mergeCell ref="D49:D52"/>
    <mergeCell ref="E49:E52"/>
    <mergeCell ref="I49:I52"/>
    <mergeCell ref="I53:J53"/>
    <mergeCell ref="G59:G60"/>
    <mergeCell ref="H59:H60"/>
    <mergeCell ref="I59:I61"/>
    <mergeCell ref="I44:I46"/>
    <mergeCell ref="A47:A48"/>
    <mergeCell ref="B47:B48"/>
    <mergeCell ref="C47:C48"/>
    <mergeCell ref="D47:D48"/>
    <mergeCell ref="I47:I48"/>
    <mergeCell ref="A44:A46"/>
    <mergeCell ref="B44:B46"/>
    <mergeCell ref="C44:C46"/>
    <mergeCell ref="D44:D46"/>
    <mergeCell ref="E44:E46"/>
    <mergeCell ref="F44:F46"/>
    <mergeCell ref="A42:A43"/>
    <mergeCell ref="B42:B43"/>
    <mergeCell ref="C42:C43"/>
    <mergeCell ref="D42:D43"/>
    <mergeCell ref="E42:E43"/>
    <mergeCell ref="F42:F43"/>
    <mergeCell ref="G42:G43"/>
    <mergeCell ref="H42:H43"/>
    <mergeCell ref="A54:A55"/>
    <mergeCell ref="B54:B55"/>
    <mergeCell ref="C54:C55"/>
    <mergeCell ref="D54:D55"/>
    <mergeCell ref="E54:E56"/>
    <mergeCell ref="F54:F56"/>
    <mergeCell ref="G44:G46"/>
    <mergeCell ref="H44:H46"/>
    <mergeCell ref="G54:G55"/>
    <mergeCell ref="H54:H55"/>
    <mergeCell ref="Y36:Y37"/>
    <mergeCell ref="D39:D40"/>
    <mergeCell ref="E39:E40"/>
    <mergeCell ref="F39:F40"/>
    <mergeCell ref="G39:G40"/>
    <mergeCell ref="H39:H40"/>
    <mergeCell ref="I39:I40"/>
    <mergeCell ref="Y39:Y40"/>
    <mergeCell ref="I41:J41"/>
    <mergeCell ref="G36:G38"/>
    <mergeCell ref="F34:F35"/>
    <mergeCell ref="D36:D38"/>
    <mergeCell ref="E36:E38"/>
    <mergeCell ref="F36:F38"/>
    <mergeCell ref="G18:G25"/>
    <mergeCell ref="H18:H25"/>
    <mergeCell ref="I18:I20"/>
    <mergeCell ref="H36:H38"/>
    <mergeCell ref="I36:I38"/>
    <mergeCell ref="E26:E31"/>
    <mergeCell ref="F26:F28"/>
    <mergeCell ref="I26:I29"/>
    <mergeCell ref="F29:F31"/>
    <mergeCell ref="F32:F33"/>
    <mergeCell ref="Y18:Y19"/>
    <mergeCell ref="AA12:AA13"/>
    <mergeCell ref="AB12:AB13"/>
    <mergeCell ref="A15:A16"/>
    <mergeCell ref="B15:B16"/>
    <mergeCell ref="C15:C16"/>
    <mergeCell ref="D15:D17"/>
    <mergeCell ref="E15:E17"/>
    <mergeCell ref="F15:F17"/>
    <mergeCell ref="G15:G16"/>
    <mergeCell ref="H15:H16"/>
    <mergeCell ref="I15:I17"/>
    <mergeCell ref="A18:A25"/>
    <mergeCell ref="B18:B25"/>
    <mergeCell ref="C18:C25"/>
    <mergeCell ref="D18:D25"/>
    <mergeCell ref="E18:E25"/>
    <mergeCell ref="F18:F25"/>
    <mergeCell ref="A9:AB9"/>
    <mergeCell ref="B10:AB10"/>
    <mergeCell ref="C11:AB11"/>
    <mergeCell ref="A12:A13"/>
    <mergeCell ref="B12:B13"/>
    <mergeCell ref="C12:C13"/>
    <mergeCell ref="D12:D13"/>
    <mergeCell ref="E12:E13"/>
    <mergeCell ref="F12:F13"/>
    <mergeCell ref="G12:G13"/>
    <mergeCell ref="H12:H13"/>
    <mergeCell ref="Y12:Y13"/>
    <mergeCell ref="Z12:Z13"/>
    <mergeCell ref="A8:AB8"/>
    <mergeCell ref="S5:V5"/>
    <mergeCell ref="W5:W7"/>
    <mergeCell ref="X5:X7"/>
    <mergeCell ref="Y5:AB5"/>
    <mergeCell ref="K6:K7"/>
    <mergeCell ref="L6:M6"/>
    <mergeCell ref="N6:N7"/>
    <mergeCell ref="O6:O7"/>
    <mergeCell ref="P6:Q6"/>
    <mergeCell ref="R6:R7"/>
    <mergeCell ref="G5:G7"/>
    <mergeCell ref="H5:H7"/>
    <mergeCell ref="I5:I7"/>
    <mergeCell ref="J5:J7"/>
    <mergeCell ref="K5:N5"/>
    <mergeCell ref="O5:R5"/>
    <mergeCell ref="A1:AB1"/>
    <mergeCell ref="A2:AB2"/>
    <mergeCell ref="A3:AB3"/>
    <mergeCell ref="Z4:AB4"/>
    <mergeCell ref="A5:A7"/>
    <mergeCell ref="B5:B7"/>
    <mergeCell ref="C5:C7"/>
    <mergeCell ref="D5:D7"/>
    <mergeCell ref="E5:E7"/>
    <mergeCell ref="F5:F7"/>
    <mergeCell ref="S6:S7"/>
    <mergeCell ref="T6:U6"/>
    <mergeCell ref="V6:V7"/>
    <mergeCell ref="Y6:Y7"/>
    <mergeCell ref="Z6:AB6"/>
    <mergeCell ref="A145:A147"/>
    <mergeCell ref="B145:B147"/>
    <mergeCell ref="C145:C147"/>
    <mergeCell ref="D145:D147"/>
    <mergeCell ref="E145:E147"/>
    <mergeCell ref="F145:F147"/>
    <mergeCell ref="G145:G147"/>
    <mergeCell ref="H145:H147"/>
    <mergeCell ref="I145:I14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Ataskaita</vt:lpstr>
      <vt:lpstr>Priemonių suvestinė</vt:lpstr>
      <vt:lpstr>2015 MVP</vt:lpstr>
      <vt:lpstr>Aiškinamoji lentelė</vt:lpstr>
      <vt:lpstr>'2015 MVP'!Print_Area</vt:lpstr>
      <vt:lpstr>'Priemonių suvestinė'!Print_Area</vt:lpstr>
      <vt:lpstr>'2015 MVP'!Print_Titles</vt:lpstr>
      <vt:lpstr>'Priemonių suvestinė'!Print_Titles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2016-03-04T08:08:11Z</cp:lastPrinted>
  <dcterms:created xsi:type="dcterms:W3CDTF">2007-07-27T10:32:34Z</dcterms:created>
  <dcterms:modified xsi:type="dcterms:W3CDTF">2016-03-14T07:29:23Z</dcterms:modified>
</cp:coreProperties>
</file>