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385" activeTab="0"/>
  </bookViews>
  <sheets>
    <sheet name="Lentelės" sheetId="1" r:id="rId1"/>
  </sheets>
  <externalReferences>
    <externalReference r:id="rId4"/>
  </externalReferences>
  <definedNames>
    <definedName name="Esploat">'[1]Sheet1'!$E$3:$E$9</definedName>
    <definedName name="Metai">'[1]Sheet1'!$B$3:$B$14</definedName>
    <definedName name="Reinves">'[1]Sheet1'!$H$3:$H$11</definedName>
  </definedNames>
  <calcPr fullCalcOnLoad="1"/>
</workbook>
</file>

<file path=xl/sharedStrings.xml><?xml version="1.0" encoding="utf-8"?>
<sst xmlns="http://schemas.openxmlformats.org/spreadsheetml/2006/main" count="614" uniqueCount="177">
  <si>
    <r>
      <t xml:space="preserve">1 LENTELĖ. </t>
    </r>
    <r>
      <rPr>
        <sz val="10"/>
        <color indexed="8"/>
        <rFont val="Times New Roman"/>
        <family val="1"/>
      </rPr>
      <t>VKEKK PAŽYMOS DĖL KAINŲ DERINIMO DUOMENYS</t>
    </r>
  </si>
  <si>
    <t>VALSTYBINĖS KAINŲ IR ENERGETIKOS KONTROLĖS KOMISIJOS
ŠILUMOS IR VANDENS DEPARTAMENTO
VANDENS SKYRIAUS</t>
  </si>
  <si>
    <t>PAŽYMA</t>
  </si>
  <si>
    <t>6 priedas (litais)</t>
  </si>
  <si>
    <t>Eil. Nr</t>
  </si>
  <si>
    <t>RODIKLIAI</t>
  </si>
  <si>
    <t>Pardavimo kaina (Lt/vnt.)</t>
  </si>
  <si>
    <t xml:space="preserve">Geriamojo vandens tiekimas </t>
  </si>
  <si>
    <t>Nuotekų tvarkymas</t>
  </si>
  <si>
    <t xml:space="preserve">Iš viso </t>
  </si>
  <si>
    <t>gavyba</t>
  </si>
  <si>
    <t>ruošimas</t>
  </si>
  <si>
    <t>pristatymas</t>
  </si>
  <si>
    <t>surinkimas</t>
  </si>
  <si>
    <t>valymas</t>
  </si>
  <si>
    <t>dumblo tvarkymas</t>
  </si>
  <si>
    <t>3.</t>
  </si>
  <si>
    <t>Pardavimas (tūkst. m3)</t>
  </si>
  <si>
    <t>3.1.</t>
  </si>
  <si>
    <t>Parduota vartotojams (tūkst. m3)</t>
  </si>
  <si>
    <t>3.2.</t>
  </si>
  <si>
    <t>Parduota abonentams (tūkst. m3)</t>
  </si>
  <si>
    <t xml:space="preserve">3.3. </t>
  </si>
  <si>
    <t>Įvadinių skaitiklių skaičius</t>
  </si>
  <si>
    <t>3.3.1.</t>
  </si>
  <si>
    <t>3.3.2.</t>
  </si>
  <si>
    <t xml:space="preserve">individualiuose gyvenamuosiuose namuose </t>
  </si>
  <si>
    <t>3.4.</t>
  </si>
  <si>
    <t>Butų skaičius daugiabučiuose namuose</t>
  </si>
  <si>
    <t>6.</t>
  </si>
  <si>
    <t>PASLAUGŲ SĄNAUDOS (tūkst. Lt)</t>
  </si>
  <si>
    <t>6.1.</t>
  </si>
  <si>
    <t xml:space="preserve">Tiesioginės sąnaudos </t>
  </si>
  <si>
    <t>6.1.1.</t>
  </si>
  <si>
    <t>Ilgalaikio turto nusidėvėjimo atstatymas</t>
  </si>
  <si>
    <t>6.1.2.</t>
  </si>
  <si>
    <t xml:space="preserve">Remonto ir eksploatacinės medžiagos </t>
  </si>
  <si>
    <t>6.1.3.</t>
  </si>
  <si>
    <t xml:space="preserve">Paslaugos ir darbai pagal sutartis </t>
  </si>
  <si>
    <t>6.1.4.</t>
  </si>
  <si>
    <t xml:space="preserve">Technologinės medžiagos </t>
  </si>
  <si>
    <t>6.1.5.</t>
  </si>
  <si>
    <t xml:space="preserve">Elektros energija </t>
  </si>
  <si>
    <t>6.1.6.</t>
  </si>
  <si>
    <t>Kuras</t>
  </si>
  <si>
    <t>6.1.7.</t>
  </si>
  <si>
    <t xml:space="preserve">Šilumos energija </t>
  </si>
  <si>
    <t>6.1.8.</t>
  </si>
  <si>
    <t>DU ir socialinis draudimas</t>
  </si>
  <si>
    <t>6.1.9.</t>
  </si>
  <si>
    <t xml:space="preserve">Kitos sąnaudos </t>
  </si>
  <si>
    <t>6.2.</t>
  </si>
  <si>
    <t xml:space="preserve">Netiesioginės sąnaudos </t>
  </si>
  <si>
    <t>7.</t>
  </si>
  <si>
    <t xml:space="preserve">Veiklos (administracinės) sąnaudos </t>
  </si>
  <si>
    <t>8.</t>
  </si>
  <si>
    <t>Palūkanos</t>
  </si>
  <si>
    <t>9.</t>
  </si>
  <si>
    <t xml:space="preserve">Mokesčiai </t>
  </si>
  <si>
    <t>IŠ VISO SĄNAUDŲ (tūkst. Lt):</t>
  </si>
  <si>
    <t>SAVIKAINA, Eur/m3</t>
  </si>
  <si>
    <t>Pardav. kaina
(Eur/vnt.)</t>
  </si>
  <si>
    <t>Tiesioginės sąnaudos (be nusidėvėjimo)</t>
  </si>
  <si>
    <t>Netiesioginės sąnaudos</t>
  </si>
  <si>
    <t>Veiklos (administracinės) sąnaudos</t>
  </si>
  <si>
    <t>Mokesčiai</t>
  </si>
  <si>
    <t>IŠ VISO SAVIKAINA, Eur/m3</t>
  </si>
  <si>
    <r>
      <t xml:space="preserve">3 LENTELĖ. </t>
    </r>
    <r>
      <rPr>
        <sz val="10"/>
        <color indexed="8"/>
        <rFont val="Times New Roman"/>
        <family val="1"/>
      </rPr>
      <t>PLANUOJAMI PRIJUNGTI GYVENTOJAI/NAMŲ ŪKIAI</t>
    </r>
  </si>
  <si>
    <t xml:space="preserve">Veikla / Metai </t>
  </si>
  <si>
    <t>Gyvent., vnt.</t>
  </si>
  <si>
    <t>N.ū., vnt.</t>
  </si>
  <si>
    <t>Vandens gavyba (VGĮ)</t>
  </si>
  <si>
    <t>Vandens pristatymas (VT)</t>
  </si>
  <si>
    <t>Nuotekų surinkimas (NT)</t>
  </si>
  <si>
    <t>Nuotekų valymas (NVĮ)</t>
  </si>
  <si>
    <t>Pardavimas</t>
  </si>
  <si>
    <t>Koeficientas (gyv./n.ū.)</t>
  </si>
  <si>
    <r>
      <t xml:space="preserve">4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</si>
  <si>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t>Veikla</t>
  </si>
  <si>
    <t>Vidutinis kiekis, m3/nū</t>
  </si>
  <si>
    <t>Suma, Eur</t>
  </si>
  <si>
    <t>Paslaugų kainos taikomos dalies skaičiavimas</t>
  </si>
  <si>
    <t>ILGALAIKIO TURTO NUSIDĖVĖJIMO ATSTATYMAS</t>
  </si>
  <si>
    <t>PALŪKANOS</t>
  </si>
  <si>
    <t xml:space="preserve">PASLAUGŲ SĄNAUDOS </t>
  </si>
  <si>
    <t>Iš viso sąnaudos</t>
  </si>
  <si>
    <t>Bendras suvartojamo vandens kiekio padidėjimas, tūkst.m3/metus</t>
  </si>
  <si>
    <r>
      <t xml:space="preserve">5.1 LENTELĖ. </t>
    </r>
    <r>
      <rPr>
        <sz val="10"/>
        <color indexed="8"/>
        <rFont val="Times New Roman"/>
        <family val="1"/>
      </rPr>
      <t>ILGALAIKIO TURTO NUSIDĖVĖJIMO SKAIČIAVIMAS</t>
    </r>
  </si>
  <si>
    <t>PROJEKTO VEIKLOS IŠLAIDOS, Eur</t>
  </si>
  <si>
    <t>Bendra projekto vertė</t>
  </si>
  <si>
    <t>Vandentiekio tinklai</t>
  </si>
  <si>
    <t>Nuotekų tinklai</t>
  </si>
  <si>
    <t>Nusidėvėjimo laikotarpis</t>
  </si>
  <si>
    <t>Sąnaudos Eur/metus</t>
  </si>
  <si>
    <t>Ilgis,km</t>
  </si>
  <si>
    <t>Vertė, tūkst.Eur</t>
  </si>
  <si>
    <t>Bendros veiklos sąnaudos prieš projektą, Eur/m3</t>
  </si>
  <si>
    <t>Bendros veiklos sąnaudos po projekto, Eur/m3</t>
  </si>
  <si>
    <t>Pardav. kaina
(Eur/m3)</t>
  </si>
  <si>
    <r>
      <t xml:space="preserve">6 LENTELĖ. </t>
    </r>
    <r>
      <rPr>
        <sz val="10"/>
        <color indexed="8"/>
        <rFont val="Times New Roman"/>
        <family val="1"/>
      </rPr>
      <t>KAINŲ POKYTIS PO PROJEKTO ĮGYVENDINIMO</t>
    </r>
  </si>
  <si>
    <t>Bendra savikaina</t>
  </si>
  <si>
    <t>2013 m. balandžio 11 d. Nr. O5-116</t>
  </si>
  <si>
    <t>t.sk. kintamosios sąnaudos</t>
  </si>
  <si>
    <t>Kintamosios sąnaudos</t>
  </si>
  <si>
    <r>
      <t xml:space="preserve">5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</si>
  <si>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 LENTELĖ. </t>
    </r>
    <r>
      <rPr>
        <sz val="10"/>
        <color indexed="8"/>
        <rFont val="Times New Roman"/>
        <family val="1"/>
      </rPr>
      <t>PASLAUGŲ SAVIKAINOS SKAIČIAVIMAI IR KAINOS</t>
    </r>
  </si>
  <si>
    <t>PATVIRTINTA VIDUTINĖ PASLAUGŲ KAINA</t>
  </si>
  <si>
    <t>Iš viso:</t>
  </si>
  <si>
    <r>
      <t xml:space="preserve">7 LENTELĖ. </t>
    </r>
    <r>
      <rPr>
        <sz val="10"/>
        <color indexed="8"/>
        <rFont val="Times New Roman"/>
        <family val="1"/>
      </rPr>
      <t>PLANUOJAMI PRIJUNGTI GYVENTOJAI/NAMŲ ŪKIAI</t>
    </r>
  </si>
  <si>
    <r>
      <t xml:space="preserve">8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</si>
  <si>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r>
      <t xml:space="preserve">9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</si>
  <si>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9.1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</si>
  <si>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10 LENTELĖ. </t>
    </r>
    <r>
      <rPr>
        <sz val="10"/>
        <color indexed="8"/>
        <rFont val="Times New Roman"/>
        <family val="1"/>
      </rPr>
      <t>KAINŲ POKYTIS PO PROJEKTO ĮGYVENDINIMO</t>
    </r>
  </si>
  <si>
    <t>Tinklai</t>
  </si>
  <si>
    <t>iš jų: vandentiekio tinklai</t>
  </si>
  <si>
    <t xml:space="preserve">          nuotekų tinklai</t>
  </si>
  <si>
    <t>Vandens ruošyklos</t>
  </si>
  <si>
    <t>Nuotekų valyklos</t>
  </si>
  <si>
    <r>
      <t xml:space="preserve">11 LENTELĖ. </t>
    </r>
    <r>
      <rPr>
        <sz val="10"/>
        <color indexed="8"/>
        <rFont val="Times New Roman"/>
        <family val="1"/>
      </rPr>
      <t>PLANUOJAMI PRIJUNGTI GYVENTOJAI/NAMŲ ŪKIAI</t>
    </r>
  </si>
  <si>
    <r>
      <t xml:space="preserve">12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</si>
  <si>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r>
      <t xml:space="preserve">13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</si>
  <si>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13.1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</si>
  <si>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14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</si>
  <si>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15 LENTELĖ. </t>
    </r>
    <r>
      <rPr>
        <sz val="10"/>
        <color indexed="8"/>
        <rFont val="Times New Roman"/>
        <family val="1"/>
      </rPr>
      <t>PLANUOJAMI PRIJUNGTI GYVENTOJAI/NAMŲ ŪKIAI</t>
    </r>
  </si>
  <si>
    <r>
      <t xml:space="preserve">16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</si>
  <si>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r>
      <t xml:space="preserve">17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</si>
  <si>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17.1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</si>
  <si>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18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</si>
  <si>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19 LENTELĖ. </t>
    </r>
    <r>
      <rPr>
        <sz val="10"/>
        <color indexed="8"/>
        <rFont val="Times New Roman"/>
        <family val="1"/>
      </rPr>
      <t>PLANUOJAMI PRIJUNGTI GYVENTOJAI/NAMŲ ŪKIAI</t>
    </r>
  </si>
  <si>
    <r>
      <t xml:space="preserve">20 LENTELĖ. </t>
    </r>
    <r>
      <rPr>
        <sz val="10"/>
        <color indexed="8"/>
        <rFont val="Times New Roman"/>
        <family val="1"/>
      </rPr>
      <t>VIDUTINIO GERIAMOJO VANDENS SUVARTOJIMO IR SURENKAMŲ NUOTEKŲ KIEKIO SKAIČIAVIMAI</t>
    </r>
  </si>
  <si>
    <r>
      <t xml:space="preserve">21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</si>
  <si>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21.1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</si>
  <si>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22 LENTELĖ. </t>
    </r>
    <r>
      <rPr>
        <sz val="10"/>
        <color indexed="8"/>
        <rFont val="Times New Roman"/>
        <family val="1"/>
      </rPr>
      <t>KAINŲ POKYTIS PO PROJEKTO ĮGYVENDINIMO</t>
    </r>
  </si>
  <si>
    <t>Papildomos sąnaudos, Eur</t>
  </si>
  <si>
    <t xml:space="preserve">Nuotekų valyklos </t>
  </si>
  <si>
    <t>Veiviržėnai</t>
  </si>
  <si>
    <t>Gobergiškė</t>
  </si>
  <si>
    <t xml:space="preserve">Dreverna </t>
  </si>
  <si>
    <t xml:space="preserve">Judrėnai </t>
  </si>
  <si>
    <t>Lapiai</t>
  </si>
  <si>
    <t>Veivirženai</t>
  </si>
  <si>
    <t>Grauminė (Plikiai)</t>
  </si>
  <si>
    <t>Žiobriai (Plikiai)</t>
  </si>
  <si>
    <t>Girkaliai</t>
  </si>
  <si>
    <t>Kvietiniai</t>
  </si>
  <si>
    <r>
      <t xml:space="preserve">17.2 LENTELĖ. </t>
    </r>
    <r>
      <rPr>
        <sz val="10"/>
        <color indexed="8"/>
        <rFont val="Times New Roman"/>
        <family val="1"/>
      </rPr>
      <t xml:space="preserve">PAPILDOMOS ELEKTROS ENERGIJOS IR MEDŽIAGŲ SĄNAUDOS </t>
    </r>
  </si>
  <si>
    <t>Vandens ruošykla</t>
  </si>
  <si>
    <t>Karklė</t>
  </si>
  <si>
    <t>Girininkai</t>
  </si>
  <si>
    <t>Kiekis</t>
  </si>
  <si>
    <t>t.sk.ruošimas</t>
  </si>
  <si>
    <r>
      <t xml:space="preserve">23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</si>
  <si>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23.1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</si>
  <si>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23.2 LENTELĖ. </t>
    </r>
    <r>
      <rPr>
        <sz val="10"/>
        <color indexed="8"/>
        <rFont val="Times New Roman"/>
        <family val="1"/>
      </rPr>
      <t xml:space="preserve">PAPILDOMOS ELEKTROS ENERGIJOS IR MEDŽIAGŲ SĄNAUDOS </t>
    </r>
  </si>
  <si>
    <r>
      <t xml:space="preserve">24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</si>
  <si>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25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</si>
  <si>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25.1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</si>
  <si>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26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</si>
  <si>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27 LENTELĖ. </t>
    </r>
    <r>
      <rPr>
        <sz val="10"/>
        <color indexed="8"/>
        <rFont val="Times New Roman"/>
        <family val="1"/>
      </rPr>
      <t>PROJEKTO VEIKLOS IŠLAIDOS IR PAPILDOMOS PAJAMOS</t>
    </r>
  </si>
  <si>
    <r>
      <t xml:space="preserve">27.1 LENTELĖ. </t>
    </r>
    <r>
      <rPr>
        <sz val="10"/>
        <color indexed="8"/>
        <rFont val="Times New Roman"/>
        <family val="1"/>
      </rPr>
      <t>ILGALAIKIO TURTO NUSIDĖVĖJIMO SKAIČIAVIMAS</t>
    </r>
  </si>
  <si>
    <r>
      <t xml:space="preserve">27.2 LENTELĖ. </t>
    </r>
    <r>
      <rPr>
        <sz val="10"/>
        <color indexed="8"/>
        <rFont val="Times New Roman"/>
        <family val="1"/>
      </rPr>
      <t xml:space="preserve">PAPILDOMOS ELEKTROS ENERGIJOS IR MEDŽIAGŲ SĄNAUDOS </t>
    </r>
  </si>
  <si>
    <r>
      <t xml:space="preserve">28 LENTELĖ. </t>
    </r>
    <r>
      <rPr>
        <sz val="10"/>
        <color indexed="8"/>
        <rFont val="Times New Roman"/>
        <family val="1"/>
      </rPr>
      <t>KAINŲ POKYTIS PO PROJEKTO ĮGYVENDINIMO</t>
    </r>
  </si>
  <si>
    <r>
      <t xml:space="preserve">29 LENTELĖ. </t>
    </r>
    <r>
      <rPr>
        <sz val="10"/>
        <color indexed="8"/>
        <rFont val="Times New Roman"/>
        <family val="1"/>
      </rPr>
      <t>KAINŲ POKYTIS PO VISO 2016-2018 M. VEIKLOS PLANO ĮGYVENDINIMO</t>
    </r>
  </si>
  <si>
    <t>Skirtumas, Eur/m3</t>
  </si>
  <si>
    <t>3 priedas</t>
  </si>
  <si>
    <t>AB „Klaipėdos vanduo“ 2016–2018 metų veiklos plano</t>
  </si>
  <si>
    <t>AB „KLAIPĖDOS VANDUO“ 2016–2018 METŲ VEIKLOS PLANO ĮTAKA GERIAMOJO VANDENS TIEKIMO IR NUOTEKŲ TVARKYMO KAINOMS</t>
  </si>
  <si>
    <t>iš jų: daugiabučiuose gyvenamuosiuose namuose</t>
  </si>
  <si>
    <r>
      <rPr>
        <b/>
        <sz val="10"/>
        <color indexed="8"/>
        <rFont val="Times New Roman"/>
        <family val="1"/>
      </rPr>
      <t xml:space="preserve">Dėl </t>
    </r>
    <r>
      <rPr>
        <b/>
        <sz val="10"/>
        <color indexed="30"/>
        <rFont val="Times New Roman"/>
        <family val="1"/>
      </rPr>
      <t>AB „Klaipėdos vanduo“</t>
    </r>
    <r>
      <rPr>
        <b/>
        <sz val="10"/>
        <color indexed="8"/>
        <rFont val="Times New Roman"/>
        <family val="1"/>
      </rPr>
      <t xml:space="preserve"> geriamo vandens tiekimo ir nuotekų tvarkymo paslaugų kainų derinimo</t>
    </r>
  </si>
  <si>
    <t>1 projekto  „Vandens tiekimo ir nuotekų tvarkymo infrastruktūros plėtra Klaipėdos mieste ir rajone (Priekulėje, Mickuose, Dituvoje, Kuodžiuose, Agluonėnuose, Stragnuose II, Dauparuose, Šlapšilėje, Gobergiškėje, Jonušuose)“ įtaka kainoms</t>
  </si>
  <si>
    <t>2 projekto  „Vandentiekio ir nuotekų tinklų plėtra sodų bendrijose „Minija“, „Gargždelė“ Gargždų m., Klaipėdos raj.“ įtaka kainoms</t>
  </si>
  <si>
    <t>3 projekto  „Geriamojo vandens tiekimo ir nuotekų tvarkymo infrastruktūros rekonstravimas ir plėtra Klaipėdos mieste“ įtaka kainoms</t>
  </si>
  <si>
    <t>4 projekto  „Geriamojo vandens tiekimo ir nuotekų tvarkymo infrastruktūros rekonstravimas ir plėtra Klaipėdos rajone“ įtaka kainoms</t>
  </si>
  <si>
    <t>1 priemonės   „Vandentiekio ir nuotekų tinklų plėtra“ įtaka kainoms</t>
  </si>
  <si>
    <t>2 priemonės   „Vandens gerinimo įrenginių statyba“ įtaka kainoms</t>
  </si>
  <si>
    <t>3 priemonės   „Vandens siurblinių statyba“ įtaka kainoms</t>
  </si>
  <si>
    <t>4 priemonės   „Nuotekų valyklų remontas ir rekonstrukcija“ įtaka kainoms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</si>
</sst>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  <numFmt numFmtId="174" formatCode="0\ %"/>
    <numFmt numFmtId="175" formatCode="0.000"/>
    <numFmt numFmtId="176" formatCode="#,##0.000\ &quot;€&quot;"/>
    <numFmt numFmtId="177" formatCode="0.0000"/>
    <numFmt numFmtId="178" formatCode="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3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/>
    </xf>
    <xf numFmtId="172" fontId="53" fillId="33" borderId="16" xfId="0" applyNumberFormat="1" applyFont="1" applyFill="1" applyBorder="1" applyAlignment="1">
      <alignment/>
    </xf>
    <xf numFmtId="172" fontId="53" fillId="0" borderId="17" xfId="0" applyNumberFormat="1" applyFont="1" applyFill="1" applyBorder="1" applyAlignment="1">
      <alignment/>
    </xf>
    <xf numFmtId="172" fontId="53" fillId="33" borderId="10" xfId="0" applyNumberFormat="1" applyFont="1" applyFill="1" applyBorder="1" applyAlignment="1">
      <alignment/>
    </xf>
    <xf numFmtId="172" fontId="53" fillId="33" borderId="18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2" fontId="54" fillId="0" borderId="23" xfId="0" applyNumberFormat="1" applyFont="1" applyFill="1" applyBorder="1" applyAlignment="1">
      <alignment/>
    </xf>
    <xf numFmtId="172" fontId="54" fillId="0" borderId="24" xfId="0" applyNumberFormat="1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54" fillId="0" borderId="12" xfId="0" applyNumberFormat="1" applyFont="1" applyFill="1" applyBorder="1" applyAlignment="1">
      <alignment/>
    </xf>
    <xf numFmtId="172" fontId="54" fillId="0" borderId="13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3" fontId="54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3" fontId="54" fillId="0" borderId="28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Fill="1" applyBorder="1" applyAlignment="1">
      <alignment horizontal="right"/>
    </xf>
    <xf numFmtId="3" fontId="54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/>
    </xf>
    <xf numFmtId="3" fontId="54" fillId="0" borderId="33" xfId="0" applyNumberFormat="1" applyFont="1" applyFill="1" applyBorder="1" applyAlignment="1">
      <alignment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173" fontId="53" fillId="33" borderId="15" xfId="0" applyNumberFormat="1" applyFont="1" applyFill="1" applyBorder="1" applyAlignment="1">
      <alignment/>
    </xf>
    <xf numFmtId="173" fontId="53" fillId="33" borderId="17" xfId="0" applyNumberFormat="1" applyFont="1" applyFill="1" applyBorder="1" applyAlignment="1">
      <alignment/>
    </xf>
    <xf numFmtId="173" fontId="53" fillId="33" borderId="10" xfId="0" applyNumberFormat="1" applyFont="1" applyFill="1" applyBorder="1" applyAlignment="1">
      <alignment/>
    </xf>
    <xf numFmtId="173" fontId="56" fillId="33" borderId="10" xfId="0" applyNumberFormat="1" applyFont="1" applyFill="1" applyBorder="1" applyAlignment="1">
      <alignment/>
    </xf>
    <xf numFmtId="173" fontId="53" fillId="33" borderId="18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left"/>
    </xf>
    <xf numFmtId="173" fontId="53" fillId="33" borderId="20" xfId="0" applyNumberFormat="1" applyFont="1" applyFill="1" applyBorder="1" applyAlignment="1">
      <alignment/>
    </xf>
    <xf numFmtId="173" fontId="53" fillId="33" borderId="22" xfId="0" applyNumberFormat="1" applyFont="1" applyFill="1" applyBorder="1" applyAlignment="1">
      <alignment/>
    </xf>
    <xf numFmtId="173" fontId="53" fillId="33" borderId="23" xfId="0" applyNumberFormat="1" applyFont="1" applyFill="1" applyBorder="1" applyAlignment="1">
      <alignment/>
    </xf>
    <xf numFmtId="173" fontId="56" fillId="33" borderId="23" xfId="0" applyNumberFormat="1" applyFont="1" applyFill="1" applyBorder="1" applyAlignment="1">
      <alignment/>
    </xf>
    <xf numFmtId="173" fontId="53" fillId="33" borderId="24" xfId="0" applyNumberFormat="1" applyFont="1" applyFill="1" applyBorder="1" applyAlignment="1">
      <alignment/>
    </xf>
    <xf numFmtId="0" fontId="52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/>
    </xf>
    <xf numFmtId="173" fontId="55" fillId="0" borderId="20" xfId="0" applyNumberFormat="1" applyFont="1" applyBorder="1" applyAlignment="1">
      <alignment/>
    </xf>
    <xf numFmtId="173" fontId="58" fillId="33" borderId="22" xfId="0" applyNumberFormat="1" applyFont="1" applyFill="1" applyBorder="1" applyAlignment="1">
      <alignment/>
    </xf>
    <xf numFmtId="173" fontId="54" fillId="0" borderId="23" xfId="0" applyNumberFormat="1" applyFont="1" applyBorder="1" applyAlignment="1">
      <alignment/>
    </xf>
    <xf numFmtId="173" fontId="59" fillId="0" borderId="23" xfId="0" applyNumberFormat="1" applyFont="1" applyBorder="1" applyAlignment="1">
      <alignment/>
    </xf>
    <xf numFmtId="173" fontId="54" fillId="0" borderId="24" xfId="0" applyNumberFormat="1" applyFont="1" applyBorder="1" applyAlignment="1">
      <alignment/>
    </xf>
    <xf numFmtId="14" fontId="52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/>
    </xf>
    <xf numFmtId="0" fontId="53" fillId="0" borderId="21" xfId="0" applyFont="1" applyBorder="1" applyAlignment="1">
      <alignment/>
    </xf>
    <xf numFmtId="0" fontId="58" fillId="0" borderId="21" xfId="0" applyFont="1" applyBorder="1" applyAlignment="1">
      <alignment/>
    </xf>
    <xf numFmtId="173" fontId="55" fillId="0" borderId="20" xfId="0" applyNumberFormat="1" applyFont="1" applyFill="1" applyBorder="1" applyAlignment="1">
      <alignment/>
    </xf>
    <xf numFmtId="0" fontId="52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/>
    </xf>
    <xf numFmtId="173" fontId="53" fillId="33" borderId="26" xfId="0" applyNumberFormat="1" applyFont="1" applyFill="1" applyBorder="1" applyAlignment="1">
      <alignment/>
    </xf>
    <xf numFmtId="173" fontId="53" fillId="33" borderId="11" xfId="0" applyNumberFormat="1" applyFont="1" applyFill="1" applyBorder="1" applyAlignment="1">
      <alignment/>
    </xf>
    <xf numFmtId="173" fontId="53" fillId="33" borderId="12" xfId="0" applyNumberFormat="1" applyFont="1" applyFill="1" applyBorder="1" applyAlignment="1">
      <alignment/>
    </xf>
    <xf numFmtId="173" fontId="53" fillId="33" borderId="13" xfId="0" applyNumberFormat="1" applyFont="1" applyFill="1" applyBorder="1" applyAlignment="1">
      <alignment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2" fontId="53" fillId="33" borderId="15" xfId="0" applyNumberFormat="1" applyFont="1" applyFill="1" applyBorder="1" applyAlignment="1">
      <alignment/>
    </xf>
    <xf numFmtId="2" fontId="53" fillId="33" borderId="16" xfId="0" applyNumberFormat="1" applyFont="1" applyFill="1" applyBorder="1" applyAlignment="1">
      <alignment/>
    </xf>
    <xf numFmtId="2" fontId="53" fillId="33" borderId="41" xfId="0" applyNumberFormat="1" applyFont="1" applyFill="1" applyBorder="1" applyAlignment="1">
      <alignment/>
    </xf>
    <xf numFmtId="2" fontId="53" fillId="33" borderId="18" xfId="0" applyNumberFormat="1" applyFont="1" applyFill="1" applyBorder="1" applyAlignment="1">
      <alignment/>
    </xf>
    <xf numFmtId="0" fontId="52" fillId="0" borderId="20" xfId="0" applyFont="1" applyBorder="1" applyAlignment="1">
      <alignment horizontal="left"/>
    </xf>
    <xf numFmtId="2" fontId="52" fillId="33" borderId="42" xfId="0" applyNumberFormat="1" applyFont="1" applyFill="1" applyBorder="1" applyAlignment="1">
      <alignment/>
    </xf>
    <xf numFmtId="2" fontId="52" fillId="33" borderId="43" xfId="0" applyNumberFormat="1" applyFont="1" applyFill="1" applyBorder="1" applyAlignment="1">
      <alignment/>
    </xf>
    <xf numFmtId="0" fontId="52" fillId="0" borderId="20" xfId="0" applyFont="1" applyBorder="1" applyAlignment="1">
      <alignment/>
    </xf>
    <xf numFmtId="0" fontId="52" fillId="0" borderId="26" xfId="0" applyFont="1" applyBorder="1" applyAlignment="1">
      <alignment/>
    </xf>
    <xf numFmtId="2" fontId="52" fillId="33" borderId="44" xfId="0" applyNumberFormat="1" applyFont="1" applyFill="1" applyBorder="1" applyAlignment="1">
      <alignment/>
    </xf>
    <xf numFmtId="2" fontId="52" fillId="33" borderId="45" xfId="0" applyNumberFormat="1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53" fillId="33" borderId="46" xfId="0" applyNumberFormat="1" applyFont="1" applyFill="1" applyBorder="1" applyAlignment="1">
      <alignment/>
    </xf>
    <xf numFmtId="0" fontId="52" fillId="0" borderId="47" xfId="0" applyFont="1" applyBorder="1" applyAlignment="1">
      <alignment/>
    </xf>
    <xf numFmtId="0" fontId="54" fillId="0" borderId="42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2" fillId="33" borderId="19" xfId="0" applyFont="1" applyFill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2" fillId="0" borderId="48" xfId="0" applyFont="1" applyBorder="1" applyAlignment="1">
      <alignment horizontal="center"/>
    </xf>
    <xf numFmtId="0" fontId="53" fillId="33" borderId="15" xfId="0" applyFont="1" applyFill="1" applyBorder="1" applyAlignment="1">
      <alignment horizontal="center" vertical="center"/>
    </xf>
    <xf numFmtId="4" fontId="53" fillId="33" borderId="15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4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" fontId="52" fillId="33" borderId="28" xfId="0" applyNumberFormat="1" applyFont="1" applyFill="1" applyBorder="1" applyAlignment="1">
      <alignment/>
    </xf>
    <xf numFmtId="4" fontId="52" fillId="33" borderId="23" xfId="0" applyNumberFormat="1" applyFont="1" applyFill="1" applyBorder="1" applyAlignment="1">
      <alignment/>
    </xf>
    <xf numFmtId="4" fontId="52" fillId="33" borderId="49" xfId="0" applyNumberFormat="1" applyFont="1" applyFill="1" applyBorder="1" applyAlignment="1">
      <alignment/>
    </xf>
    <xf numFmtId="4" fontId="52" fillId="33" borderId="31" xfId="0" applyNumberFormat="1" applyFont="1" applyFill="1" applyBorder="1" applyAlignment="1">
      <alignment/>
    </xf>
    <xf numFmtId="4" fontId="52" fillId="33" borderId="50" xfId="0" applyNumberFormat="1" applyFont="1" applyFill="1" applyBorder="1" applyAlignment="1">
      <alignment/>
    </xf>
    <xf numFmtId="4" fontId="52" fillId="33" borderId="20" xfId="0" applyNumberFormat="1" applyFont="1" applyFill="1" applyBorder="1" applyAlignment="1">
      <alignment/>
    </xf>
    <xf numFmtId="4" fontId="52" fillId="33" borderId="12" xfId="0" applyNumberFormat="1" applyFont="1" applyFill="1" applyBorder="1" applyAlignment="1">
      <alignment/>
    </xf>
    <xf numFmtId="0" fontId="52" fillId="0" borderId="22" xfId="0" applyFont="1" applyBorder="1" applyAlignment="1">
      <alignment/>
    </xf>
    <xf numFmtId="4" fontId="52" fillId="33" borderId="51" xfId="0" applyNumberFormat="1" applyFont="1" applyFill="1" applyBorder="1" applyAlignment="1">
      <alignment/>
    </xf>
    <xf numFmtId="0" fontId="52" fillId="0" borderId="0" xfId="0" applyFont="1" applyBorder="1" applyAlignment="1">
      <alignment horizontal="center" vertical="center"/>
    </xf>
    <xf numFmtId="4" fontId="52" fillId="33" borderId="32" xfId="0" applyNumberFormat="1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2" fillId="33" borderId="30" xfId="0" applyNumberFormat="1" applyFont="1" applyFill="1" applyBorder="1" applyAlignment="1">
      <alignment/>
    </xf>
    <xf numFmtId="4" fontId="52" fillId="33" borderId="24" xfId="0" applyNumberFormat="1" applyFont="1" applyFill="1" applyBorder="1" applyAlignment="1">
      <alignment/>
    </xf>
    <xf numFmtId="4" fontId="52" fillId="33" borderId="13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2" fontId="4" fillId="33" borderId="20" xfId="0" applyNumberFormat="1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2" fontId="4" fillId="33" borderId="43" xfId="0" applyNumberFormat="1" applyFont="1" applyFill="1" applyBorder="1" applyAlignment="1">
      <alignment/>
    </xf>
    <xf numFmtId="2" fontId="4" fillId="33" borderId="26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45" xfId="0" applyNumberFormat="1" applyFont="1" applyFill="1" applyBorder="1" applyAlignment="1">
      <alignment/>
    </xf>
    <xf numFmtId="0" fontId="52" fillId="0" borderId="50" xfId="0" applyFont="1" applyBorder="1" applyAlignment="1">
      <alignment/>
    </xf>
    <xf numFmtId="4" fontId="52" fillId="33" borderId="38" xfId="0" applyNumberFormat="1" applyFont="1" applyFill="1" applyBorder="1" applyAlignment="1">
      <alignment/>
    </xf>
    <xf numFmtId="4" fontId="52" fillId="33" borderId="52" xfId="0" applyNumberFormat="1" applyFont="1" applyFill="1" applyBorder="1" applyAlignment="1">
      <alignment/>
    </xf>
    <xf numFmtId="0" fontId="53" fillId="0" borderId="53" xfId="0" applyFont="1" applyBorder="1" applyAlignment="1">
      <alignment/>
    </xf>
    <xf numFmtId="4" fontId="52" fillId="33" borderId="39" xfId="0" applyNumberFormat="1" applyFont="1" applyFill="1" applyBorder="1" applyAlignment="1">
      <alignment/>
    </xf>
    <xf numFmtId="4" fontId="53" fillId="0" borderId="14" xfId="0" applyNumberFormat="1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31" xfId="0" applyFont="1" applyBorder="1" applyAlignment="1">
      <alignment horizontal="center" vertical="center" wrapText="1"/>
    </xf>
    <xf numFmtId="0" fontId="52" fillId="0" borderId="54" xfId="0" applyFont="1" applyBorder="1" applyAlignment="1">
      <alignment/>
    </xf>
    <xf numFmtId="0" fontId="53" fillId="0" borderId="55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53" fillId="0" borderId="10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2" fillId="34" borderId="23" xfId="0" applyFont="1" applyFill="1" applyBorder="1" applyAlignment="1">
      <alignment horizontal="center" vertical="center"/>
    </xf>
    <xf numFmtId="4" fontId="52" fillId="33" borderId="22" xfId="0" applyNumberFormat="1" applyFont="1" applyFill="1" applyBorder="1" applyAlignment="1">
      <alignment/>
    </xf>
    <xf numFmtId="0" fontId="52" fillId="34" borderId="23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4" fontId="52" fillId="34" borderId="23" xfId="0" applyNumberFormat="1" applyFont="1" applyFill="1" applyBorder="1" applyAlignment="1">
      <alignment/>
    </xf>
    <xf numFmtId="0" fontId="52" fillId="34" borderId="23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2" fontId="52" fillId="33" borderId="20" xfId="0" applyNumberFormat="1" applyFont="1" applyFill="1" applyBorder="1" applyAlignment="1">
      <alignment/>
    </xf>
    <xf numFmtId="2" fontId="52" fillId="33" borderId="26" xfId="0" applyNumberFormat="1" applyFont="1" applyFill="1" applyBorder="1" applyAlignment="1">
      <alignment/>
    </xf>
    <xf numFmtId="172" fontId="52" fillId="0" borderId="0" xfId="0" applyNumberFormat="1" applyFont="1" applyBorder="1" applyAlignment="1">
      <alignment/>
    </xf>
    <xf numFmtId="172" fontId="53" fillId="0" borderId="0" xfId="0" applyNumberFormat="1" applyFont="1" applyBorder="1" applyAlignment="1">
      <alignment/>
    </xf>
    <xf numFmtId="2" fontId="4" fillId="33" borderId="31" xfId="0" applyNumberFormat="1" applyFont="1" applyFill="1" applyBorder="1" applyAlignment="1">
      <alignment/>
    </xf>
    <xf numFmtId="2" fontId="4" fillId="33" borderId="49" xfId="0" applyNumberFormat="1" applyFont="1" applyFill="1" applyBorder="1" applyAlignment="1">
      <alignment/>
    </xf>
    <xf numFmtId="0" fontId="61" fillId="0" borderId="20" xfId="0" applyFont="1" applyBorder="1" applyAlignment="1">
      <alignment/>
    </xf>
    <xf numFmtId="0" fontId="61" fillId="0" borderId="26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right"/>
    </xf>
    <xf numFmtId="2" fontId="62" fillId="33" borderId="20" xfId="0" applyNumberFormat="1" applyFont="1" applyFill="1" applyBorder="1" applyAlignment="1">
      <alignment/>
    </xf>
    <xf numFmtId="2" fontId="62" fillId="33" borderId="42" xfId="0" applyNumberFormat="1" applyFont="1" applyFill="1" applyBorder="1" applyAlignment="1">
      <alignment/>
    </xf>
    <xf numFmtId="2" fontId="62" fillId="33" borderId="43" xfId="0" applyNumberFormat="1" applyFont="1" applyFill="1" applyBorder="1" applyAlignment="1">
      <alignment/>
    </xf>
    <xf numFmtId="0" fontId="53" fillId="0" borderId="26" xfId="0" applyFont="1" applyBorder="1" applyAlignment="1">
      <alignment horizontal="left"/>
    </xf>
    <xf numFmtId="2" fontId="53" fillId="33" borderId="56" xfId="0" applyNumberFormat="1" applyFont="1" applyFill="1" applyBorder="1" applyAlignment="1">
      <alignment/>
    </xf>
    <xf numFmtId="0" fontId="53" fillId="0" borderId="26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2" fontId="4" fillId="33" borderId="42" xfId="0" applyNumberFormat="1" applyFont="1" applyFill="1" applyBorder="1" applyAlignment="1">
      <alignment/>
    </xf>
    <xf numFmtId="2" fontId="4" fillId="33" borderId="44" xfId="0" applyNumberFormat="1" applyFont="1" applyFill="1" applyBorder="1" applyAlignment="1">
      <alignment/>
    </xf>
    <xf numFmtId="0" fontId="53" fillId="0" borderId="44" xfId="0" applyFont="1" applyBorder="1" applyAlignment="1">
      <alignment/>
    </xf>
    <xf numFmtId="2" fontId="4" fillId="33" borderId="28" xfId="0" applyNumberFormat="1" applyFont="1" applyFill="1" applyBorder="1" applyAlignment="1">
      <alignment/>
    </xf>
    <xf numFmtId="2" fontId="4" fillId="33" borderId="55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4" fontId="53" fillId="33" borderId="26" xfId="0" applyNumberFormat="1" applyFont="1" applyFill="1" applyBorder="1" applyAlignment="1">
      <alignment/>
    </xf>
    <xf numFmtId="4" fontId="53" fillId="33" borderId="11" xfId="0" applyNumberFormat="1" applyFont="1" applyFill="1" applyBorder="1" applyAlignment="1">
      <alignment/>
    </xf>
    <xf numFmtId="4" fontId="53" fillId="33" borderId="12" xfId="0" applyNumberFormat="1" applyFont="1" applyFill="1" applyBorder="1" applyAlignment="1">
      <alignment/>
    </xf>
    <xf numFmtId="4" fontId="53" fillId="33" borderId="13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175" fontId="61" fillId="33" borderId="21" xfId="0" applyNumberFormat="1" applyFont="1" applyFill="1" applyBorder="1" applyAlignment="1">
      <alignment/>
    </xf>
    <xf numFmtId="175" fontId="61" fillId="33" borderId="22" xfId="0" applyNumberFormat="1" applyFont="1" applyFill="1" applyBorder="1" applyAlignment="1">
      <alignment/>
    </xf>
    <xf numFmtId="175" fontId="61" fillId="33" borderId="23" xfId="0" applyNumberFormat="1" applyFont="1" applyFill="1" applyBorder="1" applyAlignment="1">
      <alignment/>
    </xf>
    <xf numFmtId="175" fontId="61" fillId="33" borderId="57" xfId="0" applyNumberFormat="1" applyFont="1" applyFill="1" applyBorder="1" applyAlignment="1">
      <alignment/>
    </xf>
    <xf numFmtId="175" fontId="61" fillId="33" borderId="42" xfId="0" applyNumberFormat="1" applyFont="1" applyFill="1" applyBorder="1" applyAlignment="1">
      <alignment/>
    </xf>
    <xf numFmtId="175" fontId="61" fillId="33" borderId="43" xfId="0" applyNumberFormat="1" applyFont="1" applyFill="1" applyBorder="1" applyAlignment="1">
      <alignment/>
    </xf>
    <xf numFmtId="175" fontId="61" fillId="33" borderId="58" xfId="0" applyNumberFormat="1" applyFont="1" applyFill="1" applyBorder="1" applyAlignment="1">
      <alignment/>
    </xf>
    <xf numFmtId="175" fontId="63" fillId="33" borderId="27" xfId="0" applyNumberFormat="1" applyFont="1" applyFill="1" applyBorder="1" applyAlignment="1">
      <alignment/>
    </xf>
    <xf numFmtId="175" fontId="63" fillId="33" borderId="11" xfId="0" applyNumberFormat="1" applyFont="1" applyFill="1" applyBorder="1" applyAlignment="1">
      <alignment/>
    </xf>
    <xf numFmtId="175" fontId="63" fillId="33" borderId="12" xfId="0" applyNumberFormat="1" applyFont="1" applyFill="1" applyBorder="1" applyAlignment="1">
      <alignment/>
    </xf>
    <xf numFmtId="175" fontId="63" fillId="33" borderId="48" xfId="0" applyNumberFormat="1" applyFont="1" applyFill="1" applyBorder="1" applyAlignment="1">
      <alignment/>
    </xf>
    <xf numFmtId="175" fontId="63" fillId="33" borderId="13" xfId="0" applyNumberFormat="1" applyFont="1" applyFill="1" applyBorder="1" applyAlignment="1">
      <alignment/>
    </xf>
    <xf numFmtId="175" fontId="61" fillId="33" borderId="26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23" xfId="0" applyFont="1" applyBorder="1" applyAlignment="1">
      <alignment horizontal="center" wrapText="1"/>
    </xf>
    <xf numFmtId="4" fontId="52" fillId="34" borderId="12" xfId="0" applyNumberFormat="1" applyFont="1" applyFill="1" applyBorder="1" applyAlignment="1">
      <alignment/>
    </xf>
    <xf numFmtId="4" fontId="53" fillId="0" borderId="23" xfId="0" applyNumberFormat="1" applyFont="1" applyBorder="1" applyAlignment="1">
      <alignment horizontal="center" wrapText="1"/>
    </xf>
    <xf numFmtId="4" fontId="53" fillId="0" borderId="24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23" xfId="0" applyFont="1" applyBorder="1" applyAlignment="1">
      <alignment/>
    </xf>
    <xf numFmtId="0" fontId="53" fillId="0" borderId="17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2" fillId="0" borderId="22" xfId="0" applyFont="1" applyBorder="1" applyAlignment="1">
      <alignment horizontal="left"/>
    </xf>
    <xf numFmtId="3" fontId="52" fillId="0" borderId="24" xfId="0" applyNumberFormat="1" applyFont="1" applyBorder="1" applyAlignment="1">
      <alignment horizontal="right"/>
    </xf>
    <xf numFmtId="3" fontId="52" fillId="0" borderId="24" xfId="0" applyNumberFormat="1" applyFont="1" applyBorder="1" applyAlignment="1">
      <alignment/>
    </xf>
    <xf numFmtId="0" fontId="53" fillId="0" borderId="11" xfId="0" applyFont="1" applyBorder="1" applyAlignment="1">
      <alignment/>
    </xf>
    <xf numFmtId="3" fontId="53" fillId="0" borderId="13" xfId="0" applyNumberFormat="1" applyFont="1" applyBorder="1" applyAlignment="1">
      <alignment/>
    </xf>
    <xf numFmtId="0" fontId="53" fillId="0" borderId="22" xfId="0" applyFont="1" applyBorder="1" applyAlignment="1">
      <alignment/>
    </xf>
    <xf numFmtId="3" fontId="52" fillId="0" borderId="23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center"/>
    </xf>
    <xf numFmtId="4" fontId="52" fillId="34" borderId="0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0" fontId="62" fillId="0" borderId="12" xfId="0" applyFont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/>
    </xf>
    <xf numFmtId="4" fontId="62" fillId="33" borderId="38" xfId="0" applyNumberFormat="1" applyFont="1" applyFill="1" applyBorder="1" applyAlignment="1">
      <alignment/>
    </xf>
    <xf numFmtId="4" fontId="56" fillId="33" borderId="12" xfId="0" applyNumberFormat="1" applyFont="1" applyFill="1" applyBorder="1" applyAlignment="1">
      <alignment/>
    </xf>
    <xf numFmtId="175" fontId="52" fillId="0" borderId="0" xfId="0" applyNumberFormat="1" applyFont="1" applyAlignment="1">
      <alignment/>
    </xf>
    <xf numFmtId="0" fontId="61" fillId="0" borderId="50" xfId="0" applyFont="1" applyBorder="1" applyAlignment="1">
      <alignment/>
    </xf>
    <xf numFmtId="175" fontId="63" fillId="33" borderId="40" xfId="0" applyNumberFormat="1" applyFont="1" applyFill="1" applyBorder="1" applyAlignment="1">
      <alignment/>
    </xf>
    <xf numFmtId="175" fontId="63" fillId="33" borderId="38" xfId="0" applyNumberFormat="1" applyFont="1" applyFill="1" applyBorder="1" applyAlignment="1">
      <alignment/>
    </xf>
    <xf numFmtId="175" fontId="63" fillId="33" borderId="39" xfId="0" applyNumberFormat="1" applyFont="1" applyFill="1" applyBorder="1" applyAlignment="1">
      <alignment/>
    </xf>
    <xf numFmtId="175" fontId="61" fillId="33" borderId="50" xfId="0" applyNumberFormat="1" applyFont="1" applyFill="1" applyBorder="1" applyAlignment="1">
      <alignment/>
    </xf>
    <xf numFmtId="175" fontId="61" fillId="33" borderId="20" xfId="0" applyNumberFormat="1" applyFont="1" applyFill="1" applyBorder="1" applyAlignment="1">
      <alignment/>
    </xf>
    <xf numFmtId="175" fontId="63" fillId="33" borderId="50" xfId="0" applyNumberFormat="1" applyFont="1" applyFill="1" applyBorder="1" applyAlignment="1">
      <alignment/>
    </xf>
    <xf numFmtId="175" fontId="61" fillId="33" borderId="24" xfId="0" applyNumberFormat="1" applyFont="1" applyFill="1" applyBorder="1" applyAlignment="1">
      <alignment/>
    </xf>
    <xf numFmtId="0" fontId="61" fillId="35" borderId="26" xfId="0" applyFont="1" applyFill="1" applyBorder="1" applyAlignment="1">
      <alignment/>
    </xf>
    <xf numFmtId="175" fontId="63" fillId="35" borderId="26" xfId="0" applyNumberFormat="1" applyFont="1" applyFill="1" applyBorder="1" applyAlignment="1">
      <alignment/>
    </xf>
    <xf numFmtId="175" fontId="63" fillId="35" borderId="11" xfId="0" applyNumberFormat="1" applyFont="1" applyFill="1" applyBorder="1" applyAlignment="1">
      <alignment/>
    </xf>
    <xf numFmtId="175" fontId="63" fillId="35" borderId="12" xfId="0" applyNumberFormat="1" applyFont="1" applyFill="1" applyBorder="1" applyAlignment="1">
      <alignment/>
    </xf>
    <xf numFmtId="175" fontId="63" fillId="35" borderId="13" xfId="0" applyNumberFormat="1" applyFont="1" applyFill="1" applyBorder="1" applyAlignment="1">
      <alignment/>
    </xf>
    <xf numFmtId="175" fontId="61" fillId="35" borderId="26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7" fillId="0" borderId="0" xfId="46" applyFont="1" applyAlignment="1" applyProtection="1">
      <alignment vertical="center"/>
      <protection locked="0"/>
    </xf>
    <xf numFmtId="0" fontId="53" fillId="0" borderId="53" xfId="0" applyFont="1" applyBorder="1" applyAlignment="1">
      <alignment horizontal="left"/>
    </xf>
    <xf numFmtId="0" fontId="53" fillId="0" borderId="1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53" fillId="0" borderId="59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/>
    </xf>
    <xf numFmtId="172" fontId="52" fillId="33" borderId="11" xfId="0" applyNumberFormat="1" applyFont="1" applyFill="1" applyBorder="1" applyAlignment="1">
      <alignment horizontal="center" vertical="center"/>
    </xf>
    <xf numFmtId="172" fontId="52" fillId="33" borderId="13" xfId="0" applyNumberFormat="1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53" fillId="0" borderId="58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172" fontId="52" fillId="33" borderId="22" xfId="0" applyNumberFormat="1" applyFont="1" applyFill="1" applyBorder="1" applyAlignment="1">
      <alignment horizontal="center" vertical="center"/>
    </xf>
    <xf numFmtId="172" fontId="52" fillId="33" borderId="24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6" fillId="0" borderId="0" xfId="0" applyFont="1" applyAlignment="1">
      <alignment horizontal="right"/>
    </xf>
    <xf numFmtId="0" fontId="52" fillId="0" borderId="58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prastas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.Palaimiene\Downloads\Pajamu%20skaiciavimo%20forma%202015-07-29%20(1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aičiavimai"/>
      <sheetName val="Prielaidos"/>
      <sheetName val="Duomenys"/>
      <sheetName val="Lentelės"/>
      <sheetName val="Sheet1"/>
    </sheetNames>
    <sheetDataSet>
      <sheetData sheetId="4">
        <row r="3">
          <cell r="B3" t="str">
            <v>Pasirinkite metus</v>
          </cell>
          <cell r="E3" t="str">
            <v>Pasirinkite metus </v>
          </cell>
          <cell r="H3" t="str">
            <v>Pasirinkite metų skaičių</v>
          </cell>
        </row>
        <row r="4">
          <cell r="B4">
            <v>2014</v>
          </cell>
          <cell r="E4">
            <v>25</v>
          </cell>
          <cell r="H4">
            <v>1</v>
          </cell>
        </row>
        <row r="5">
          <cell r="B5">
            <v>2015</v>
          </cell>
          <cell r="E5">
            <v>26</v>
          </cell>
          <cell r="H5">
            <v>2</v>
          </cell>
        </row>
        <row r="6">
          <cell r="B6">
            <v>2016</v>
          </cell>
          <cell r="E6">
            <v>27</v>
          </cell>
          <cell r="H6">
            <v>3</v>
          </cell>
        </row>
        <row r="7">
          <cell r="B7">
            <v>2017</v>
          </cell>
          <cell r="E7">
            <v>28</v>
          </cell>
          <cell r="H7">
            <v>4</v>
          </cell>
        </row>
        <row r="8">
          <cell r="B8">
            <v>2018</v>
          </cell>
          <cell r="E8">
            <v>29</v>
          </cell>
          <cell r="H8">
            <v>5</v>
          </cell>
        </row>
        <row r="9">
          <cell r="B9">
            <v>2019</v>
          </cell>
          <cell r="E9">
            <v>30</v>
          </cell>
          <cell r="H9">
            <v>6</v>
          </cell>
        </row>
        <row r="10">
          <cell r="B10">
            <v>2020</v>
          </cell>
          <cell r="H10">
            <v>7</v>
          </cell>
        </row>
        <row r="11">
          <cell r="B11">
            <v>2021</v>
          </cell>
          <cell r="H11">
            <v>8</v>
          </cell>
        </row>
        <row r="12">
          <cell r="B12">
            <v>2022</v>
          </cell>
        </row>
        <row r="13">
          <cell r="B13">
            <v>2023</v>
          </cell>
        </row>
        <row r="14">
          <cell r="B14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4"/>
  <sheetViews>
    <sheetView tabSelected="1" zoomScalePageLayoutView="0" workbookViewId="0" topLeftCell="A1">
      <selection activeCell="B417" sqref="B417:L418"/>
    </sheetView>
  </sheetViews>
  <sheetFormatPr defaultColWidth="9.140625" defaultRowHeight="12.75"/>
  <cols>
    <col min="1" max="1" width="5.7109375" style="3" customWidth="1"/>
    <col min="2" max="2" width="47.421875" style="1" customWidth="1"/>
    <col min="3" max="3" width="13.28125" style="1" customWidth="1"/>
    <col min="4" max="4" width="12.140625" style="1" customWidth="1"/>
    <col min="5" max="7" width="11.7109375" style="1" customWidth="1"/>
    <col min="8" max="8" width="14.421875" style="1" customWidth="1"/>
    <col min="9" max="9" width="11.7109375" style="1" customWidth="1"/>
    <col min="10" max="10" width="13.140625" style="1" customWidth="1"/>
    <col min="11" max="11" width="14.57421875" style="1" customWidth="1"/>
    <col min="12" max="12" width="14.140625" style="1" customWidth="1"/>
    <col min="13" max="13" width="9.140625" style="1" customWidth="1"/>
    <col min="14" max="18" width="9.140625" style="2" customWidth="1"/>
    <col min="19" max="16384" width="9.140625" style="1" customWidth="1"/>
  </cols>
  <sheetData>
    <row r="1" spans="1:11" ht="15.75">
      <c r="A1" s="271"/>
      <c r="K1" s="272" t="s">
        <v>165</v>
      </c>
    </row>
    <row r="2" spans="1:12" ht="20.25">
      <c r="A2" s="139"/>
      <c r="K2" s="272" t="s">
        <v>164</v>
      </c>
      <c r="L2" s="270"/>
    </row>
    <row r="3" spans="1:2" ht="15.75">
      <c r="A3" s="139"/>
      <c r="B3" s="172" t="s">
        <v>166</v>
      </c>
    </row>
    <row r="4" spans="1:18" ht="12.75">
      <c r="A4" s="139"/>
      <c r="N4" s="24"/>
      <c r="O4" s="24"/>
      <c r="P4" s="24"/>
      <c r="Q4" s="24"/>
      <c r="R4" s="24"/>
    </row>
    <row r="5" spans="1:18" ht="13.5" thickBot="1">
      <c r="A5" s="273" t="s">
        <v>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N5" s="24"/>
      <c r="O5" s="24"/>
      <c r="P5" s="24"/>
      <c r="Q5" s="24"/>
      <c r="R5" s="24"/>
    </row>
    <row r="6" ht="13.5" thickTop="1"/>
    <row r="7" spans="2:11" ht="36.75" customHeight="1">
      <c r="B7" s="298" t="s">
        <v>1</v>
      </c>
      <c r="C7" s="299"/>
      <c r="D7" s="299"/>
      <c r="E7" s="299"/>
      <c r="F7" s="299"/>
      <c r="G7" s="299"/>
      <c r="H7" s="299"/>
      <c r="I7" s="299"/>
      <c r="J7" s="299"/>
      <c r="K7" s="299"/>
    </row>
    <row r="8" spans="2:11" ht="14.25" customHeight="1">
      <c r="B8" s="300" t="s">
        <v>2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2:11" ht="14.25" customHeight="1">
      <c r="B9" s="300" t="s">
        <v>168</v>
      </c>
      <c r="C9" s="301"/>
      <c r="D9" s="301"/>
      <c r="E9" s="301"/>
      <c r="F9" s="301"/>
      <c r="G9" s="301"/>
      <c r="H9" s="301"/>
      <c r="I9" s="301"/>
      <c r="J9" s="301"/>
      <c r="K9" s="301"/>
    </row>
    <row r="10" spans="2:18" ht="12" customHeight="1">
      <c r="B10" s="302" t="s">
        <v>101</v>
      </c>
      <c r="C10" s="302"/>
      <c r="D10" s="302"/>
      <c r="E10" s="302"/>
      <c r="F10" s="302"/>
      <c r="G10" s="302"/>
      <c r="H10" s="302"/>
      <c r="I10" s="302"/>
      <c r="J10" s="302"/>
      <c r="K10" s="302"/>
      <c r="N10" s="60"/>
      <c r="O10" s="60"/>
      <c r="P10" s="60"/>
      <c r="Q10" s="60"/>
      <c r="R10" s="60"/>
    </row>
    <row r="11" spans="2:18" ht="17.25" customHeight="1">
      <c r="B11" s="304" t="s">
        <v>3</v>
      </c>
      <c r="C11" s="304"/>
      <c r="D11" s="304"/>
      <c r="E11" s="304"/>
      <c r="F11" s="304"/>
      <c r="G11" s="304"/>
      <c r="H11" s="304"/>
      <c r="I11" s="304"/>
      <c r="J11" s="304"/>
      <c r="K11" s="304"/>
      <c r="N11" s="60"/>
      <c r="O11" s="60"/>
      <c r="P11" s="60"/>
      <c r="Q11" s="60"/>
      <c r="R11" s="60"/>
    </row>
    <row r="12" ht="13.5" thickBot="1"/>
    <row r="13" spans="1:12" ht="12.75">
      <c r="A13" s="305" t="s">
        <v>4</v>
      </c>
      <c r="B13" s="307" t="s">
        <v>5</v>
      </c>
      <c r="C13" s="276" t="s">
        <v>6</v>
      </c>
      <c r="D13" s="278" t="s">
        <v>7</v>
      </c>
      <c r="E13" s="279"/>
      <c r="F13" s="279"/>
      <c r="G13" s="280"/>
      <c r="H13" s="278" t="s">
        <v>8</v>
      </c>
      <c r="I13" s="279"/>
      <c r="J13" s="279"/>
      <c r="K13" s="280"/>
      <c r="L13" s="6"/>
    </row>
    <row r="14" spans="1:12" ht="13.5" thickBot="1">
      <c r="A14" s="306"/>
      <c r="B14" s="308"/>
      <c r="C14" s="277"/>
      <c r="D14" s="7" t="s">
        <v>9</v>
      </c>
      <c r="E14" s="8" t="s">
        <v>10</v>
      </c>
      <c r="F14" s="250" t="s">
        <v>150</v>
      </c>
      <c r="G14" s="9" t="s">
        <v>12</v>
      </c>
      <c r="H14" s="7" t="s">
        <v>9</v>
      </c>
      <c r="I14" s="8" t="s">
        <v>13</v>
      </c>
      <c r="J14" s="8" t="s">
        <v>14</v>
      </c>
      <c r="K14" s="9" t="s">
        <v>15</v>
      </c>
      <c r="L14" s="6"/>
    </row>
    <row r="15" spans="1:18" s="16" customFormat="1" ht="12.75">
      <c r="A15" s="10" t="s">
        <v>16</v>
      </c>
      <c r="B15" s="11" t="s">
        <v>17</v>
      </c>
      <c r="C15" s="12">
        <f>+G15</f>
        <v>10103.1</v>
      </c>
      <c r="D15" s="13"/>
      <c r="E15" s="14">
        <f>+SUM(E16:E17)</f>
        <v>10103.1</v>
      </c>
      <c r="F15" s="14">
        <f>+SUM(F16:F17)</f>
        <v>10103.1</v>
      </c>
      <c r="G15" s="14">
        <f>+SUM(G16:G17)</f>
        <v>10103.1</v>
      </c>
      <c r="H15" s="13"/>
      <c r="I15" s="14">
        <f>+SUM(I16:I17)</f>
        <v>9211</v>
      </c>
      <c r="J15" s="14">
        <f>+SUM(J16:J17)</f>
        <v>9211</v>
      </c>
      <c r="K15" s="15">
        <f>+SUM(K16:K17)</f>
        <v>9211</v>
      </c>
      <c r="N15" s="2"/>
      <c r="O15" s="2"/>
      <c r="P15" s="2"/>
      <c r="Q15" s="2"/>
      <c r="R15" s="2"/>
    </row>
    <row r="16" spans="1:18" s="24" customFormat="1" ht="12.75">
      <c r="A16" s="17" t="s">
        <v>18</v>
      </c>
      <c r="B16" s="18" t="s">
        <v>19</v>
      </c>
      <c r="C16" s="19"/>
      <c r="D16" s="20"/>
      <c r="E16" s="21">
        <v>6623.1</v>
      </c>
      <c r="F16" s="21">
        <v>6623.1</v>
      </c>
      <c r="G16" s="22">
        <v>6623.1</v>
      </c>
      <c r="H16" s="23"/>
      <c r="I16" s="21">
        <v>6373</v>
      </c>
      <c r="J16" s="21">
        <v>6373</v>
      </c>
      <c r="K16" s="22">
        <v>6373</v>
      </c>
      <c r="N16" s="2"/>
      <c r="O16" s="2"/>
      <c r="P16" s="2"/>
      <c r="Q16" s="2"/>
      <c r="R16" s="2"/>
    </row>
    <row r="17" spans="1:18" s="24" customFormat="1" ht="13.5" thickBot="1">
      <c r="A17" s="25" t="s">
        <v>20</v>
      </c>
      <c r="B17" s="26" t="s">
        <v>21</v>
      </c>
      <c r="C17" s="27"/>
      <c r="D17" s="28"/>
      <c r="E17" s="29">
        <v>3480</v>
      </c>
      <c r="F17" s="29">
        <v>3480</v>
      </c>
      <c r="G17" s="30">
        <v>3480</v>
      </c>
      <c r="H17" s="31"/>
      <c r="I17" s="29">
        <v>2838</v>
      </c>
      <c r="J17" s="29">
        <v>2838</v>
      </c>
      <c r="K17" s="30">
        <v>2838</v>
      </c>
      <c r="N17" s="2"/>
      <c r="O17" s="2"/>
      <c r="P17" s="2"/>
      <c r="Q17" s="2"/>
      <c r="R17" s="2"/>
    </row>
    <row r="18" spans="1:11" s="2" customFormat="1" ht="12.75">
      <c r="A18" s="32" t="s">
        <v>22</v>
      </c>
      <c r="B18" s="33" t="s">
        <v>23</v>
      </c>
      <c r="C18" s="34">
        <v>17293</v>
      </c>
      <c r="D18" s="35"/>
      <c r="E18" s="36"/>
      <c r="F18" s="36"/>
      <c r="G18" s="37"/>
      <c r="H18" s="35"/>
      <c r="I18" s="36"/>
      <c r="J18" s="36"/>
      <c r="K18" s="37"/>
    </row>
    <row r="19" spans="1:11" s="2" customFormat="1" ht="12.75">
      <c r="A19" s="38" t="s">
        <v>24</v>
      </c>
      <c r="B19" s="39" t="s">
        <v>167</v>
      </c>
      <c r="C19" s="40">
        <v>3211</v>
      </c>
      <c r="D19" s="41"/>
      <c r="E19" s="42"/>
      <c r="F19" s="42"/>
      <c r="G19" s="43"/>
      <c r="H19" s="41"/>
      <c r="I19" s="42"/>
      <c r="J19" s="42"/>
      <c r="K19" s="43"/>
    </row>
    <row r="20" spans="1:11" s="2" customFormat="1" ht="12.75">
      <c r="A20" s="38" t="s">
        <v>25</v>
      </c>
      <c r="B20" s="44" t="s">
        <v>26</v>
      </c>
      <c r="C20" s="45">
        <v>10226</v>
      </c>
      <c r="D20" s="41"/>
      <c r="E20" s="42"/>
      <c r="F20" s="42"/>
      <c r="G20" s="43"/>
      <c r="H20" s="41"/>
      <c r="I20" s="42"/>
      <c r="J20" s="42"/>
      <c r="K20" s="43"/>
    </row>
    <row r="21" spans="1:18" s="2" customFormat="1" ht="13.5" thickBot="1">
      <c r="A21" s="46" t="s">
        <v>27</v>
      </c>
      <c r="B21" s="47" t="s">
        <v>28</v>
      </c>
      <c r="C21" s="48">
        <v>76916</v>
      </c>
      <c r="D21" s="49"/>
      <c r="E21" s="50"/>
      <c r="F21" s="50"/>
      <c r="G21" s="51"/>
      <c r="H21" s="49"/>
      <c r="I21" s="50"/>
      <c r="J21" s="50"/>
      <c r="K21" s="51"/>
      <c r="N21" s="60"/>
      <c r="O21" s="60"/>
      <c r="P21" s="60"/>
      <c r="Q21" s="60"/>
      <c r="R21" s="60"/>
    </row>
    <row r="22" spans="1:18" s="59" customFormat="1" ht="13.5">
      <c r="A22" s="52" t="s">
        <v>29</v>
      </c>
      <c r="B22" s="53" t="s">
        <v>30</v>
      </c>
      <c r="C22" s="54">
        <f>+C23+C33</f>
        <v>4456.3</v>
      </c>
      <c r="D22" s="55">
        <f>+D23+D33</f>
        <v>14690.399999999998</v>
      </c>
      <c r="E22" s="56">
        <f aca="true" t="shared" si="0" ref="E22:K22">+E23+E33</f>
        <v>6485.4</v>
      </c>
      <c r="F22" s="57">
        <f>+F23+F33+0.1</f>
        <v>2599.2</v>
      </c>
      <c r="G22" s="58">
        <f t="shared" si="0"/>
        <v>8205</v>
      </c>
      <c r="H22" s="55">
        <f>+H23+H33</f>
        <v>14648.800000000003</v>
      </c>
      <c r="I22" s="56">
        <f t="shared" si="0"/>
        <v>6873.900000000001</v>
      </c>
      <c r="J22" s="56">
        <f t="shared" si="0"/>
        <v>5173</v>
      </c>
      <c r="K22" s="58">
        <f t="shared" si="0"/>
        <v>2601.9000000000005</v>
      </c>
      <c r="N22" s="60"/>
      <c r="O22" s="60"/>
      <c r="P22" s="60"/>
      <c r="Q22" s="60"/>
      <c r="R22" s="60"/>
    </row>
    <row r="23" spans="1:18" s="59" customFormat="1" ht="13.5">
      <c r="A23" s="61" t="s">
        <v>31</v>
      </c>
      <c r="B23" s="62" t="s">
        <v>32</v>
      </c>
      <c r="C23" s="63">
        <f>+SUM(C24:C32)</f>
        <v>4456.3</v>
      </c>
      <c r="D23" s="64">
        <f>+SUM(D24:D32)</f>
        <v>10943.099999999999</v>
      </c>
      <c r="E23" s="65">
        <f>+SUM(E24:E32)</f>
        <v>5289.5</v>
      </c>
      <c r="F23" s="66">
        <f aca="true" t="shared" si="1" ref="F23:K23">+SUM(F24:F32)</f>
        <v>2189.4</v>
      </c>
      <c r="G23" s="67">
        <f t="shared" si="1"/>
        <v>5653.599999999999</v>
      </c>
      <c r="H23" s="64">
        <f>+SUM(H24:H32)</f>
        <v>11324.600000000002</v>
      </c>
      <c r="I23" s="65">
        <f t="shared" si="1"/>
        <v>5356.1</v>
      </c>
      <c r="J23" s="65">
        <f t="shared" si="1"/>
        <v>3606</v>
      </c>
      <c r="K23" s="67">
        <f t="shared" si="1"/>
        <v>2362.5000000000005</v>
      </c>
      <c r="N23" s="60"/>
      <c r="O23" s="60"/>
      <c r="P23" s="60"/>
      <c r="Q23" s="60"/>
      <c r="R23" s="60"/>
    </row>
    <row r="24" spans="1:18" ht="12.75">
      <c r="A24" s="68" t="s">
        <v>33</v>
      </c>
      <c r="B24" s="69" t="s">
        <v>34</v>
      </c>
      <c r="C24" s="70">
        <v>955.6</v>
      </c>
      <c r="D24" s="71">
        <f>+G24+E24</f>
        <v>3217</v>
      </c>
      <c r="E24" s="72">
        <v>1450.8</v>
      </c>
      <c r="F24" s="73">
        <v>420.6</v>
      </c>
      <c r="G24" s="74">
        <v>1766.2</v>
      </c>
      <c r="H24" s="71">
        <f>+K24+I24+J24</f>
        <v>4810.8</v>
      </c>
      <c r="I24" s="72">
        <v>2850.8</v>
      </c>
      <c r="J24" s="72">
        <v>956</v>
      </c>
      <c r="K24" s="74">
        <v>1004</v>
      </c>
      <c r="N24" s="60"/>
      <c r="O24" s="60"/>
      <c r="P24" s="60"/>
      <c r="Q24" s="60"/>
      <c r="R24" s="60"/>
    </row>
    <row r="25" spans="1:11" ht="12.75">
      <c r="A25" s="75" t="s">
        <v>35</v>
      </c>
      <c r="B25" s="76" t="s">
        <v>36</v>
      </c>
      <c r="C25" s="70">
        <v>183</v>
      </c>
      <c r="D25" s="64">
        <f>+E25+G25</f>
        <v>301.4</v>
      </c>
      <c r="E25" s="72">
        <v>56.3</v>
      </c>
      <c r="F25" s="73">
        <v>2.7</v>
      </c>
      <c r="G25" s="74">
        <v>245.1</v>
      </c>
      <c r="H25" s="64">
        <f>+SUM(I25:K25)</f>
        <v>178.10000000000002</v>
      </c>
      <c r="I25" s="72">
        <v>85.2</v>
      </c>
      <c r="J25" s="72">
        <v>92.9</v>
      </c>
      <c r="K25" s="74">
        <v>0</v>
      </c>
    </row>
    <row r="26" spans="1:11" ht="12.75">
      <c r="A26" s="75" t="s">
        <v>37</v>
      </c>
      <c r="B26" s="76" t="s">
        <v>38</v>
      </c>
      <c r="C26" s="70">
        <v>153.2</v>
      </c>
      <c r="D26" s="64">
        <f aca="true" t="shared" si="2" ref="D26:D33">+E26+G26</f>
        <v>426.29999999999995</v>
      </c>
      <c r="E26" s="72">
        <v>38.9</v>
      </c>
      <c r="F26" s="73">
        <v>0</v>
      </c>
      <c r="G26" s="74">
        <v>387.4</v>
      </c>
      <c r="H26" s="64">
        <f>+SUM(I26:K26)</f>
        <v>964.3000000000001</v>
      </c>
      <c r="I26" s="72">
        <v>227.9</v>
      </c>
      <c r="J26" s="72">
        <v>325.8</v>
      </c>
      <c r="K26" s="74">
        <v>410.6</v>
      </c>
    </row>
    <row r="27" spans="1:11" ht="12.75">
      <c r="A27" s="75" t="s">
        <v>39</v>
      </c>
      <c r="B27" s="76" t="s">
        <v>40</v>
      </c>
      <c r="C27" s="70">
        <v>0</v>
      </c>
      <c r="D27" s="64">
        <f t="shared" si="2"/>
        <v>687.3</v>
      </c>
      <c r="E27" s="72">
        <v>687.3</v>
      </c>
      <c r="F27" s="73">
        <v>687.3</v>
      </c>
      <c r="G27" s="74">
        <v>0</v>
      </c>
      <c r="H27" s="64">
        <f aca="true" t="shared" si="3" ref="H27:H36">+SUM(I27:K27)</f>
        <v>1034.1</v>
      </c>
      <c r="I27" s="72">
        <v>0</v>
      </c>
      <c r="J27" s="72">
        <v>414.7</v>
      </c>
      <c r="K27" s="74">
        <v>619.4</v>
      </c>
    </row>
    <row r="28" spans="1:11" ht="12.75">
      <c r="A28" s="75" t="s">
        <v>41</v>
      </c>
      <c r="B28" s="76" t="s">
        <v>42</v>
      </c>
      <c r="C28" s="70">
        <v>0</v>
      </c>
      <c r="D28" s="64">
        <f t="shared" si="2"/>
        <v>2810.3999999999996</v>
      </c>
      <c r="E28" s="72">
        <v>1890.1</v>
      </c>
      <c r="F28" s="73">
        <v>708.5</v>
      </c>
      <c r="G28" s="74">
        <v>920.3</v>
      </c>
      <c r="H28" s="64">
        <f t="shared" si="3"/>
        <v>1131.6000000000001</v>
      </c>
      <c r="I28" s="72">
        <v>687.7</v>
      </c>
      <c r="J28" s="72">
        <v>353.5</v>
      </c>
      <c r="K28" s="74">
        <v>90.4</v>
      </c>
    </row>
    <row r="29" spans="1:11" ht="12.75">
      <c r="A29" s="75" t="s">
        <v>43</v>
      </c>
      <c r="B29" s="76" t="s">
        <v>44</v>
      </c>
      <c r="C29" s="70">
        <v>66.2</v>
      </c>
      <c r="D29" s="64">
        <f t="shared" si="2"/>
        <v>0</v>
      </c>
      <c r="E29" s="72">
        <v>0</v>
      </c>
      <c r="F29" s="73">
        <v>0</v>
      </c>
      <c r="G29" s="74">
        <v>0</v>
      </c>
      <c r="H29" s="64">
        <f t="shared" si="3"/>
        <v>0</v>
      </c>
      <c r="I29" s="72">
        <v>0</v>
      </c>
      <c r="J29" s="72">
        <v>0</v>
      </c>
      <c r="K29" s="74">
        <v>0</v>
      </c>
    </row>
    <row r="30" spans="1:11" ht="12.75">
      <c r="A30" s="75" t="s">
        <v>45</v>
      </c>
      <c r="B30" s="76" t="s">
        <v>46</v>
      </c>
      <c r="C30" s="70">
        <v>15.4</v>
      </c>
      <c r="D30" s="64">
        <f t="shared" si="2"/>
        <v>108.2</v>
      </c>
      <c r="E30" s="72">
        <v>88.5</v>
      </c>
      <c r="F30" s="73">
        <v>2</v>
      </c>
      <c r="G30" s="74">
        <v>19.7</v>
      </c>
      <c r="H30" s="64">
        <f t="shared" si="3"/>
        <v>207.50000000000003</v>
      </c>
      <c r="I30" s="72">
        <v>131.8</v>
      </c>
      <c r="J30" s="72">
        <v>51.4</v>
      </c>
      <c r="K30" s="74">
        <v>24.3</v>
      </c>
    </row>
    <row r="31" spans="1:11" ht="12.75">
      <c r="A31" s="75" t="s">
        <v>47</v>
      </c>
      <c r="B31" s="76" t="s">
        <v>48</v>
      </c>
      <c r="C31" s="70">
        <v>2713.3</v>
      </c>
      <c r="D31" s="64">
        <f t="shared" si="2"/>
        <v>3346.5</v>
      </c>
      <c r="E31" s="72">
        <v>1068</v>
      </c>
      <c r="F31" s="73">
        <v>365.9</v>
      </c>
      <c r="G31" s="74">
        <v>2278.5</v>
      </c>
      <c r="H31" s="64">
        <f t="shared" si="3"/>
        <v>2969</v>
      </c>
      <c r="I31" s="72">
        <v>1355.5</v>
      </c>
      <c r="J31" s="72">
        <v>1399.7</v>
      </c>
      <c r="K31" s="74">
        <v>213.8</v>
      </c>
    </row>
    <row r="32" spans="1:11" ht="12.75">
      <c r="A32" s="75" t="s">
        <v>49</v>
      </c>
      <c r="B32" s="76" t="s">
        <v>50</v>
      </c>
      <c r="C32" s="70">
        <v>369.6</v>
      </c>
      <c r="D32" s="64">
        <f t="shared" si="2"/>
        <v>46</v>
      </c>
      <c r="E32" s="72">
        <v>9.6</v>
      </c>
      <c r="F32" s="73">
        <v>2.4</v>
      </c>
      <c r="G32" s="74">
        <v>36.4</v>
      </c>
      <c r="H32" s="64">
        <f t="shared" si="3"/>
        <v>29.2</v>
      </c>
      <c r="I32" s="72">
        <v>17.2</v>
      </c>
      <c r="J32" s="72">
        <v>12</v>
      </c>
      <c r="K32" s="74">
        <v>0</v>
      </c>
    </row>
    <row r="33" spans="1:18" s="59" customFormat="1" ht="12.75">
      <c r="A33" s="61" t="s">
        <v>51</v>
      </c>
      <c r="B33" s="77" t="s">
        <v>52</v>
      </c>
      <c r="C33" s="70">
        <v>0</v>
      </c>
      <c r="D33" s="64">
        <f t="shared" si="2"/>
        <v>3747.3</v>
      </c>
      <c r="E33" s="72">
        <v>1195.9</v>
      </c>
      <c r="F33" s="73">
        <v>409.7</v>
      </c>
      <c r="G33" s="74">
        <v>2551.4</v>
      </c>
      <c r="H33" s="64">
        <f t="shared" si="3"/>
        <v>3324.2000000000003</v>
      </c>
      <c r="I33" s="72">
        <v>1517.8</v>
      </c>
      <c r="J33" s="72">
        <v>1567</v>
      </c>
      <c r="K33" s="74">
        <v>239.4</v>
      </c>
      <c r="N33" s="2"/>
      <c r="O33" s="2"/>
      <c r="P33" s="2"/>
      <c r="Q33" s="2"/>
      <c r="R33" s="2"/>
    </row>
    <row r="34" spans="1:18" s="59" customFormat="1" ht="12.75">
      <c r="A34" s="61" t="s">
        <v>53</v>
      </c>
      <c r="B34" s="77" t="s">
        <v>54</v>
      </c>
      <c r="C34" s="70">
        <v>0</v>
      </c>
      <c r="D34" s="64">
        <f>+E34+G34+0.1</f>
        <v>2556.4999999999995</v>
      </c>
      <c r="E34" s="72">
        <v>815.8</v>
      </c>
      <c r="F34" s="73">
        <v>279.5</v>
      </c>
      <c r="G34" s="74">
        <v>1740.6</v>
      </c>
      <c r="H34" s="64">
        <f>+SUM(I34:K34)</f>
        <v>2268.1000000000004</v>
      </c>
      <c r="I34" s="72">
        <v>1035.5</v>
      </c>
      <c r="J34" s="72">
        <v>1069.3</v>
      </c>
      <c r="K34" s="74">
        <v>163.3</v>
      </c>
      <c r="N34" s="2"/>
      <c r="O34" s="2"/>
      <c r="P34" s="2"/>
      <c r="Q34" s="2"/>
      <c r="R34" s="2"/>
    </row>
    <row r="35" spans="1:18" s="59" customFormat="1" ht="12.75">
      <c r="A35" s="61" t="s">
        <v>55</v>
      </c>
      <c r="B35" s="78" t="s">
        <v>56</v>
      </c>
      <c r="C35" s="70">
        <v>0</v>
      </c>
      <c r="D35" s="71">
        <f>+SUM(E35:G35)</f>
        <v>280.8</v>
      </c>
      <c r="E35" s="72">
        <v>147</v>
      </c>
      <c r="F35" s="73">
        <v>0</v>
      </c>
      <c r="G35" s="74">
        <v>133.8</v>
      </c>
      <c r="H35" s="71">
        <f t="shared" si="3"/>
        <v>367.6</v>
      </c>
      <c r="I35" s="72">
        <v>220.1</v>
      </c>
      <c r="J35" s="72">
        <v>47.6</v>
      </c>
      <c r="K35" s="74">
        <v>99.9</v>
      </c>
      <c r="N35" s="60"/>
      <c r="O35" s="60"/>
      <c r="P35" s="60"/>
      <c r="Q35" s="60"/>
      <c r="R35" s="60"/>
    </row>
    <row r="36" spans="1:18" s="59" customFormat="1" ht="12.75">
      <c r="A36" s="61" t="s">
        <v>57</v>
      </c>
      <c r="B36" s="77" t="s">
        <v>58</v>
      </c>
      <c r="C36" s="79">
        <v>11.2</v>
      </c>
      <c r="D36" s="64">
        <f>E36+G36</f>
        <v>2210.5</v>
      </c>
      <c r="E36" s="72">
        <v>2107</v>
      </c>
      <c r="F36" s="73">
        <v>23.9</v>
      </c>
      <c r="G36" s="74">
        <v>103.5</v>
      </c>
      <c r="H36" s="64">
        <f t="shared" si="3"/>
        <v>717.6</v>
      </c>
      <c r="I36" s="72">
        <v>157.5</v>
      </c>
      <c r="J36" s="72">
        <v>505.7</v>
      </c>
      <c r="K36" s="74">
        <v>54.4</v>
      </c>
      <c r="N36" s="2"/>
      <c r="O36" s="2"/>
      <c r="P36" s="2"/>
      <c r="Q36" s="2"/>
      <c r="R36" s="2"/>
    </row>
    <row r="37" spans="1:11" ht="13.5" thickBot="1">
      <c r="A37" s="80"/>
      <c r="B37" s="81" t="s">
        <v>59</v>
      </c>
      <c r="C37" s="82">
        <f aca="true" t="shared" si="4" ref="C37:K37">+C22+C34+C35+C36</f>
        <v>4467.5</v>
      </c>
      <c r="D37" s="83">
        <f>+D22+D34+D35+D36</f>
        <v>19738.199999999997</v>
      </c>
      <c r="E37" s="84">
        <f t="shared" si="4"/>
        <v>9555.2</v>
      </c>
      <c r="F37" s="84">
        <f t="shared" si="4"/>
        <v>2902.6</v>
      </c>
      <c r="G37" s="85">
        <f t="shared" si="4"/>
        <v>10182.9</v>
      </c>
      <c r="H37" s="83">
        <f t="shared" si="4"/>
        <v>18002.1</v>
      </c>
      <c r="I37" s="84">
        <f t="shared" si="4"/>
        <v>8287</v>
      </c>
      <c r="J37" s="84">
        <f t="shared" si="4"/>
        <v>6795.6</v>
      </c>
      <c r="K37" s="85">
        <f t="shared" si="4"/>
        <v>2919.500000000001</v>
      </c>
    </row>
    <row r="39" spans="14:18" ht="12.75">
      <c r="N39" s="303"/>
      <c r="O39" s="303"/>
      <c r="P39" s="303"/>
      <c r="Q39" s="303"/>
      <c r="R39" s="303"/>
    </row>
    <row r="40" spans="1:18" ht="13.5" thickBot="1">
      <c r="A40" s="273" t="s">
        <v>105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N40" s="1"/>
      <c r="O40" s="1"/>
      <c r="P40" s="1"/>
      <c r="Q40" s="1"/>
      <c r="R40" s="1"/>
    </row>
    <row r="41" spans="14:18" ht="14.25" customHeight="1" thickBot="1" thickTop="1">
      <c r="N41" s="1"/>
      <c r="O41" s="1"/>
      <c r="P41" s="1"/>
      <c r="Q41" s="1"/>
      <c r="R41" s="1"/>
    </row>
    <row r="42" spans="2:18" ht="12.75" customHeight="1">
      <c r="B42" s="292" t="s">
        <v>60</v>
      </c>
      <c r="C42" s="276" t="s">
        <v>98</v>
      </c>
      <c r="D42" s="278" t="s">
        <v>7</v>
      </c>
      <c r="E42" s="279"/>
      <c r="F42" s="279"/>
      <c r="G42" s="280"/>
      <c r="H42" s="278" t="s">
        <v>8</v>
      </c>
      <c r="I42" s="279"/>
      <c r="J42" s="279"/>
      <c r="K42" s="280"/>
      <c r="N42" s="1"/>
      <c r="O42" s="1"/>
      <c r="P42" s="1"/>
      <c r="Q42" s="1"/>
      <c r="R42" s="1"/>
    </row>
    <row r="43" spans="2:18" ht="13.5" thickBot="1">
      <c r="B43" s="288"/>
      <c r="C43" s="277"/>
      <c r="D43" s="88" t="s">
        <v>9</v>
      </c>
      <c r="E43" s="86" t="s">
        <v>10</v>
      </c>
      <c r="F43" s="250" t="s">
        <v>150</v>
      </c>
      <c r="G43" s="87" t="s">
        <v>12</v>
      </c>
      <c r="H43" s="88" t="s">
        <v>9</v>
      </c>
      <c r="I43" s="86" t="s">
        <v>13</v>
      </c>
      <c r="J43" s="86" t="s">
        <v>14</v>
      </c>
      <c r="K43" s="87" t="s">
        <v>15</v>
      </c>
      <c r="N43" s="1"/>
      <c r="O43" s="1"/>
      <c r="P43" s="1"/>
      <c r="Q43" s="1"/>
      <c r="R43" s="1"/>
    </row>
    <row r="44" spans="2:18" ht="12.75">
      <c r="B44" s="140" t="s">
        <v>84</v>
      </c>
      <c r="C44" s="89">
        <f>+SUM(C45:C49)-C46</f>
        <v>0.09999999999999999</v>
      </c>
      <c r="D44" s="89">
        <f>+SUM(D45:D49)-D46</f>
        <v>0.4640000000000001</v>
      </c>
      <c r="E44" s="90">
        <f>ROUND(+SUM(E45:E49),3)-E46</f>
        <v>0.22699999999999998</v>
      </c>
      <c r="F44" s="91">
        <f aca="true" t="shared" si="5" ref="F44:K44">+SUM(F45:F49)-F46</f>
        <v>0.07199999999999998</v>
      </c>
      <c r="G44" s="92">
        <f t="shared" si="5"/>
        <v>0.23700000000000002</v>
      </c>
      <c r="H44" s="89">
        <f t="shared" si="5"/>
        <v>0.398</v>
      </c>
      <c r="I44" s="90">
        <f t="shared" si="5"/>
        <v>0.16000000000000003</v>
      </c>
      <c r="J44" s="91">
        <f t="shared" si="5"/>
        <v>0.18200000000000002</v>
      </c>
      <c r="K44" s="92">
        <f t="shared" si="5"/>
        <v>0.056000000000000015</v>
      </c>
      <c r="N44" s="1"/>
      <c r="O44" s="1"/>
      <c r="P44" s="1"/>
      <c r="Q44" s="1"/>
      <c r="R44" s="1"/>
    </row>
    <row r="45" spans="2:18" ht="12.75">
      <c r="B45" s="93" t="s">
        <v>62</v>
      </c>
      <c r="C45" s="173">
        <f>+ROUND(SUM(C25:C32)/3.4528/C15,2)</f>
        <v>0.1</v>
      </c>
      <c r="D45" s="173">
        <f>ROUND(+SUM(E45,G45),3)</f>
        <v>0.221</v>
      </c>
      <c r="E45" s="94">
        <f>+ROUND(SUM(E25:E32)/3.4528/E15,3)</f>
        <v>0.11</v>
      </c>
      <c r="F45" s="94">
        <f>+ROUND(SUM(F25:F32)/3.4528/F15,3)</f>
        <v>0.051</v>
      </c>
      <c r="G45" s="95">
        <f>+ROUND(SUM(G25:G32)/3.4528/G15,3)</f>
        <v>0.111</v>
      </c>
      <c r="H45" s="173">
        <f>SUM(I45:K45)</f>
        <v>0.20500000000000002</v>
      </c>
      <c r="I45" s="94">
        <f>+ROUND(SUM(I25:I32)/3.4528/I15,3)</f>
        <v>0.079</v>
      </c>
      <c r="J45" s="94">
        <f>+ROUND(SUM(J25:J32)/3.4528/J15,3)</f>
        <v>0.083</v>
      </c>
      <c r="K45" s="95">
        <f>+ROUND(SUM(K25:K32)/3.4528/K15,3)</f>
        <v>0.043</v>
      </c>
      <c r="N45" s="1"/>
      <c r="O45" s="1"/>
      <c r="P45" s="1"/>
      <c r="Q45" s="1"/>
      <c r="R45" s="1"/>
    </row>
    <row r="46" spans="1:18" ht="12.75">
      <c r="A46" s="171"/>
      <c r="B46" s="182" t="s">
        <v>102</v>
      </c>
      <c r="C46" s="183">
        <f>+ROUND(SUM(C25,C29,C31)/3.4528/C15,2)</f>
        <v>0.08</v>
      </c>
      <c r="D46" s="183">
        <f>ROUND(+SUM(E46,G46),3)</f>
        <v>0.1</v>
      </c>
      <c r="E46" s="184">
        <f>+ROUND(SUM(E27,E28)/3.4528/E15,3)</f>
        <v>0.074</v>
      </c>
      <c r="F46" s="184">
        <f>+ROUND(SUM(F27,F28)/3.4528/F15,3)</f>
        <v>0.04</v>
      </c>
      <c r="G46" s="185">
        <f>+ROUND(SUM(G27,G28)/3.4528/G15,3)</f>
        <v>0.026</v>
      </c>
      <c r="H46" s="183">
        <f>SUM(I46:K46)</f>
        <v>0.068</v>
      </c>
      <c r="I46" s="184">
        <f>+ROUND(SUM(I27+I28)/3.4528/I15,3)</f>
        <v>0.022</v>
      </c>
      <c r="J46" s="184">
        <f>+ROUND(SUM(J27+J28)/3.4528/J15,3)</f>
        <v>0.024</v>
      </c>
      <c r="K46" s="185">
        <f>+ROUND(SUM(K27+K28)/3.4528/K15,3)</f>
        <v>0.022</v>
      </c>
      <c r="N46" s="1"/>
      <c r="O46" s="1"/>
      <c r="P46" s="1"/>
      <c r="Q46" s="1"/>
      <c r="R46" s="1"/>
    </row>
    <row r="47" spans="2:18" ht="12.75">
      <c r="B47" s="96" t="s">
        <v>63</v>
      </c>
      <c r="C47" s="173">
        <f>+ROUND(C33/3.4528/C15,2)</f>
        <v>0</v>
      </c>
      <c r="D47" s="173">
        <f>ROUND(+SUM(E47,G47),3)</f>
        <v>0.107</v>
      </c>
      <c r="E47" s="94">
        <f>+ROUND(E33/3.4528/E15,3)</f>
        <v>0.034</v>
      </c>
      <c r="F47" s="94">
        <f>+ROUND(F33/3.4528/F15,3)</f>
        <v>0.012</v>
      </c>
      <c r="G47" s="95">
        <f>+ROUND(G33/3.4528/G15,3)</f>
        <v>0.073</v>
      </c>
      <c r="H47" s="173">
        <f>SUM(I47:K47)</f>
        <v>0.10500000000000001</v>
      </c>
      <c r="I47" s="94">
        <f>+ROUND(I33/3.4528/I15,3)</f>
        <v>0.048</v>
      </c>
      <c r="J47" s="94">
        <f>+ROUND(J33/3.4528/J15,3)</f>
        <v>0.049</v>
      </c>
      <c r="K47" s="95">
        <f>+ROUND(K33/3.4528/K15,3)</f>
        <v>0.008</v>
      </c>
      <c r="N47" s="1"/>
      <c r="O47" s="1"/>
      <c r="P47" s="1"/>
      <c r="Q47" s="1"/>
      <c r="R47" s="1"/>
    </row>
    <row r="48" spans="2:18" ht="12.75">
      <c r="B48" s="96" t="s">
        <v>64</v>
      </c>
      <c r="C48" s="173">
        <f>+ROUND(C34/3.4528/C15,2)</f>
        <v>0</v>
      </c>
      <c r="D48" s="173">
        <f>ROUND(+SUM(E48,G48),3)</f>
        <v>0.073</v>
      </c>
      <c r="E48" s="94">
        <f>+ROUND(E34/3.4528/E15,3)</f>
        <v>0.023</v>
      </c>
      <c r="F48" s="94">
        <f>+ROUND(F34/3.4528/F15,3)</f>
        <v>0.008</v>
      </c>
      <c r="G48" s="95">
        <f>+ROUND(G34/3.4528/G15,3)</f>
        <v>0.05</v>
      </c>
      <c r="H48" s="173">
        <f>SUM(I48:K48)</f>
        <v>0.07200000000000001</v>
      </c>
      <c r="I48" s="94">
        <f>+ROUND(I34/3.4528/I15,3)</f>
        <v>0.033</v>
      </c>
      <c r="J48" s="94">
        <f>+ROUND(J34/3.4528/J15,3)</f>
        <v>0.034</v>
      </c>
      <c r="K48" s="95">
        <f>+ROUND(K34/3.4528/K15,3)</f>
        <v>0.005</v>
      </c>
      <c r="N48" s="1"/>
      <c r="O48" s="1"/>
      <c r="P48" s="1"/>
      <c r="Q48" s="1"/>
      <c r="R48" s="1"/>
    </row>
    <row r="49" spans="2:18" ht="13.5" thickBot="1">
      <c r="B49" s="97" t="s">
        <v>65</v>
      </c>
      <c r="C49" s="174">
        <f>+ROUND(C36/3.4528/C15,2)</f>
        <v>0</v>
      </c>
      <c r="D49" s="174">
        <f>ROUND(+SUM(E49,G49),3)</f>
        <v>0.063</v>
      </c>
      <c r="E49" s="98">
        <f>+ROUND(E36/3.4528/E15,3)</f>
        <v>0.06</v>
      </c>
      <c r="F49" s="98">
        <f>+ROUND(F36/3.4528/F15,3)</f>
        <v>0.001</v>
      </c>
      <c r="G49" s="99">
        <f>+ROUND(G36/3.4528/G15,3)</f>
        <v>0.003</v>
      </c>
      <c r="H49" s="174">
        <f>SUM(I49:K49)</f>
        <v>0.016</v>
      </c>
      <c r="I49" s="98">
        <f>+ROUND(I36/3.4528/I15,2)</f>
        <v>0</v>
      </c>
      <c r="J49" s="98">
        <f>+ROUND(J36/3.4528/J15,3)</f>
        <v>0.016</v>
      </c>
      <c r="K49" s="99">
        <f>+ROUND(K36/3.4528/K15,2)</f>
        <v>0</v>
      </c>
      <c r="N49" s="1"/>
      <c r="O49" s="1"/>
      <c r="P49" s="1"/>
      <c r="Q49" s="1"/>
      <c r="R49" s="1"/>
    </row>
    <row r="50" spans="1:18" s="2" customFormat="1" ht="12.75">
      <c r="A50" s="101"/>
      <c r="B50" s="141" t="s">
        <v>82</v>
      </c>
      <c r="C50" s="143">
        <f>+ROUND(C24/3.4528/C15,2)</f>
        <v>0.03</v>
      </c>
      <c r="D50" s="194">
        <f>+ROUND(SUM(E50:G50),3)</f>
        <v>0.101</v>
      </c>
      <c r="E50" s="191">
        <f>+ROUND(E24/3.4528/E15,2)</f>
        <v>0.04</v>
      </c>
      <c r="F50" s="144">
        <f>+ROUND(F24/3.4528/F15,2)</f>
        <v>0.01</v>
      </c>
      <c r="G50" s="145">
        <f>+ROUND(G24/3.4528/G15,3)</f>
        <v>0.051</v>
      </c>
      <c r="H50" s="194">
        <f>+ROUND(SUM(I50:K50),3)</f>
        <v>0.152</v>
      </c>
      <c r="I50" s="195">
        <f>+ROUND(I24/3.4528/I15,3)</f>
        <v>0.09</v>
      </c>
      <c r="J50" s="177">
        <f>+ROUND(J24/3.4528/J15,3)</f>
        <v>0.03</v>
      </c>
      <c r="K50" s="178">
        <f>+ROUND(K24/3.4528/K15,3)</f>
        <v>0.032</v>
      </c>
      <c r="M50" s="1"/>
      <c r="N50" s="1"/>
      <c r="O50" s="1"/>
      <c r="P50" s="1"/>
      <c r="Q50" s="1"/>
      <c r="R50" s="1"/>
    </row>
    <row r="51" spans="1:18" s="2" customFormat="1" ht="13.5" thickBot="1">
      <c r="A51" s="101"/>
      <c r="B51" s="142" t="s">
        <v>83</v>
      </c>
      <c r="C51" s="146">
        <f>+ROUND(C35/3.4528/C15,2)</f>
        <v>0</v>
      </c>
      <c r="D51" s="146">
        <f>+ROUND(SUM(E51:G51),2)</f>
        <v>0</v>
      </c>
      <c r="E51" s="192">
        <f>+ROUND(E35/3.4528/E15,2)</f>
        <v>0</v>
      </c>
      <c r="F51" s="147">
        <f>+ROUND(F35/3.4528/F15,2)</f>
        <v>0</v>
      </c>
      <c r="G51" s="148">
        <f>+ROUND(G35/3.4528/G15,2)</f>
        <v>0</v>
      </c>
      <c r="H51" s="146">
        <f>+ROUND(SUM(I51:K51),3)</f>
        <v>0.011</v>
      </c>
      <c r="I51" s="192">
        <f>+ROUND(I35/3.4528/I15,3)</f>
        <v>0.007</v>
      </c>
      <c r="J51" s="147">
        <f>+ROUND(J35/3.4528/J15,3)</f>
        <v>0.001</v>
      </c>
      <c r="K51" s="148">
        <f>+ROUND(K35/3.4528/K15,3)</f>
        <v>0.003</v>
      </c>
      <c r="N51" s="1"/>
      <c r="O51" s="1"/>
      <c r="P51" s="1"/>
      <c r="Q51" s="1"/>
      <c r="R51" s="1"/>
    </row>
    <row r="52" spans="1:18" s="59" customFormat="1" ht="12.75">
      <c r="A52" s="102"/>
      <c r="B52" s="140" t="s">
        <v>66</v>
      </c>
      <c r="C52" s="89">
        <f>ROUND(SUM(C44,C50,C51),2)</f>
        <v>0.13</v>
      </c>
      <c r="D52" s="89">
        <f>ROUND(SUM(D44,D50,D51),3)</f>
        <v>0.565</v>
      </c>
      <c r="E52" s="187">
        <f>ROUND(SUM(E44,E50,E51),3)</f>
        <v>0.267</v>
      </c>
      <c r="F52" s="100">
        <f>ROUND(SUM(F44,F50,F51),2)</f>
        <v>0.08</v>
      </c>
      <c r="G52" s="103">
        <f>ROUND(SUM(G44,G50,G51),3)</f>
        <v>0.288</v>
      </c>
      <c r="H52" s="89">
        <f>ROUND(SUM(H44,H50,H51),4)</f>
        <v>0.561</v>
      </c>
      <c r="I52" s="187">
        <f>ROUND(SUM(I44,I50,I51),3)</f>
        <v>0.257</v>
      </c>
      <c r="J52" s="100">
        <f>ROUND(SUM(J44,J50,J51),3)</f>
        <v>0.213</v>
      </c>
      <c r="K52" s="103">
        <f>ROUND(SUM(K44,K50,K51),3)</f>
        <v>0.091</v>
      </c>
      <c r="N52" s="1"/>
      <c r="O52" s="1"/>
      <c r="P52" s="1"/>
      <c r="Q52" s="1"/>
      <c r="R52" s="1"/>
    </row>
    <row r="53" spans="2:18" ht="13.5" thickBot="1">
      <c r="B53" s="186" t="s">
        <v>106</v>
      </c>
      <c r="C53" s="188">
        <v>0.14</v>
      </c>
      <c r="D53" s="188">
        <v>0.63</v>
      </c>
      <c r="E53" s="193">
        <v>0.31</v>
      </c>
      <c r="F53" s="189">
        <v>0.09</v>
      </c>
      <c r="G53" s="190">
        <v>0.32</v>
      </c>
      <c r="H53" s="188">
        <v>0.63</v>
      </c>
      <c r="I53" s="193">
        <v>0.29</v>
      </c>
      <c r="J53" s="189">
        <v>0.24</v>
      </c>
      <c r="K53" s="190">
        <v>0.1</v>
      </c>
      <c r="N53" s="1"/>
      <c r="O53" s="1"/>
      <c r="P53" s="1"/>
      <c r="Q53" s="1"/>
      <c r="R53" s="1"/>
    </row>
    <row r="54" spans="1:18" ht="12.75">
      <c r="A54" s="181"/>
      <c r="B54" s="160"/>
      <c r="C54" s="201"/>
      <c r="D54" s="201"/>
      <c r="E54" s="201"/>
      <c r="F54" s="201"/>
      <c r="G54" s="201"/>
      <c r="H54" s="201"/>
      <c r="I54" s="201"/>
      <c r="J54" s="201"/>
      <c r="K54" s="201"/>
      <c r="N54" s="1"/>
      <c r="O54" s="1"/>
      <c r="P54" s="1"/>
      <c r="Q54" s="1"/>
      <c r="R54" s="1"/>
    </row>
    <row r="55" spans="1:18" ht="12.75">
      <c r="A55" s="196"/>
      <c r="B55" s="160"/>
      <c r="C55" s="201"/>
      <c r="D55" s="201"/>
      <c r="E55" s="201"/>
      <c r="F55" s="201"/>
      <c r="G55" s="201"/>
      <c r="H55" s="201"/>
      <c r="I55" s="201"/>
      <c r="J55" s="201"/>
      <c r="K55" s="201"/>
      <c r="N55" s="1"/>
      <c r="O55" s="1"/>
      <c r="P55" s="1"/>
      <c r="Q55" s="1"/>
      <c r="R55" s="1"/>
    </row>
    <row r="56" spans="1:18" ht="12.75">
      <c r="A56" s="291" t="s">
        <v>169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N56" s="1"/>
      <c r="O56" s="1"/>
      <c r="P56" s="1"/>
      <c r="Q56" s="1"/>
      <c r="R56" s="1"/>
    </row>
    <row r="57" spans="1:18" ht="22.5" customHeight="1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N57" s="1"/>
      <c r="O57" s="1"/>
      <c r="P57" s="1"/>
      <c r="Q57" s="1"/>
      <c r="R57" s="1"/>
    </row>
    <row r="58" spans="1:18" ht="12.75">
      <c r="A58" s="196"/>
      <c r="B58" s="160"/>
      <c r="C58" s="201"/>
      <c r="D58" s="201"/>
      <c r="E58" s="201"/>
      <c r="F58" s="201"/>
      <c r="G58" s="201"/>
      <c r="H58" s="201"/>
      <c r="I58" s="201"/>
      <c r="J58" s="201"/>
      <c r="K58" s="201"/>
      <c r="N58" s="1"/>
      <c r="O58" s="1"/>
      <c r="P58" s="1"/>
      <c r="Q58" s="1"/>
      <c r="R58" s="1"/>
    </row>
    <row r="59" spans="1:18" ht="13.5" thickBot="1">
      <c r="A59" s="152" t="s">
        <v>67</v>
      </c>
      <c r="B59" s="152"/>
      <c r="C59" s="152"/>
      <c r="D59" s="152"/>
      <c r="E59" s="152"/>
      <c r="F59" s="155"/>
      <c r="G59" s="155"/>
      <c r="H59" s="155"/>
      <c r="I59" s="155"/>
      <c r="J59" s="155"/>
      <c r="K59" s="155"/>
      <c r="L59" s="155"/>
      <c r="M59" s="133"/>
      <c r="N59" s="1"/>
      <c r="O59" s="1"/>
      <c r="P59" s="1"/>
      <c r="Q59" s="1"/>
      <c r="R59" s="1"/>
    </row>
    <row r="60" spans="1:18" ht="14.25" customHeight="1" thickBot="1" thickTop="1">
      <c r="A60" s="205"/>
      <c r="D60" s="104"/>
      <c r="E60" s="104"/>
      <c r="N60" s="1"/>
      <c r="O60" s="1"/>
      <c r="P60" s="1"/>
      <c r="Q60" s="1"/>
      <c r="R60" s="1"/>
    </row>
    <row r="61" spans="1:18" ht="28.5" customHeight="1" thickBot="1">
      <c r="A61" s="205"/>
      <c r="B61" s="292" t="s">
        <v>68</v>
      </c>
      <c r="C61" s="159">
        <v>2016</v>
      </c>
      <c r="D61" s="157"/>
      <c r="N61" s="1"/>
      <c r="O61" s="1"/>
      <c r="P61" s="1"/>
      <c r="Q61" s="1"/>
      <c r="R61" s="1"/>
    </row>
    <row r="62" spans="1:18" ht="15.75" customHeight="1">
      <c r="A62" s="205"/>
      <c r="B62" s="293"/>
      <c r="C62" s="158" t="s">
        <v>69</v>
      </c>
      <c r="D62" s="156" t="s">
        <v>70</v>
      </c>
      <c r="N62" s="1"/>
      <c r="O62" s="1"/>
      <c r="P62" s="1"/>
      <c r="Q62" s="1"/>
      <c r="R62" s="1"/>
    </row>
    <row r="63" spans="1:18" ht="13.5" customHeight="1">
      <c r="A63" s="205"/>
      <c r="B63" s="61" t="s">
        <v>71</v>
      </c>
      <c r="C63" s="105">
        <v>0</v>
      </c>
      <c r="D63" s="164">
        <v>165</v>
      </c>
      <c r="N63" s="1"/>
      <c r="O63" s="1"/>
      <c r="P63" s="1"/>
      <c r="Q63" s="1"/>
      <c r="R63" s="1"/>
    </row>
    <row r="64" spans="1:18" ht="12.75">
      <c r="A64" s="205"/>
      <c r="B64" s="61" t="s">
        <v>72</v>
      </c>
      <c r="C64" s="105">
        <v>0</v>
      </c>
      <c r="D64" s="164">
        <v>165</v>
      </c>
      <c r="N64" s="1"/>
      <c r="O64" s="1"/>
      <c r="P64" s="1"/>
      <c r="Q64" s="1"/>
      <c r="R64" s="1"/>
    </row>
    <row r="65" spans="1:18" ht="13.5" customHeight="1">
      <c r="A65" s="205"/>
      <c r="B65" s="61" t="s">
        <v>73</v>
      </c>
      <c r="C65" s="106">
        <v>0</v>
      </c>
      <c r="D65" s="164">
        <v>389</v>
      </c>
      <c r="N65" s="1"/>
      <c r="O65" s="1"/>
      <c r="P65" s="1"/>
      <c r="Q65" s="1"/>
      <c r="R65" s="1"/>
    </row>
    <row r="66" spans="1:18" ht="13.5" customHeight="1">
      <c r="A66" s="205"/>
      <c r="B66" s="61" t="s">
        <v>74</v>
      </c>
      <c r="C66" s="106">
        <v>0</v>
      </c>
      <c r="D66" s="164">
        <v>389</v>
      </c>
      <c r="N66" s="1"/>
      <c r="O66" s="1"/>
      <c r="P66" s="1"/>
      <c r="Q66" s="1"/>
      <c r="R66" s="1"/>
    </row>
    <row r="67" spans="1:15" ht="13.5" customHeight="1">
      <c r="A67" s="205"/>
      <c r="B67" s="61" t="s">
        <v>75</v>
      </c>
      <c r="C67" s="107">
        <f>+C64</f>
        <v>0</v>
      </c>
      <c r="D67" s="164">
        <v>165</v>
      </c>
      <c r="O67" s="113"/>
    </row>
    <row r="68" spans="1:15" ht="14.25" customHeight="1" thickBot="1">
      <c r="A68" s="205"/>
      <c r="B68" s="204" t="s">
        <v>76</v>
      </c>
      <c r="C68" s="109"/>
      <c r="D68" s="110">
        <v>0</v>
      </c>
      <c r="O68" s="113"/>
    </row>
    <row r="69" spans="1:15" ht="12.75">
      <c r="A69" s="205"/>
      <c r="O69" s="113"/>
    </row>
    <row r="70" spans="1:15" ht="12.75">
      <c r="A70" s="205"/>
      <c r="O70" s="113"/>
    </row>
    <row r="71" spans="1:15" ht="13.5" thickBot="1">
      <c r="A71" s="152" t="s">
        <v>77</v>
      </c>
      <c r="B71" s="152"/>
      <c r="C71" s="152"/>
      <c r="D71" s="152"/>
      <c r="E71" s="152"/>
      <c r="F71" s="152"/>
      <c r="O71" s="113"/>
    </row>
    <row r="72" spans="1:15" ht="14.25" thickBot="1" thickTop="1">
      <c r="A72" s="205"/>
      <c r="O72" s="113"/>
    </row>
    <row r="73" spans="1:15" ht="38.25" customHeight="1">
      <c r="A73" s="205"/>
      <c r="B73" s="203" t="s">
        <v>78</v>
      </c>
      <c r="C73" s="154" t="s">
        <v>79</v>
      </c>
      <c r="D73" s="294" t="s">
        <v>86</v>
      </c>
      <c r="E73" s="295"/>
      <c r="O73" s="113"/>
    </row>
    <row r="74" spans="1:15" ht="12.75">
      <c r="A74" s="205"/>
      <c r="B74" s="61" t="s">
        <v>71</v>
      </c>
      <c r="C74" s="111">
        <f>ROUND(+$E$16*1000/($C$20+$C$21),3)</f>
        <v>76.004</v>
      </c>
      <c r="D74" s="296">
        <f>D63*C74/1000</f>
        <v>12.54066</v>
      </c>
      <c r="E74" s="297"/>
      <c r="O74" s="113"/>
    </row>
    <row r="75" spans="1:15" ht="12.75">
      <c r="A75" s="205"/>
      <c r="B75" s="61" t="s">
        <v>72</v>
      </c>
      <c r="C75" s="111">
        <f>ROUND(+$G$16*1000/($C$20+$C$21),3)</f>
        <v>76.004</v>
      </c>
      <c r="D75" s="296">
        <f>D64*C75/1000</f>
        <v>12.54066</v>
      </c>
      <c r="E75" s="297"/>
      <c r="O75" s="113"/>
    </row>
    <row r="76" spans="1:15" ht="12.75">
      <c r="A76" s="205"/>
      <c r="B76" s="61" t="s">
        <v>73</v>
      </c>
      <c r="C76" s="111">
        <f>ROUND(+$I$16*1000/($C$20+$C$21),3)</f>
        <v>73.134</v>
      </c>
      <c r="D76" s="296">
        <f>D65*C76/1000</f>
        <v>28.449126</v>
      </c>
      <c r="E76" s="297"/>
      <c r="O76" s="113"/>
    </row>
    <row r="77" spans="1:15" ht="14.25" customHeight="1" thickBot="1">
      <c r="A77" s="205"/>
      <c r="B77" s="204" t="s">
        <v>74</v>
      </c>
      <c r="C77" s="112">
        <f>ROUND(+$J$16*1000/($C$20+$C$21),3)</f>
        <v>73.134</v>
      </c>
      <c r="D77" s="286">
        <f>D66*C77/1000</f>
        <v>28.449126</v>
      </c>
      <c r="E77" s="287"/>
      <c r="O77" s="113"/>
    </row>
    <row r="78" spans="1:18" ht="12.75">
      <c r="A78" s="205"/>
      <c r="N78" s="1"/>
      <c r="O78" s="1"/>
      <c r="P78" s="1"/>
      <c r="Q78" s="1"/>
      <c r="R78" s="1"/>
    </row>
    <row r="79" spans="1:18" ht="12.75">
      <c r="A79" s="205"/>
      <c r="N79" s="1"/>
      <c r="O79" s="1"/>
      <c r="P79" s="1"/>
      <c r="Q79" s="1"/>
      <c r="R79" s="1"/>
    </row>
    <row r="80" spans="1:18" ht="13.5" thickBot="1">
      <c r="A80" s="273" t="s">
        <v>104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N80" s="1"/>
      <c r="O80" s="1"/>
      <c r="P80" s="1"/>
      <c r="Q80" s="1"/>
      <c r="R80" s="1"/>
    </row>
    <row r="81" spans="1:18" ht="14.25" thickBot="1" thickTop="1">
      <c r="A81" s="1"/>
      <c r="N81" s="1"/>
      <c r="O81" s="1"/>
      <c r="P81" s="1"/>
      <c r="Q81" s="1"/>
      <c r="R81" s="1"/>
    </row>
    <row r="82" spans="1:18" ht="12.75">
      <c r="A82" s="1"/>
      <c r="B82" s="276" t="s">
        <v>88</v>
      </c>
      <c r="C82" s="276" t="s">
        <v>61</v>
      </c>
      <c r="D82" s="278" t="s">
        <v>7</v>
      </c>
      <c r="E82" s="279"/>
      <c r="F82" s="279"/>
      <c r="G82" s="280"/>
      <c r="H82" s="278" t="s">
        <v>8</v>
      </c>
      <c r="I82" s="279"/>
      <c r="J82" s="279"/>
      <c r="K82" s="280"/>
      <c r="L82" s="289" t="s">
        <v>80</v>
      </c>
      <c r="N82" s="1"/>
      <c r="O82" s="1"/>
      <c r="P82" s="1"/>
      <c r="Q82" s="1"/>
      <c r="R82" s="1"/>
    </row>
    <row r="83" spans="1:18" ht="13.5" thickBot="1">
      <c r="A83" s="1"/>
      <c r="B83" s="288"/>
      <c r="C83" s="277"/>
      <c r="D83" s="7" t="s">
        <v>9</v>
      </c>
      <c r="E83" s="8" t="s">
        <v>10</v>
      </c>
      <c r="F83" s="250" t="s">
        <v>150</v>
      </c>
      <c r="G83" s="9" t="s">
        <v>12</v>
      </c>
      <c r="H83" s="7" t="s">
        <v>9</v>
      </c>
      <c r="I83" s="8" t="s">
        <v>13</v>
      </c>
      <c r="J83" s="8" t="s">
        <v>14</v>
      </c>
      <c r="K83" s="9" t="s">
        <v>15</v>
      </c>
      <c r="L83" s="290"/>
      <c r="N83" s="1"/>
      <c r="O83" s="1"/>
      <c r="P83" s="1"/>
      <c r="Q83" s="1"/>
      <c r="R83" s="1"/>
    </row>
    <row r="84" spans="1:18" ht="12.75">
      <c r="A84" s="205"/>
      <c r="B84" s="115">
        <v>2016</v>
      </c>
      <c r="C84" s="116"/>
      <c r="D84" s="117"/>
      <c r="E84" s="118"/>
      <c r="F84" s="118"/>
      <c r="G84" s="119"/>
      <c r="H84" s="120"/>
      <c r="I84" s="118"/>
      <c r="J84" s="118"/>
      <c r="K84" s="119"/>
      <c r="L84" s="116"/>
      <c r="N84" s="1"/>
      <c r="O84" s="1"/>
      <c r="P84" s="1"/>
      <c r="Q84" s="1"/>
      <c r="R84" s="1"/>
    </row>
    <row r="85" spans="1:18" ht="12.75">
      <c r="A85" s="205"/>
      <c r="B85" s="96" t="s">
        <v>103</v>
      </c>
      <c r="C85" s="126">
        <f>ROUND(+D67*C74*$C$46,2)</f>
        <v>1003.25</v>
      </c>
      <c r="D85" s="165">
        <f>SUM(E85,G85)</f>
        <v>1254.07</v>
      </c>
      <c r="E85" s="122">
        <f>ROUND(+D63*C74*$E$46,2)</f>
        <v>928.01</v>
      </c>
      <c r="F85" s="122">
        <f>ROUND(+D63*C74*$F$46,2)</f>
        <v>501.63</v>
      </c>
      <c r="G85" s="122">
        <f>ROUND(+D64*C75*$G$46,2)</f>
        <v>326.06</v>
      </c>
      <c r="H85" s="136">
        <f>SUM(I85:K85)</f>
        <v>1934.54</v>
      </c>
      <c r="I85" s="122">
        <f>ROUND(+D65*C76*$I$46,2)</f>
        <v>625.88</v>
      </c>
      <c r="J85" s="122">
        <f>ROUND(+D66*C77*$J$46,2)</f>
        <v>682.78</v>
      </c>
      <c r="K85" s="122">
        <f>ROUND(+D66*C77*$K$46,2)</f>
        <v>625.88</v>
      </c>
      <c r="L85" s="125">
        <f>+SUM(C85,E85,G85,I85,J85)</f>
        <v>3565.9800000000005</v>
      </c>
      <c r="N85" s="1"/>
      <c r="O85" s="1"/>
      <c r="P85" s="1"/>
      <c r="Q85" s="1"/>
      <c r="R85" s="1"/>
    </row>
    <row r="86" spans="1:12" ht="12.75">
      <c r="A86" s="205"/>
      <c r="B86" s="96" t="str">
        <f>+$B$47</f>
        <v>Netiesioginės sąnaudos</v>
      </c>
      <c r="C86" s="121">
        <v>0</v>
      </c>
      <c r="D86" s="165">
        <f>SUM(E86,G86)</f>
        <v>0</v>
      </c>
      <c r="E86" s="122">
        <v>0</v>
      </c>
      <c r="F86" s="122"/>
      <c r="G86" s="123">
        <v>0</v>
      </c>
      <c r="H86" s="136">
        <f>SUM(I86:K86)</f>
        <v>0</v>
      </c>
      <c r="I86" s="124"/>
      <c r="J86" s="124"/>
      <c r="K86" s="131"/>
      <c r="L86" s="125">
        <f>+SUM(C86,E86,G86,I86,J86)</f>
        <v>0</v>
      </c>
    </row>
    <row r="87" spans="1:12" ht="12.75">
      <c r="A87" s="205"/>
      <c r="B87" s="96" t="str">
        <f>+$B$48</f>
        <v>Veiklos (administracinės) sąnaudos</v>
      </c>
      <c r="C87" s="121">
        <v>0</v>
      </c>
      <c r="D87" s="165">
        <f>SUM(E87,G87)</f>
        <v>0</v>
      </c>
      <c r="E87" s="122">
        <v>0</v>
      </c>
      <c r="F87" s="122"/>
      <c r="G87" s="123">
        <v>0</v>
      </c>
      <c r="H87" s="136">
        <f>SUM(I87:K87)</f>
        <v>0</v>
      </c>
      <c r="I87" s="124"/>
      <c r="J87" s="124"/>
      <c r="K87" s="131"/>
      <c r="L87" s="125">
        <f>+SUM(C87,E87,G87,I87,J87)</f>
        <v>0</v>
      </c>
    </row>
    <row r="88" spans="1:12" ht="12" customHeight="1">
      <c r="A88" s="205"/>
      <c r="B88" s="149" t="str">
        <f>+$B$49</f>
        <v>Mokesčiai</v>
      </c>
      <c r="C88" s="129">
        <v>0</v>
      </c>
      <c r="D88" s="165">
        <f>SUM(E88,G88)</f>
        <v>752.44</v>
      </c>
      <c r="E88" s="150">
        <f>ROUND(+D63*C74*$E$49,2)</f>
        <v>752.44</v>
      </c>
      <c r="F88" s="150"/>
      <c r="G88" s="150"/>
      <c r="H88" s="136">
        <f>SUM(I88:K88)</f>
        <v>455.19</v>
      </c>
      <c r="I88" s="150">
        <f>ROUND(D65*C76*$I$49,2)</f>
        <v>0</v>
      </c>
      <c r="J88" s="150">
        <f>ROUND(D66*C77*$J$49,2)</f>
        <v>455.19</v>
      </c>
      <c r="K88" s="153"/>
      <c r="L88" s="125">
        <f>+SUM(C88,E88,G88,I88,J88)</f>
        <v>1207.63</v>
      </c>
    </row>
    <row r="89" spans="1:12" ht="12" customHeight="1">
      <c r="A89" s="205"/>
      <c r="B89" s="141" t="s">
        <v>82</v>
      </c>
      <c r="C89" s="126"/>
      <c r="D89" s="165">
        <f>SUM(E89,G89)</f>
        <v>1281.5932521087161</v>
      </c>
      <c r="E89" s="122"/>
      <c r="F89" s="122"/>
      <c r="G89" s="137">
        <f>F95</f>
        <v>1281.5932521087161</v>
      </c>
      <c r="H89" s="136">
        <f>SUM(I89:K89)</f>
        <v>2978.4067478912843</v>
      </c>
      <c r="I89" s="122">
        <f>F96</f>
        <v>2978.4067478912843</v>
      </c>
      <c r="J89" s="122"/>
      <c r="K89" s="137"/>
      <c r="L89" s="125">
        <f>+SUM(C89,E89,G89,I89,J89)</f>
        <v>4260</v>
      </c>
    </row>
    <row r="90" spans="1:12" ht="12" customHeight="1" thickBot="1">
      <c r="A90" s="205"/>
      <c r="B90" s="142" t="s">
        <v>85</v>
      </c>
      <c r="C90" s="197">
        <f aca="true" t="shared" si="6" ref="C90:L90">SUM(C85:C89)</f>
        <v>1003.25</v>
      </c>
      <c r="D90" s="198">
        <f t="shared" si="6"/>
        <v>3288.1032521087163</v>
      </c>
      <c r="E90" s="199">
        <f t="shared" si="6"/>
        <v>1680.45</v>
      </c>
      <c r="F90" s="199">
        <f t="shared" si="6"/>
        <v>501.63</v>
      </c>
      <c r="G90" s="200">
        <f t="shared" si="6"/>
        <v>1607.653252108716</v>
      </c>
      <c r="H90" s="198">
        <f t="shared" si="6"/>
        <v>5368.136747891284</v>
      </c>
      <c r="I90" s="199">
        <f t="shared" si="6"/>
        <v>3604.2867478912844</v>
      </c>
      <c r="J90" s="199">
        <f t="shared" si="6"/>
        <v>1137.97</v>
      </c>
      <c r="K90" s="200">
        <f t="shared" si="6"/>
        <v>625.88</v>
      </c>
      <c r="L90" s="197">
        <f t="shared" si="6"/>
        <v>9033.61</v>
      </c>
    </row>
    <row r="91" spans="1:12" ht="12.75">
      <c r="A91" s="130"/>
      <c r="B91" s="133"/>
      <c r="C91" s="175"/>
      <c r="D91" s="175"/>
      <c r="E91" s="133"/>
      <c r="F91" s="133"/>
      <c r="G91" s="133"/>
      <c r="H91" s="175"/>
      <c r="I91" s="133"/>
      <c r="J91" s="133"/>
      <c r="K91" s="133"/>
      <c r="L91" s="133"/>
    </row>
    <row r="92" spans="1:12" ht="13.5" thickBot="1">
      <c r="A92" s="155" t="s">
        <v>87</v>
      </c>
      <c r="B92" s="155"/>
      <c r="C92" s="176"/>
      <c r="D92" s="176"/>
      <c r="E92" s="155"/>
      <c r="F92" s="155"/>
      <c r="G92" s="155"/>
      <c r="H92" s="176"/>
      <c r="I92" s="155"/>
      <c r="J92" s="155"/>
      <c r="K92" s="155"/>
      <c r="L92" s="155"/>
    </row>
    <row r="93" spans="1:18" ht="25.5">
      <c r="A93" s="160"/>
      <c r="B93" s="161"/>
      <c r="C93" s="202" t="s">
        <v>94</v>
      </c>
      <c r="D93" s="162" t="s">
        <v>95</v>
      </c>
      <c r="E93" s="162" t="s">
        <v>92</v>
      </c>
      <c r="F93" s="163" t="s">
        <v>93</v>
      </c>
      <c r="G93" s="160"/>
      <c r="H93" s="160"/>
      <c r="I93" s="160"/>
      <c r="J93" s="160"/>
      <c r="K93" s="160"/>
      <c r="L93" s="160"/>
      <c r="N93" s="1"/>
      <c r="O93" s="1"/>
      <c r="P93" s="1"/>
      <c r="Q93" s="1"/>
      <c r="R93" s="1"/>
    </row>
    <row r="94" spans="1:18" ht="12.75">
      <c r="A94" s="130"/>
      <c r="B94" s="128" t="s">
        <v>89</v>
      </c>
      <c r="C94" s="166">
        <f>SUM(C95:C96)</f>
        <v>53.349999999999994</v>
      </c>
      <c r="D94" s="168">
        <v>213</v>
      </c>
      <c r="E94" s="169"/>
      <c r="F94" s="137">
        <f>SUM(F95:F96)</f>
        <v>4260</v>
      </c>
      <c r="G94" s="133"/>
      <c r="H94" s="133"/>
      <c r="I94" s="133"/>
      <c r="J94" s="133"/>
      <c r="K94" s="133"/>
      <c r="L94" s="133"/>
      <c r="N94" s="1"/>
      <c r="O94" s="1"/>
      <c r="P94" s="1"/>
      <c r="Q94" s="1"/>
      <c r="R94" s="1"/>
    </row>
    <row r="95" spans="1:18" ht="12.75">
      <c r="A95" s="130"/>
      <c r="B95" s="128" t="s">
        <v>90</v>
      </c>
      <c r="C95" s="166">
        <v>16.05</v>
      </c>
      <c r="D95" s="122">
        <f>D94*(C95/C94)</f>
        <v>64.0796626054358</v>
      </c>
      <c r="E95" s="169">
        <v>50</v>
      </c>
      <c r="F95" s="137">
        <f>D95/E95*1000</f>
        <v>1281.5932521087161</v>
      </c>
      <c r="G95" s="133"/>
      <c r="H95" s="133"/>
      <c r="I95" s="133"/>
      <c r="J95" s="133"/>
      <c r="K95" s="133"/>
      <c r="L95" s="133"/>
      <c r="N95" s="1"/>
      <c r="O95" s="1"/>
      <c r="P95" s="1"/>
      <c r="Q95" s="1"/>
      <c r="R95" s="1"/>
    </row>
    <row r="96" spans="1:18" ht="13.5" thickBot="1">
      <c r="A96" s="130"/>
      <c r="B96" s="132" t="s">
        <v>91</v>
      </c>
      <c r="C96" s="167">
        <v>37.3</v>
      </c>
      <c r="D96" s="127">
        <f>D94*(C96/C94)</f>
        <v>148.9203373945642</v>
      </c>
      <c r="E96" s="170">
        <v>50</v>
      </c>
      <c r="F96" s="138">
        <f>D96/E96*1000</f>
        <v>2978.4067478912843</v>
      </c>
      <c r="G96" s="133"/>
      <c r="H96" s="133"/>
      <c r="I96" s="133"/>
      <c r="J96" s="133"/>
      <c r="K96" s="133"/>
      <c r="L96" s="133"/>
      <c r="N96" s="1"/>
      <c r="O96" s="1"/>
      <c r="P96" s="1"/>
      <c r="Q96" s="1"/>
      <c r="R96" s="1"/>
    </row>
    <row r="97" spans="1:18" ht="12.75">
      <c r="A97" s="130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N97" s="1"/>
      <c r="O97" s="1"/>
      <c r="P97" s="1"/>
      <c r="Q97" s="1"/>
      <c r="R97" s="1"/>
    </row>
    <row r="98" spans="1:18" ht="12.75">
      <c r="A98" s="130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N98" s="1"/>
      <c r="O98" s="1"/>
      <c r="P98" s="1"/>
      <c r="Q98" s="1"/>
      <c r="R98" s="1"/>
    </row>
    <row r="99" spans="1:18" ht="12.75">
      <c r="A99" s="130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N99" s="1"/>
      <c r="O99" s="1"/>
      <c r="P99" s="1"/>
      <c r="Q99" s="1"/>
      <c r="R99" s="1"/>
    </row>
    <row r="100" spans="1:19" s="133" customFormat="1" ht="12.75">
      <c r="A100" s="130"/>
      <c r="N100" s="1"/>
      <c r="O100" s="1"/>
      <c r="P100" s="1"/>
      <c r="Q100" s="1"/>
      <c r="R100" s="1"/>
      <c r="S100" s="1"/>
    </row>
    <row r="101" spans="1:19" s="133" customFormat="1" ht="13.5" thickBot="1">
      <c r="A101" s="273" t="s">
        <v>99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N101" s="1"/>
      <c r="O101" s="1"/>
      <c r="P101" s="1"/>
      <c r="Q101" s="1"/>
      <c r="R101" s="1"/>
      <c r="S101" s="1"/>
    </row>
    <row r="102" spans="1:19" s="133" customFormat="1" ht="14.25" thickBot="1" thickTop="1">
      <c r="A102" s="130"/>
      <c r="N102" s="1"/>
      <c r="O102" s="1"/>
      <c r="P102" s="1"/>
      <c r="Q102" s="1"/>
      <c r="R102" s="1"/>
      <c r="S102" s="1"/>
    </row>
    <row r="103" spans="1:18" ht="12.75" customHeight="1">
      <c r="A103" s="205"/>
      <c r="B103" s="274" t="s">
        <v>81</v>
      </c>
      <c r="C103" s="283" t="s">
        <v>61</v>
      </c>
      <c r="D103" s="278" t="s">
        <v>7</v>
      </c>
      <c r="E103" s="279"/>
      <c r="F103" s="279"/>
      <c r="G103" s="285"/>
      <c r="H103" s="278" t="s">
        <v>8</v>
      </c>
      <c r="I103" s="279"/>
      <c r="J103" s="279"/>
      <c r="K103" s="280"/>
      <c r="L103" s="281" t="s">
        <v>100</v>
      </c>
      <c r="N103" s="1"/>
      <c r="O103" s="1"/>
      <c r="P103" s="1"/>
      <c r="Q103" s="1"/>
      <c r="R103" s="1"/>
    </row>
    <row r="104" spans="1:18" ht="13.5" thickBot="1">
      <c r="A104" s="205"/>
      <c r="B104" s="275"/>
      <c r="C104" s="284"/>
      <c r="D104" s="7" t="s">
        <v>9</v>
      </c>
      <c r="E104" s="8" t="s">
        <v>10</v>
      </c>
      <c r="F104" s="250" t="s">
        <v>150</v>
      </c>
      <c r="G104" s="114" t="s">
        <v>12</v>
      </c>
      <c r="H104" s="7" t="s">
        <v>9</v>
      </c>
      <c r="I104" s="8" t="s">
        <v>13</v>
      </c>
      <c r="J104" s="8" t="s">
        <v>14</v>
      </c>
      <c r="K104" s="9" t="s">
        <v>15</v>
      </c>
      <c r="L104" s="282"/>
      <c r="N104" s="1"/>
      <c r="O104" s="1"/>
      <c r="P104" s="1"/>
      <c r="Q104" s="1"/>
      <c r="R104" s="1"/>
    </row>
    <row r="105" spans="1:18" ht="19.5" customHeight="1">
      <c r="A105" s="205"/>
      <c r="B105" s="179" t="s">
        <v>96</v>
      </c>
      <c r="C105" s="210">
        <f>ROUND($C$37/3.4528/$C$15,3)</f>
        <v>0.128</v>
      </c>
      <c r="D105" s="211">
        <f>ROUND($D$37/3.4528/$E$15,3)</f>
        <v>0.566</v>
      </c>
      <c r="E105" s="212">
        <f>ROUND($E$37/3.4528/$E$15,3)</f>
        <v>0.274</v>
      </c>
      <c r="F105" s="212">
        <f>ROUND($F$37/3.4528/$F$15,3)</f>
        <v>0.083</v>
      </c>
      <c r="G105" s="213">
        <f>ROUND($G$37/3.4528/$G$15,3)</f>
        <v>0.292</v>
      </c>
      <c r="H105" s="211">
        <f>ROUND($H$37/3.4528/$I$15,3)</f>
        <v>0.566</v>
      </c>
      <c r="I105" s="214">
        <f>ROUND($I$37/3.4528/$I$15,3)</f>
        <v>0.261</v>
      </c>
      <c r="J105" s="214">
        <f>ROUND($J$37/3.4528/$J$15,3)</f>
        <v>0.214</v>
      </c>
      <c r="K105" s="215">
        <f>ROUND($K$37/3.4528/$K$15,3)</f>
        <v>0.092</v>
      </c>
      <c r="L105" s="216">
        <f>C105+D105+H105</f>
        <v>1.2599999999999998</v>
      </c>
      <c r="N105" s="1"/>
      <c r="O105" s="1"/>
      <c r="P105" s="1"/>
      <c r="Q105" s="1"/>
      <c r="R105" s="1"/>
    </row>
    <row r="106" spans="1:19" s="135" customFormat="1" ht="22.5" customHeight="1" thickBot="1">
      <c r="A106" s="134"/>
      <c r="B106" s="180" t="s">
        <v>97</v>
      </c>
      <c r="C106" s="217">
        <f>ROUND(($C$37/3.4528+C90/1000)/($C$15+D74),3)</f>
        <v>0.128</v>
      </c>
      <c r="D106" s="218">
        <f>ROUND(($D$37/3.4528+D90/1000)/($C$15+D74),3)</f>
        <v>0.565</v>
      </c>
      <c r="E106" s="219">
        <f>ROUND(($E$37/3.4528+E90/1000)/($C$15+D74),3)</f>
        <v>0.274</v>
      </c>
      <c r="F106" s="219">
        <f>ROUND(($F$37/3.4528+F90/1000)/($C$15+D74),3)</f>
        <v>0.083</v>
      </c>
      <c r="G106" s="220">
        <f>ROUND(($G$37/3.4528+G90/1000)/($C$15+D75),3)</f>
        <v>0.292</v>
      </c>
      <c r="H106" s="218">
        <f>ROUND(($H$37/3.4528+H90/1000)/($I$15+D76),3)</f>
        <v>0.565</v>
      </c>
      <c r="I106" s="219">
        <f>ROUND(($I$37/3.4528+I90/1000)/($I$15+D76),3)</f>
        <v>0.26</v>
      </c>
      <c r="J106" s="219">
        <f>ROUND(($J$37/3.4528+J90/1000)/($I$15+D77),3)</f>
        <v>0.213</v>
      </c>
      <c r="K106" s="221">
        <f>ROUND(($K$37/3.4528+K90/1000)/($I$15+D77),3)</f>
        <v>0.092</v>
      </c>
      <c r="L106" s="222">
        <f>C106+D106+H106</f>
        <v>1.258</v>
      </c>
      <c r="N106" s="1"/>
      <c r="O106" s="1"/>
      <c r="P106" s="1"/>
      <c r="Q106" s="1"/>
      <c r="R106" s="1"/>
      <c r="S106" s="1"/>
    </row>
    <row r="107" spans="1:18" ht="12.75">
      <c r="A107" s="196"/>
      <c r="B107" s="160"/>
      <c r="C107" s="201"/>
      <c r="D107" s="201"/>
      <c r="E107" s="201"/>
      <c r="F107" s="201"/>
      <c r="G107" s="201"/>
      <c r="H107" s="223"/>
      <c r="I107" s="201"/>
      <c r="J107" s="201"/>
      <c r="K107" s="201"/>
      <c r="N107" s="1"/>
      <c r="O107" s="1"/>
      <c r="P107" s="1"/>
      <c r="Q107" s="1"/>
      <c r="R107" s="1"/>
    </row>
    <row r="108" spans="1:18" ht="12.75">
      <c r="A108" s="196"/>
      <c r="B108" s="160"/>
      <c r="C108" s="201"/>
      <c r="D108" s="201"/>
      <c r="E108" s="201"/>
      <c r="F108" s="201"/>
      <c r="G108" s="201"/>
      <c r="H108" s="201"/>
      <c r="I108" s="201"/>
      <c r="J108" s="201"/>
      <c r="K108" s="201"/>
      <c r="N108" s="1"/>
      <c r="O108" s="1"/>
      <c r="P108" s="1"/>
      <c r="Q108" s="1"/>
      <c r="R108" s="1"/>
    </row>
    <row r="109" spans="1:18" ht="12.75">
      <c r="A109" s="291" t="s">
        <v>170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N109" s="1"/>
      <c r="O109" s="1"/>
      <c r="P109" s="1"/>
      <c r="Q109" s="1"/>
      <c r="R109" s="1"/>
    </row>
    <row r="110" spans="1:18" ht="17.25" customHeight="1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N110" s="1"/>
      <c r="O110" s="1"/>
      <c r="P110" s="1"/>
      <c r="Q110" s="1"/>
      <c r="R110" s="1"/>
    </row>
    <row r="111" spans="14:18" ht="12.75">
      <c r="N111" s="1"/>
      <c r="O111" s="1"/>
      <c r="P111" s="1"/>
      <c r="Q111" s="1"/>
      <c r="R111" s="1"/>
    </row>
    <row r="112" spans="1:18" ht="13.5" thickBot="1">
      <c r="A112" s="152" t="s">
        <v>108</v>
      </c>
      <c r="B112" s="152"/>
      <c r="C112" s="152"/>
      <c r="D112" s="152"/>
      <c r="E112" s="152"/>
      <c r="F112" s="155"/>
      <c r="G112" s="155"/>
      <c r="H112" s="155"/>
      <c r="I112" s="155"/>
      <c r="J112" s="155"/>
      <c r="K112" s="155"/>
      <c r="L112" s="155"/>
      <c r="M112" s="133"/>
      <c r="N112" s="1"/>
      <c r="O112" s="1"/>
      <c r="P112" s="1"/>
      <c r="Q112" s="1"/>
      <c r="R112" s="1"/>
    </row>
    <row r="113" spans="4:18" ht="14.25" customHeight="1" thickBot="1" thickTop="1">
      <c r="D113" s="104"/>
      <c r="E113" s="104"/>
      <c r="N113" s="1"/>
      <c r="O113" s="1"/>
      <c r="P113" s="1"/>
      <c r="Q113" s="1"/>
      <c r="R113" s="1"/>
    </row>
    <row r="114" spans="2:18" ht="28.5" customHeight="1" thickBot="1">
      <c r="B114" s="292" t="s">
        <v>68</v>
      </c>
      <c r="C114" s="159">
        <v>2016</v>
      </c>
      <c r="D114" s="157"/>
      <c r="N114" s="1"/>
      <c r="O114" s="1"/>
      <c r="P114" s="1"/>
      <c r="Q114" s="1"/>
      <c r="R114" s="1"/>
    </row>
    <row r="115" spans="2:18" ht="15.75" customHeight="1">
      <c r="B115" s="293"/>
      <c r="C115" s="158" t="s">
        <v>69</v>
      </c>
      <c r="D115" s="156" t="s">
        <v>70</v>
      </c>
      <c r="N115" s="1"/>
      <c r="O115" s="1"/>
      <c r="P115" s="1"/>
      <c r="Q115" s="1"/>
      <c r="R115" s="1"/>
    </row>
    <row r="116" spans="2:18" ht="13.5" customHeight="1">
      <c r="B116" s="61" t="s">
        <v>71</v>
      </c>
      <c r="C116" s="105">
        <v>0</v>
      </c>
      <c r="D116" s="164">
        <v>363</v>
      </c>
      <c r="N116" s="1"/>
      <c r="O116" s="1"/>
      <c r="P116" s="1"/>
      <c r="Q116" s="1"/>
      <c r="R116" s="1"/>
    </row>
    <row r="117" spans="2:18" ht="12.75">
      <c r="B117" s="61" t="s">
        <v>72</v>
      </c>
      <c r="C117" s="105">
        <v>0</v>
      </c>
      <c r="D117" s="164">
        <v>363</v>
      </c>
      <c r="N117" s="1"/>
      <c r="O117" s="1"/>
      <c r="P117" s="1"/>
      <c r="Q117" s="1"/>
      <c r="R117" s="1"/>
    </row>
    <row r="118" spans="2:18" ht="13.5" customHeight="1">
      <c r="B118" s="61" t="s">
        <v>73</v>
      </c>
      <c r="C118" s="106">
        <v>0</v>
      </c>
      <c r="D118" s="164">
        <v>364</v>
      </c>
      <c r="N118" s="1"/>
      <c r="O118" s="1"/>
      <c r="P118" s="1"/>
      <c r="Q118" s="1"/>
      <c r="R118" s="1"/>
    </row>
    <row r="119" spans="2:18" ht="13.5" customHeight="1">
      <c r="B119" s="61" t="s">
        <v>74</v>
      </c>
      <c r="C119" s="106">
        <v>0</v>
      </c>
      <c r="D119" s="164">
        <v>364</v>
      </c>
      <c r="N119" s="1"/>
      <c r="O119" s="1"/>
      <c r="P119" s="1"/>
      <c r="Q119" s="1"/>
      <c r="R119" s="1"/>
    </row>
    <row r="120" spans="2:15" ht="13.5" customHeight="1">
      <c r="B120" s="61" t="s">
        <v>75</v>
      </c>
      <c r="C120" s="107">
        <f>+C117</f>
        <v>0</v>
      </c>
      <c r="D120" s="164">
        <v>363</v>
      </c>
      <c r="O120" s="113"/>
    </row>
    <row r="121" spans="2:15" ht="14.25" customHeight="1" thickBot="1">
      <c r="B121" s="108" t="s">
        <v>76</v>
      </c>
      <c r="C121" s="109"/>
      <c r="D121" s="110">
        <v>0</v>
      </c>
      <c r="O121" s="113"/>
    </row>
    <row r="122" ht="12.75">
      <c r="O122" s="113"/>
    </row>
    <row r="123" ht="12.75">
      <c r="O123" s="113"/>
    </row>
    <row r="124" spans="1:15" ht="13.5" thickBot="1">
      <c r="A124" s="152" t="s">
        <v>109</v>
      </c>
      <c r="B124" s="152"/>
      <c r="C124" s="152"/>
      <c r="D124" s="152"/>
      <c r="E124" s="152"/>
      <c r="F124" s="152"/>
      <c r="O124" s="113"/>
    </row>
    <row r="125" ht="14.25" thickBot="1" thickTop="1">
      <c r="O125" s="113"/>
    </row>
    <row r="126" spans="2:15" ht="38.25" customHeight="1">
      <c r="B126" s="52" t="s">
        <v>78</v>
      </c>
      <c r="C126" s="154" t="s">
        <v>79</v>
      </c>
      <c r="D126" s="294" t="s">
        <v>86</v>
      </c>
      <c r="E126" s="295"/>
      <c r="O126" s="113"/>
    </row>
    <row r="127" spans="2:15" ht="12.75">
      <c r="B127" s="61" t="s">
        <v>71</v>
      </c>
      <c r="C127" s="111">
        <f>ROUND(+$E$16*1000/($C$20+$C$21),3)</f>
        <v>76.004</v>
      </c>
      <c r="D127" s="296">
        <f>D116*C127/1000</f>
        <v>27.589452</v>
      </c>
      <c r="E127" s="297"/>
      <c r="O127" s="113"/>
    </row>
    <row r="128" spans="2:15" ht="12.75">
      <c r="B128" s="61" t="s">
        <v>72</v>
      </c>
      <c r="C128" s="111">
        <f>ROUND(+$G$16*1000/($C$20+$C$21),3)</f>
        <v>76.004</v>
      </c>
      <c r="D128" s="296">
        <f>D117*C128/1000</f>
        <v>27.589452</v>
      </c>
      <c r="E128" s="297"/>
      <c r="O128" s="113"/>
    </row>
    <row r="129" spans="2:15" ht="12.75">
      <c r="B129" s="61" t="s">
        <v>73</v>
      </c>
      <c r="C129" s="111">
        <f>ROUND(+$I$16*1000/($C$20+$C$21),3)</f>
        <v>73.134</v>
      </c>
      <c r="D129" s="296">
        <f>D118*C129/1000</f>
        <v>26.620776000000003</v>
      </c>
      <c r="E129" s="297"/>
      <c r="O129" s="113"/>
    </row>
    <row r="130" spans="2:15" ht="14.25" customHeight="1" thickBot="1">
      <c r="B130" s="108" t="s">
        <v>74</v>
      </c>
      <c r="C130" s="112">
        <f>ROUND(+$J$16*1000/($C$20+$C$21),3)</f>
        <v>73.134</v>
      </c>
      <c r="D130" s="286">
        <f>D119*C130/1000</f>
        <v>26.620776000000003</v>
      </c>
      <c r="E130" s="287"/>
      <c r="O130" s="113"/>
    </row>
    <row r="131" spans="14:18" ht="12.75">
      <c r="N131" s="1"/>
      <c r="O131" s="1"/>
      <c r="P131" s="1"/>
      <c r="Q131" s="1"/>
      <c r="R131" s="1"/>
    </row>
    <row r="132" spans="14:18" ht="12.75">
      <c r="N132" s="1"/>
      <c r="O132" s="1"/>
      <c r="P132" s="1"/>
      <c r="Q132" s="1"/>
      <c r="R132" s="1"/>
    </row>
    <row r="133" spans="1:18" ht="13.5" thickBot="1">
      <c r="A133" s="273" t="s">
        <v>110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N133" s="1"/>
      <c r="O133" s="1"/>
      <c r="P133" s="1"/>
      <c r="Q133" s="1"/>
      <c r="R133" s="1"/>
    </row>
    <row r="134" spans="1:18" ht="14.25" thickBot="1" thickTop="1">
      <c r="A134" s="1"/>
      <c r="N134" s="1"/>
      <c r="O134" s="1"/>
      <c r="P134" s="1"/>
      <c r="Q134" s="1"/>
      <c r="R134" s="1"/>
    </row>
    <row r="135" spans="1:18" ht="12.75">
      <c r="A135" s="1"/>
      <c r="B135" s="276" t="s">
        <v>88</v>
      </c>
      <c r="C135" s="276" t="s">
        <v>61</v>
      </c>
      <c r="D135" s="278" t="s">
        <v>7</v>
      </c>
      <c r="E135" s="279"/>
      <c r="F135" s="279"/>
      <c r="G135" s="280"/>
      <c r="H135" s="278" t="s">
        <v>8</v>
      </c>
      <c r="I135" s="279"/>
      <c r="J135" s="279"/>
      <c r="K135" s="280"/>
      <c r="L135" s="289" t="s">
        <v>80</v>
      </c>
      <c r="N135" s="1"/>
      <c r="O135" s="1"/>
      <c r="P135" s="1"/>
      <c r="Q135" s="1"/>
      <c r="R135" s="1"/>
    </row>
    <row r="136" spans="1:18" ht="13.5" thickBot="1">
      <c r="A136" s="1"/>
      <c r="B136" s="288"/>
      <c r="C136" s="277"/>
      <c r="D136" s="7" t="s">
        <v>9</v>
      </c>
      <c r="E136" s="8" t="s">
        <v>10</v>
      </c>
      <c r="F136" s="250" t="s">
        <v>150</v>
      </c>
      <c r="G136" s="9" t="s">
        <v>12</v>
      </c>
      <c r="H136" s="7" t="s">
        <v>9</v>
      </c>
      <c r="I136" s="8" t="s">
        <v>13</v>
      </c>
      <c r="J136" s="8" t="s">
        <v>14</v>
      </c>
      <c r="K136" s="9" t="s">
        <v>15</v>
      </c>
      <c r="L136" s="290"/>
      <c r="N136" s="1"/>
      <c r="O136" s="1"/>
      <c r="P136" s="1"/>
      <c r="Q136" s="1"/>
      <c r="R136" s="1"/>
    </row>
    <row r="137" spans="2:18" ht="12.75">
      <c r="B137" s="115">
        <v>2016</v>
      </c>
      <c r="C137" s="116"/>
      <c r="D137" s="117"/>
      <c r="E137" s="118"/>
      <c r="F137" s="118"/>
      <c r="G137" s="119"/>
      <c r="H137" s="120"/>
      <c r="I137" s="118"/>
      <c r="J137" s="118"/>
      <c r="K137" s="119"/>
      <c r="L137" s="116"/>
      <c r="N137" s="1"/>
      <c r="O137" s="1"/>
      <c r="P137" s="1"/>
      <c r="Q137" s="1"/>
      <c r="R137" s="1"/>
    </row>
    <row r="138" spans="2:18" ht="12.75">
      <c r="B138" s="96" t="s">
        <v>103</v>
      </c>
      <c r="C138" s="126">
        <f>ROUND(+$D$116*$C$127*C46,2)</f>
        <v>2207.16</v>
      </c>
      <c r="D138" s="165">
        <f>SUM(E138,G138)</f>
        <v>2758.95</v>
      </c>
      <c r="E138" s="122">
        <f>ROUND(+$D$116*$C$127*E46,2)</f>
        <v>2041.62</v>
      </c>
      <c r="F138" s="124"/>
      <c r="G138" s="123">
        <f>ROUND(+$D$117*$C$128*G46,2)</f>
        <v>717.33</v>
      </c>
      <c r="H138" s="136">
        <f>SUM(I138:K138)</f>
        <v>1808.61</v>
      </c>
      <c r="I138" s="124">
        <f>ROUND($D$118*$C$129*I46,2)</f>
        <v>585.66</v>
      </c>
      <c r="J138" s="124">
        <f>ROUND($D$119*$C$130*J46,2)</f>
        <v>638.9</v>
      </c>
      <c r="K138" s="131">
        <f>ROUND($D$120*$C$130*K46,2)</f>
        <v>584.05</v>
      </c>
      <c r="L138" s="125">
        <f>+SUM(C138,E138,G138,I138,J138)</f>
        <v>6190.669999999999</v>
      </c>
      <c r="N138" s="1"/>
      <c r="O138" s="1"/>
      <c r="P138" s="1"/>
      <c r="Q138" s="1"/>
      <c r="R138" s="1"/>
    </row>
    <row r="139" spans="2:12" ht="12.75">
      <c r="B139" s="96" t="str">
        <f>+$B$47</f>
        <v>Netiesioginės sąnaudos</v>
      </c>
      <c r="C139" s="121">
        <v>0</v>
      </c>
      <c r="D139" s="165">
        <f>SUM(E139,G139)</f>
        <v>0</v>
      </c>
      <c r="E139" s="122">
        <v>0</v>
      </c>
      <c r="F139" s="122"/>
      <c r="G139" s="123">
        <v>0</v>
      </c>
      <c r="H139" s="136">
        <f>SUM(I139:K139)</f>
        <v>0</v>
      </c>
      <c r="I139" s="124"/>
      <c r="J139" s="124"/>
      <c r="K139" s="131"/>
      <c r="L139" s="125">
        <f>+SUM(C139,E139,G139,I139,J139)</f>
        <v>0</v>
      </c>
    </row>
    <row r="140" spans="2:12" ht="12.75">
      <c r="B140" s="96" t="str">
        <f>+$B$48</f>
        <v>Veiklos (administracinės) sąnaudos</v>
      </c>
      <c r="C140" s="121">
        <v>0</v>
      </c>
      <c r="D140" s="165">
        <f>SUM(E140,G140)</f>
        <v>0</v>
      </c>
      <c r="E140" s="122">
        <v>0</v>
      </c>
      <c r="F140" s="122"/>
      <c r="G140" s="123">
        <v>0</v>
      </c>
      <c r="H140" s="136">
        <f>SUM(I140:K140)</f>
        <v>0</v>
      </c>
      <c r="I140" s="124"/>
      <c r="J140" s="124"/>
      <c r="K140" s="131"/>
      <c r="L140" s="125">
        <f>+SUM(C140,E140,G140,I140,J140)</f>
        <v>0</v>
      </c>
    </row>
    <row r="141" spans="2:12" ht="12" customHeight="1">
      <c r="B141" s="149" t="str">
        <f>+$B$49</f>
        <v>Mokesčiai</v>
      </c>
      <c r="C141" s="129">
        <v>0</v>
      </c>
      <c r="D141" s="165">
        <f>SUM(E141,G141)</f>
        <v>1738.1399999999999</v>
      </c>
      <c r="E141" s="150">
        <f>ROUND(+$D$116*$C$127*E49,2)</f>
        <v>1655.37</v>
      </c>
      <c r="F141" s="150"/>
      <c r="G141" s="151">
        <f>ROUND(+$D$117*$C$128*G49,2)</f>
        <v>82.77</v>
      </c>
      <c r="H141" s="136">
        <f>SUM(I141:K141)</f>
        <v>425.93</v>
      </c>
      <c r="I141" s="150">
        <f>ROUND($D$118*$C$129*I49,2)</f>
        <v>0</v>
      </c>
      <c r="J141" s="150">
        <f>ROUND($D$119*$C$130*J49,2)</f>
        <v>425.93</v>
      </c>
      <c r="K141" s="153"/>
      <c r="L141" s="125">
        <f>+SUM(C141,E141,G141,I141,J141)</f>
        <v>2164.0699999999997</v>
      </c>
    </row>
    <row r="142" spans="1:12" ht="12" customHeight="1">
      <c r="A142" s="4"/>
      <c r="B142" s="141" t="s">
        <v>82</v>
      </c>
      <c r="C142" s="126"/>
      <c r="D142" s="165">
        <f>SUM(E142,G142)</f>
        <v>14500.76284115952</v>
      </c>
      <c r="E142" s="122"/>
      <c r="F142" s="122"/>
      <c r="G142" s="137">
        <f>F148</f>
        <v>14500.76284115952</v>
      </c>
      <c r="H142" s="136">
        <f>SUM(I142:K142)</f>
        <v>13499.23715884048</v>
      </c>
      <c r="I142" s="122">
        <f>F149</f>
        <v>13499.23715884048</v>
      </c>
      <c r="J142" s="122"/>
      <c r="K142" s="137"/>
      <c r="L142" s="125">
        <f>+SUM(C142,E142,G142,I142,J142)</f>
        <v>28000</v>
      </c>
    </row>
    <row r="143" spans="1:12" ht="12" customHeight="1" thickBot="1">
      <c r="A143" s="4"/>
      <c r="B143" s="142" t="s">
        <v>85</v>
      </c>
      <c r="C143" s="197">
        <f aca="true" t="shared" si="7" ref="C143:L143">SUM(C138:C142)</f>
        <v>2207.16</v>
      </c>
      <c r="D143" s="198">
        <f t="shared" si="7"/>
        <v>18997.852841159518</v>
      </c>
      <c r="E143" s="199">
        <f t="shared" si="7"/>
        <v>3696.99</v>
      </c>
      <c r="F143" s="199">
        <f t="shared" si="7"/>
        <v>0</v>
      </c>
      <c r="G143" s="200">
        <f t="shared" si="7"/>
        <v>15300.86284115952</v>
      </c>
      <c r="H143" s="198">
        <f t="shared" si="7"/>
        <v>15733.77715884048</v>
      </c>
      <c r="I143" s="199">
        <f t="shared" si="7"/>
        <v>14084.89715884048</v>
      </c>
      <c r="J143" s="199">
        <f t="shared" si="7"/>
        <v>1064.83</v>
      </c>
      <c r="K143" s="200">
        <f t="shared" si="7"/>
        <v>584.05</v>
      </c>
      <c r="L143" s="197">
        <f t="shared" si="7"/>
        <v>36354.74</v>
      </c>
    </row>
    <row r="144" spans="1:12" ht="12.75">
      <c r="A144" s="130"/>
      <c r="B144" s="133"/>
      <c r="C144" s="175"/>
      <c r="D144" s="175"/>
      <c r="E144" s="133"/>
      <c r="F144" s="133"/>
      <c r="G144" s="133"/>
      <c r="H144" s="175"/>
      <c r="I144" s="133"/>
      <c r="J144" s="133"/>
      <c r="K144" s="133"/>
      <c r="L144" s="133"/>
    </row>
    <row r="145" spans="1:12" ht="13.5" thickBot="1">
      <c r="A145" s="155" t="s">
        <v>111</v>
      </c>
      <c r="B145" s="155"/>
      <c r="C145" s="176"/>
      <c r="D145" s="176"/>
      <c r="E145" s="155"/>
      <c r="F145" s="155"/>
      <c r="G145" s="155"/>
      <c r="H145" s="176"/>
      <c r="I145" s="155"/>
      <c r="J145" s="155"/>
      <c r="K145" s="155"/>
      <c r="L145" s="155"/>
    </row>
    <row r="146" spans="1:12" ht="25.5">
      <c r="A146" s="160"/>
      <c r="B146" s="161"/>
      <c r="C146" s="5" t="s">
        <v>94</v>
      </c>
      <c r="D146" s="162" t="s">
        <v>95</v>
      </c>
      <c r="E146" s="162" t="s">
        <v>92</v>
      </c>
      <c r="F146" s="163" t="s">
        <v>93</v>
      </c>
      <c r="G146" s="160"/>
      <c r="H146" s="160"/>
      <c r="I146" s="160"/>
      <c r="J146" s="160"/>
      <c r="K146" s="160"/>
      <c r="L146" s="160"/>
    </row>
    <row r="147" spans="1:12" ht="12.75">
      <c r="A147" s="130"/>
      <c r="B147" s="128" t="s">
        <v>89</v>
      </c>
      <c r="C147" s="166">
        <f>SUM(C148:C149)</f>
        <v>23.596</v>
      </c>
      <c r="D147" s="168">
        <v>1400</v>
      </c>
      <c r="E147" s="169"/>
      <c r="F147" s="137">
        <f>SUM(F148:F149)</f>
        <v>28000</v>
      </c>
      <c r="G147" s="133"/>
      <c r="H147" s="133"/>
      <c r="I147" s="133"/>
      <c r="J147" s="133"/>
      <c r="K147" s="133"/>
      <c r="L147" s="133"/>
    </row>
    <row r="148" spans="1:12" ht="12.75">
      <c r="A148" s="130"/>
      <c r="B148" s="128" t="s">
        <v>90</v>
      </c>
      <c r="C148" s="166">
        <v>12.22</v>
      </c>
      <c r="D148" s="122">
        <f>$D$147*(C148/$C$147)</f>
        <v>725.038142057976</v>
      </c>
      <c r="E148" s="169">
        <v>50</v>
      </c>
      <c r="F148" s="137">
        <f>D148/E148*1000</f>
        <v>14500.76284115952</v>
      </c>
      <c r="G148" s="133"/>
      <c r="H148" s="133"/>
      <c r="I148" s="133"/>
      <c r="J148" s="133"/>
      <c r="K148" s="133"/>
      <c r="L148" s="133"/>
    </row>
    <row r="149" spans="1:12" ht="13.5" thickBot="1">
      <c r="A149" s="130"/>
      <c r="B149" s="132" t="s">
        <v>91</v>
      </c>
      <c r="C149" s="167">
        <v>11.376</v>
      </c>
      <c r="D149" s="127">
        <f>$D$147*(C149/$C$147)</f>
        <v>674.961857942024</v>
      </c>
      <c r="E149" s="170">
        <v>50</v>
      </c>
      <c r="F149" s="138">
        <f>D149/E149*1000</f>
        <v>13499.23715884048</v>
      </c>
      <c r="G149" s="133"/>
      <c r="H149" s="133"/>
      <c r="I149" s="133"/>
      <c r="J149" s="133"/>
      <c r="K149" s="133"/>
      <c r="L149" s="133"/>
    </row>
    <row r="150" spans="1:12" ht="12.75">
      <c r="A150" s="130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</row>
    <row r="151" spans="1:19" s="133" customFormat="1" ht="12.75">
      <c r="A151" s="130"/>
      <c r="N151" s="1"/>
      <c r="O151" s="1"/>
      <c r="P151" s="1"/>
      <c r="Q151" s="1"/>
      <c r="R151" s="1"/>
      <c r="S151" s="1"/>
    </row>
    <row r="152" spans="1:19" s="133" customFormat="1" ht="13.5" thickBot="1">
      <c r="A152" s="273" t="s">
        <v>112</v>
      </c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N152" s="1"/>
      <c r="O152" s="1"/>
      <c r="P152" s="1"/>
      <c r="Q152" s="1"/>
      <c r="R152" s="1"/>
      <c r="S152" s="1"/>
    </row>
    <row r="153" spans="1:19" s="133" customFormat="1" ht="14.25" thickBot="1" thickTop="1">
      <c r="A153" s="130"/>
      <c r="N153" s="1"/>
      <c r="O153" s="1"/>
      <c r="P153" s="1"/>
      <c r="Q153" s="1"/>
      <c r="R153" s="1"/>
      <c r="S153" s="1"/>
    </row>
    <row r="154" spans="2:18" ht="12.75" customHeight="1">
      <c r="B154" s="274" t="s">
        <v>81</v>
      </c>
      <c r="C154" s="283" t="s">
        <v>61</v>
      </c>
      <c r="D154" s="278" t="s">
        <v>7</v>
      </c>
      <c r="E154" s="279"/>
      <c r="F154" s="279"/>
      <c r="G154" s="285"/>
      <c r="H154" s="278" t="s">
        <v>8</v>
      </c>
      <c r="I154" s="279"/>
      <c r="J154" s="279"/>
      <c r="K154" s="280"/>
      <c r="L154" s="281" t="s">
        <v>100</v>
      </c>
      <c r="N154" s="1"/>
      <c r="O154" s="1"/>
      <c r="P154" s="1"/>
      <c r="Q154" s="1"/>
      <c r="R154" s="1"/>
    </row>
    <row r="155" spans="2:18" ht="13.5" thickBot="1">
      <c r="B155" s="275"/>
      <c r="C155" s="284"/>
      <c r="D155" s="7" t="s">
        <v>9</v>
      </c>
      <c r="E155" s="8" t="s">
        <v>10</v>
      </c>
      <c r="F155" s="250" t="s">
        <v>150</v>
      </c>
      <c r="G155" s="114" t="s">
        <v>12</v>
      </c>
      <c r="H155" s="7" t="s">
        <v>9</v>
      </c>
      <c r="I155" s="8" t="s">
        <v>13</v>
      </c>
      <c r="J155" s="8" t="s">
        <v>14</v>
      </c>
      <c r="K155" s="9" t="s">
        <v>15</v>
      </c>
      <c r="L155" s="282"/>
      <c r="N155" s="1"/>
      <c r="O155" s="1"/>
      <c r="P155" s="1"/>
      <c r="Q155" s="1"/>
      <c r="R155" s="1"/>
    </row>
    <row r="156" spans="2:18" ht="19.5" customHeight="1">
      <c r="B156" s="179" t="s">
        <v>96</v>
      </c>
      <c r="C156" s="210">
        <f>ROUND(C37/3.4528/C15,3)</f>
        <v>0.128</v>
      </c>
      <c r="D156" s="211">
        <f>ROUND(D37/3.452/E15,3)</f>
        <v>0.566</v>
      </c>
      <c r="E156" s="212">
        <f>ROUND(E37/3.452/E15,3)</f>
        <v>0.274</v>
      </c>
      <c r="F156" s="212">
        <f>ROUND(F37/3.452/F15,3)</f>
        <v>0.083</v>
      </c>
      <c r="G156" s="213">
        <f>ROUND(G37/3.452/G15,3)</f>
        <v>0.292</v>
      </c>
      <c r="H156" s="211">
        <f>H37/3.4528/I15</f>
        <v>0.5660371876757341</v>
      </c>
      <c r="I156" s="214">
        <f>I37/3.4528/I15</f>
        <v>0.26056683244003803</v>
      </c>
      <c r="J156" s="214">
        <f>J37/3.4528/J15</f>
        <v>0.21367297773977584</v>
      </c>
      <c r="K156" s="215">
        <f>K37/3.4528/K15</f>
        <v>0.09179737749592026</v>
      </c>
      <c r="L156" s="216">
        <f>C156+D156+H156</f>
        <v>1.2600371876757341</v>
      </c>
      <c r="N156" s="1"/>
      <c r="O156" s="1"/>
      <c r="P156" s="1"/>
      <c r="Q156" s="1"/>
      <c r="R156" s="1"/>
    </row>
    <row r="157" spans="1:19" s="135" customFormat="1" ht="22.5" customHeight="1" thickBot="1">
      <c r="A157" s="134"/>
      <c r="B157" s="180" t="s">
        <v>97</v>
      </c>
      <c r="C157" s="217">
        <f>ROUND((C37/3.4528+C143/1000)/($C$15+$D$127),3)</f>
        <v>0.128</v>
      </c>
      <c r="D157" s="218">
        <f>ROUND((D37/3.4528+D143/1000)/($C$15+$D$127),3)</f>
        <v>0.566</v>
      </c>
      <c r="E157" s="219">
        <f>ROUND((E37/3.4528+E143/1000)/($C$15+$D$127),3)</f>
        <v>0.274</v>
      </c>
      <c r="F157" s="219">
        <f>ROUND((F37/3.4528+F143/1000)/($C$15+$D$127),3)</f>
        <v>0.083</v>
      </c>
      <c r="G157" s="220">
        <f>ROUND((G37/3.4528+G143/1000)/($C$15+$D$127),3)</f>
        <v>0.293</v>
      </c>
      <c r="H157" s="218">
        <f>ROUND((H37/3.4528+H143/1000)/($I$15+$D$129),3)</f>
        <v>0.566</v>
      </c>
      <c r="I157" s="219">
        <f>ROUND((I37/3.4528+I143/1000)/($I$15+$D$129),3)</f>
        <v>0.261</v>
      </c>
      <c r="J157" s="219">
        <f>ROUND((J37/3.4528+J143/1000)/($I$15+$D$129),3)</f>
        <v>0.213</v>
      </c>
      <c r="K157" s="221">
        <f>ROUND((K37/3.4528+K143/1000)/($I$15+$D$129),3)</f>
        <v>0.092</v>
      </c>
      <c r="L157" s="222">
        <f>C157+D157+H157</f>
        <v>1.2599999999999998</v>
      </c>
      <c r="N157" s="1"/>
      <c r="O157" s="1"/>
      <c r="P157" s="1"/>
      <c r="Q157" s="1"/>
      <c r="R157" s="1"/>
      <c r="S157" s="1"/>
    </row>
    <row r="158" spans="14:18" ht="12.75">
      <c r="N158" s="1"/>
      <c r="O158" s="1"/>
      <c r="P158" s="1"/>
      <c r="Q158" s="1"/>
      <c r="R158" s="1"/>
    </row>
    <row r="159" spans="14:18" ht="12.75">
      <c r="N159" s="1"/>
      <c r="O159" s="1"/>
      <c r="P159" s="1"/>
      <c r="Q159" s="1"/>
      <c r="R159" s="1"/>
    </row>
    <row r="160" spans="2:18" ht="12.75">
      <c r="B160" s="291" t="s">
        <v>171</v>
      </c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N160" s="1"/>
      <c r="O160" s="1"/>
      <c r="P160" s="1"/>
      <c r="Q160" s="1"/>
      <c r="R160" s="1"/>
    </row>
    <row r="161" spans="2:18" ht="12.75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N161" s="1"/>
      <c r="O161" s="1"/>
      <c r="P161" s="1"/>
      <c r="Q161" s="1"/>
      <c r="R161" s="1"/>
    </row>
    <row r="162" spans="14:18" ht="12.75">
      <c r="N162" s="1"/>
      <c r="O162" s="1"/>
      <c r="P162" s="1"/>
      <c r="Q162" s="1"/>
      <c r="R162" s="1"/>
    </row>
    <row r="163" spans="1:18" ht="13.5" thickBot="1">
      <c r="A163" s="152" t="s">
        <v>118</v>
      </c>
      <c r="B163" s="152"/>
      <c r="C163" s="152"/>
      <c r="D163" s="152"/>
      <c r="E163" s="152"/>
      <c r="F163" s="155"/>
      <c r="G163" s="155"/>
      <c r="H163" s="155"/>
      <c r="I163" s="155"/>
      <c r="J163" s="155"/>
      <c r="K163" s="155"/>
      <c r="L163" s="155"/>
      <c r="M163" s="133"/>
      <c r="N163" s="1"/>
      <c r="O163" s="1"/>
      <c r="P163" s="1"/>
      <c r="Q163" s="1"/>
      <c r="R163" s="1"/>
    </row>
    <row r="164" spans="1:18" ht="14.25" customHeight="1" thickBot="1" thickTop="1">
      <c r="A164" s="205"/>
      <c r="D164" s="104"/>
      <c r="E164" s="104"/>
      <c r="N164" s="1"/>
      <c r="O164" s="1"/>
      <c r="P164" s="1"/>
      <c r="Q164" s="1"/>
      <c r="R164" s="1"/>
    </row>
    <row r="165" spans="1:18" ht="28.5" customHeight="1" thickBot="1">
      <c r="A165" s="205"/>
      <c r="B165" s="292" t="s">
        <v>68</v>
      </c>
      <c r="C165" s="159">
        <v>2016</v>
      </c>
      <c r="D165" s="157"/>
      <c r="N165" s="1"/>
      <c r="O165" s="1"/>
      <c r="P165" s="1"/>
      <c r="Q165" s="1"/>
      <c r="R165" s="1"/>
    </row>
    <row r="166" spans="1:18" ht="15.75" customHeight="1">
      <c r="A166" s="205"/>
      <c r="B166" s="293"/>
      <c r="C166" s="158" t="s">
        <v>69</v>
      </c>
      <c r="D166" s="156" t="s">
        <v>70</v>
      </c>
      <c r="N166" s="1"/>
      <c r="O166" s="1"/>
      <c r="P166" s="1"/>
      <c r="Q166" s="1"/>
      <c r="R166" s="1"/>
    </row>
    <row r="167" spans="1:18" ht="13.5" customHeight="1">
      <c r="A167" s="205"/>
      <c r="B167" s="61" t="s">
        <v>71</v>
      </c>
      <c r="C167" s="105">
        <v>0</v>
      </c>
      <c r="D167" s="164">
        <v>102</v>
      </c>
      <c r="N167" s="1"/>
      <c r="O167" s="1"/>
      <c r="P167" s="1"/>
      <c r="Q167" s="1"/>
      <c r="R167" s="1"/>
    </row>
    <row r="168" spans="1:18" ht="12.75">
      <c r="A168" s="205"/>
      <c r="B168" s="61" t="s">
        <v>72</v>
      </c>
      <c r="C168" s="105">
        <v>0</v>
      </c>
      <c r="D168" s="164">
        <v>102</v>
      </c>
      <c r="N168" s="1"/>
      <c r="O168" s="1"/>
      <c r="P168" s="1"/>
      <c r="Q168" s="1"/>
      <c r="R168" s="1"/>
    </row>
    <row r="169" spans="1:18" ht="13.5" customHeight="1">
      <c r="A169" s="205"/>
      <c r="B169" s="61" t="s">
        <v>73</v>
      </c>
      <c r="C169" s="106">
        <v>0</v>
      </c>
      <c r="D169" s="164">
        <v>102</v>
      </c>
      <c r="N169" s="1"/>
      <c r="O169" s="1"/>
      <c r="P169" s="1"/>
      <c r="Q169" s="1"/>
      <c r="R169" s="1"/>
    </row>
    <row r="170" spans="1:18" ht="13.5" customHeight="1">
      <c r="A170" s="205"/>
      <c r="B170" s="61" t="s">
        <v>74</v>
      </c>
      <c r="C170" s="106">
        <v>0</v>
      </c>
      <c r="D170" s="164">
        <v>102</v>
      </c>
      <c r="N170" s="1"/>
      <c r="O170" s="1"/>
      <c r="P170" s="1"/>
      <c r="Q170" s="1"/>
      <c r="R170" s="1"/>
    </row>
    <row r="171" spans="1:15" ht="13.5" customHeight="1">
      <c r="A171" s="205"/>
      <c r="B171" s="61" t="s">
        <v>75</v>
      </c>
      <c r="C171" s="107">
        <f>+C168</f>
        <v>0</v>
      </c>
      <c r="D171" s="164">
        <v>102</v>
      </c>
      <c r="O171" s="113"/>
    </row>
    <row r="172" spans="1:15" ht="14.25" customHeight="1" thickBot="1">
      <c r="A172" s="205"/>
      <c r="B172" s="204" t="s">
        <v>76</v>
      </c>
      <c r="C172" s="109"/>
      <c r="D172" s="110">
        <v>0</v>
      </c>
      <c r="O172" s="113"/>
    </row>
    <row r="173" spans="1:15" ht="12.75">
      <c r="A173" s="205"/>
      <c r="O173" s="113"/>
    </row>
    <row r="174" spans="1:15" ht="13.5" thickBot="1">
      <c r="A174" s="152" t="s">
        <v>119</v>
      </c>
      <c r="B174" s="152"/>
      <c r="C174" s="152"/>
      <c r="D174" s="152"/>
      <c r="E174" s="152"/>
      <c r="F174" s="152"/>
      <c r="O174" s="113"/>
    </row>
    <row r="175" spans="1:15" ht="14.25" thickBot="1" thickTop="1">
      <c r="A175" s="205"/>
      <c r="O175" s="113"/>
    </row>
    <row r="176" spans="1:15" ht="38.25" customHeight="1">
      <c r="A176" s="205"/>
      <c r="B176" s="203" t="s">
        <v>78</v>
      </c>
      <c r="C176" s="154" t="s">
        <v>79</v>
      </c>
      <c r="D176" s="294" t="s">
        <v>86</v>
      </c>
      <c r="E176" s="295"/>
      <c r="O176" s="113"/>
    </row>
    <row r="177" spans="1:15" ht="12.75">
      <c r="A177" s="205"/>
      <c r="B177" s="61" t="s">
        <v>71</v>
      </c>
      <c r="C177" s="111">
        <f>ROUND(+$E$16*1000/($C$20+$C$21),3)</f>
        <v>76.004</v>
      </c>
      <c r="D177" s="296">
        <f>D167*C177/1000</f>
        <v>7.752408</v>
      </c>
      <c r="E177" s="297"/>
      <c r="O177" s="113"/>
    </row>
    <row r="178" spans="1:15" ht="12.75">
      <c r="A178" s="205"/>
      <c r="B178" s="61" t="s">
        <v>72</v>
      </c>
      <c r="C178" s="111">
        <f>ROUND(+$G$16*1000/($C$20+$C$21),3)</f>
        <v>76.004</v>
      </c>
      <c r="D178" s="296">
        <f>D168*C178/1000</f>
        <v>7.752408</v>
      </c>
      <c r="E178" s="297"/>
      <c r="O178" s="113"/>
    </row>
    <row r="179" spans="1:15" ht="12.75">
      <c r="A179" s="205"/>
      <c r="B179" s="61" t="s">
        <v>73</v>
      </c>
      <c r="C179" s="111">
        <f>ROUND(+$I$16*1000/($C$20+$C$21),3)</f>
        <v>73.134</v>
      </c>
      <c r="D179" s="296">
        <f>D169*C179/1000</f>
        <v>7.459668</v>
      </c>
      <c r="E179" s="297"/>
      <c r="O179" s="113"/>
    </row>
    <row r="180" spans="1:15" ht="14.25" customHeight="1" thickBot="1">
      <c r="A180" s="205"/>
      <c r="B180" s="204" t="s">
        <v>74</v>
      </c>
      <c r="C180" s="112">
        <f>ROUND(+$J$16*1000/($C$20+$C$21),3)</f>
        <v>73.134</v>
      </c>
      <c r="D180" s="286">
        <f>D170*C180/1000</f>
        <v>7.459668</v>
      </c>
      <c r="E180" s="287"/>
      <c r="O180" s="113"/>
    </row>
    <row r="181" spans="1:18" ht="12.75">
      <c r="A181" s="205"/>
      <c r="N181" s="1"/>
      <c r="O181" s="1"/>
      <c r="P181" s="1"/>
      <c r="Q181" s="1"/>
      <c r="R181" s="1"/>
    </row>
    <row r="182" spans="1:18" ht="13.5" thickBot="1">
      <c r="A182" s="273" t="s">
        <v>120</v>
      </c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N182" s="1"/>
      <c r="O182" s="1"/>
      <c r="P182" s="1"/>
      <c r="Q182" s="1"/>
      <c r="R182" s="1"/>
    </row>
    <row r="183" spans="1:18" ht="14.25" thickBot="1" thickTop="1">
      <c r="A183" s="1"/>
      <c r="N183" s="1"/>
      <c r="O183" s="1"/>
      <c r="P183" s="1"/>
      <c r="Q183" s="1"/>
      <c r="R183" s="1"/>
    </row>
    <row r="184" spans="1:18" ht="12.75">
      <c r="A184" s="1"/>
      <c r="B184" s="276" t="s">
        <v>88</v>
      </c>
      <c r="C184" s="276" t="s">
        <v>61</v>
      </c>
      <c r="D184" s="278" t="s">
        <v>7</v>
      </c>
      <c r="E184" s="279"/>
      <c r="F184" s="279"/>
      <c r="G184" s="280"/>
      <c r="H184" s="278" t="s">
        <v>8</v>
      </c>
      <c r="I184" s="279"/>
      <c r="J184" s="279"/>
      <c r="K184" s="280"/>
      <c r="L184" s="289" t="s">
        <v>80</v>
      </c>
      <c r="N184" s="1"/>
      <c r="O184" s="1"/>
      <c r="P184" s="1"/>
      <c r="Q184" s="1"/>
      <c r="R184" s="1"/>
    </row>
    <row r="185" spans="1:18" ht="13.5" thickBot="1">
      <c r="A185" s="1"/>
      <c r="B185" s="288"/>
      <c r="C185" s="277"/>
      <c r="D185" s="7" t="s">
        <v>9</v>
      </c>
      <c r="E185" s="8" t="s">
        <v>10</v>
      </c>
      <c r="F185" s="250" t="s">
        <v>150</v>
      </c>
      <c r="G185" s="9" t="s">
        <v>12</v>
      </c>
      <c r="H185" s="7" t="s">
        <v>9</v>
      </c>
      <c r="I185" s="8" t="s">
        <v>13</v>
      </c>
      <c r="J185" s="8" t="s">
        <v>14</v>
      </c>
      <c r="K185" s="9" t="s">
        <v>15</v>
      </c>
      <c r="L185" s="290"/>
      <c r="N185" s="1"/>
      <c r="O185" s="1"/>
      <c r="P185" s="1"/>
      <c r="Q185" s="1"/>
      <c r="R185" s="1"/>
    </row>
    <row r="186" spans="1:18" ht="12.75">
      <c r="A186" s="205"/>
      <c r="B186" s="115">
        <v>2016</v>
      </c>
      <c r="C186" s="116"/>
      <c r="D186" s="117"/>
      <c r="E186" s="118"/>
      <c r="F186" s="118"/>
      <c r="G186" s="119"/>
      <c r="H186" s="120"/>
      <c r="I186" s="118"/>
      <c r="J186" s="118"/>
      <c r="K186" s="119"/>
      <c r="L186" s="116"/>
      <c r="N186" s="1"/>
      <c r="O186" s="1"/>
      <c r="P186" s="1"/>
      <c r="Q186" s="1"/>
      <c r="R186" s="1"/>
    </row>
    <row r="187" spans="1:18" ht="12.75">
      <c r="A187" s="205"/>
      <c r="B187" s="96" t="s">
        <v>103</v>
      </c>
      <c r="C187" s="126">
        <f>ROUND(+D171*C177*$C$46,2)</f>
        <v>620.19</v>
      </c>
      <c r="D187" s="165">
        <f>SUM(E187,G187)</f>
        <v>775.24</v>
      </c>
      <c r="E187" s="122">
        <f>ROUND(+D167*C177*$E$46,2)</f>
        <v>573.68</v>
      </c>
      <c r="F187" s="122">
        <f>ROUND(+D167*C177*$F$46,2)</f>
        <v>310.1</v>
      </c>
      <c r="G187" s="122">
        <f>ROUND(+D168*C178*$G$46,2)</f>
        <v>201.56</v>
      </c>
      <c r="H187" s="136">
        <f>SUM(I187:K187)</f>
        <v>507.25</v>
      </c>
      <c r="I187" s="122">
        <f>ROUND(+D169*C179*$I$46,2)</f>
        <v>164.11</v>
      </c>
      <c r="J187" s="122">
        <f>ROUND(+D170*C180*$J$46,2)</f>
        <v>179.03</v>
      </c>
      <c r="K187" s="122">
        <f>ROUND(+D170*C180*$K$46,2)</f>
        <v>164.11</v>
      </c>
      <c r="L187" s="125">
        <f>+SUM(C187,E187,G187,I187,J187)</f>
        <v>1738.57</v>
      </c>
      <c r="N187" s="1"/>
      <c r="O187" s="1"/>
      <c r="P187" s="1"/>
      <c r="Q187" s="1"/>
      <c r="R187" s="1"/>
    </row>
    <row r="188" spans="1:12" ht="12.75">
      <c r="A188" s="205"/>
      <c r="B188" s="96" t="str">
        <f>+$B$47</f>
        <v>Netiesioginės sąnaudos</v>
      </c>
      <c r="C188" s="121">
        <v>0</v>
      </c>
      <c r="D188" s="165">
        <f>SUM(E188,G188)</f>
        <v>0</v>
      </c>
      <c r="E188" s="122">
        <v>0</v>
      </c>
      <c r="F188" s="122"/>
      <c r="G188" s="123">
        <v>0</v>
      </c>
      <c r="H188" s="136">
        <f>SUM(I188:K188)</f>
        <v>0</v>
      </c>
      <c r="I188" s="124"/>
      <c r="J188" s="124"/>
      <c r="K188" s="131"/>
      <c r="L188" s="125">
        <f>+SUM(C188,E188,G188,I188,J188)</f>
        <v>0</v>
      </c>
    </row>
    <row r="189" spans="1:12" ht="12.75">
      <c r="A189" s="205"/>
      <c r="B189" s="96" t="str">
        <f>+$B$48</f>
        <v>Veiklos (administracinės) sąnaudos</v>
      </c>
      <c r="C189" s="121">
        <v>0</v>
      </c>
      <c r="D189" s="165">
        <f>SUM(E189,G189)</f>
        <v>0</v>
      </c>
      <c r="E189" s="122">
        <v>0</v>
      </c>
      <c r="F189" s="122"/>
      <c r="G189" s="123">
        <v>0</v>
      </c>
      <c r="H189" s="136">
        <f>SUM(I189:K189)</f>
        <v>0</v>
      </c>
      <c r="I189" s="124"/>
      <c r="J189" s="124"/>
      <c r="K189" s="131"/>
      <c r="L189" s="125">
        <f>+SUM(C189,E189,G189,I189,J189)</f>
        <v>0</v>
      </c>
    </row>
    <row r="190" spans="1:12" ht="12" customHeight="1">
      <c r="A190" s="205"/>
      <c r="B190" s="149" t="str">
        <f>+$B$49</f>
        <v>Mokesčiai</v>
      </c>
      <c r="C190" s="129">
        <v>0</v>
      </c>
      <c r="D190" s="165">
        <f>SUM(E190,G190)</f>
        <v>465.14</v>
      </c>
      <c r="E190" s="150">
        <f>ROUND(+D167*C177*$E$49,2)</f>
        <v>465.14</v>
      </c>
      <c r="F190" s="150"/>
      <c r="G190" s="150"/>
      <c r="H190" s="136">
        <f>SUM(I190:K190)</f>
        <v>119.35</v>
      </c>
      <c r="I190" s="150">
        <f>ROUND(D169*C179*$I$49,2)</f>
        <v>0</v>
      </c>
      <c r="J190" s="150">
        <f>ROUND(D170*C180*$J$49,2)</f>
        <v>119.35</v>
      </c>
      <c r="K190" s="153"/>
      <c r="L190" s="125">
        <f>+SUM(C190,E190,G190,I190,J190)</f>
        <v>584.49</v>
      </c>
    </row>
    <row r="191" spans="1:12" ht="12" customHeight="1">
      <c r="A191" s="205"/>
      <c r="B191" s="141" t="s">
        <v>82</v>
      </c>
      <c r="C191" s="126"/>
      <c r="D191" s="165">
        <f>SUM(E191,G191)</f>
        <v>16627.85306122449</v>
      </c>
      <c r="E191" s="122"/>
      <c r="F191" s="122"/>
      <c r="G191" s="137">
        <f>F197</f>
        <v>16627.85306122449</v>
      </c>
      <c r="H191" s="136">
        <f>SUM(I191:K191)</f>
        <v>25112.14693877551</v>
      </c>
      <c r="I191" s="122">
        <f>F198</f>
        <v>25112.14693877551</v>
      </c>
      <c r="J191" s="122"/>
      <c r="K191" s="137"/>
      <c r="L191" s="125">
        <f>+SUM(C191,E191,G191,I191,J191)</f>
        <v>41740</v>
      </c>
    </row>
    <row r="192" spans="1:12" ht="12" customHeight="1" thickBot="1">
      <c r="A192" s="205"/>
      <c r="B192" s="142" t="s">
        <v>85</v>
      </c>
      <c r="C192" s="197">
        <f aca="true" t="shared" si="8" ref="C192:L192">SUM(C187:C191)</f>
        <v>620.19</v>
      </c>
      <c r="D192" s="198">
        <f t="shared" si="8"/>
        <v>17868.23306122449</v>
      </c>
      <c r="E192" s="199">
        <f t="shared" si="8"/>
        <v>1038.82</v>
      </c>
      <c r="F192" s="199">
        <f t="shared" si="8"/>
        <v>310.1</v>
      </c>
      <c r="G192" s="200">
        <f t="shared" si="8"/>
        <v>16829.41306122449</v>
      </c>
      <c r="H192" s="198">
        <f t="shared" si="8"/>
        <v>25738.746938775508</v>
      </c>
      <c r="I192" s="199">
        <f t="shared" si="8"/>
        <v>25276.25693877551</v>
      </c>
      <c r="J192" s="199">
        <f t="shared" si="8"/>
        <v>298.38</v>
      </c>
      <c r="K192" s="200">
        <f t="shared" si="8"/>
        <v>164.11</v>
      </c>
      <c r="L192" s="197">
        <f t="shared" si="8"/>
        <v>44063.06</v>
      </c>
    </row>
    <row r="193" spans="1:12" ht="12.75">
      <c r="A193" s="130"/>
      <c r="B193" s="133"/>
      <c r="C193" s="175"/>
      <c r="D193" s="175"/>
      <c r="E193" s="133"/>
      <c r="F193" s="133"/>
      <c r="G193" s="133"/>
      <c r="H193" s="175"/>
      <c r="I193" s="133"/>
      <c r="J193" s="133"/>
      <c r="K193" s="133"/>
      <c r="L193" s="133"/>
    </row>
    <row r="194" spans="1:12" ht="13.5" thickBot="1">
      <c r="A194" s="155" t="s">
        <v>121</v>
      </c>
      <c r="B194" s="155"/>
      <c r="C194" s="176"/>
      <c r="D194" s="176"/>
      <c r="E194" s="155"/>
      <c r="F194" s="155"/>
      <c r="G194" s="155"/>
      <c r="H194" s="176"/>
      <c r="I194" s="155"/>
      <c r="J194" s="155"/>
      <c r="K194" s="155"/>
      <c r="L194" s="155"/>
    </row>
    <row r="195" spans="1:12" ht="25.5">
      <c r="A195" s="160"/>
      <c r="B195" s="161"/>
      <c r="C195" s="202" t="s">
        <v>94</v>
      </c>
      <c r="D195" s="162" t="s">
        <v>95</v>
      </c>
      <c r="E195" s="162" t="s">
        <v>92</v>
      </c>
      <c r="F195" s="163" t="s">
        <v>93</v>
      </c>
      <c r="G195" s="160"/>
      <c r="H195" s="160"/>
      <c r="I195" s="160"/>
      <c r="J195" s="160"/>
      <c r="K195" s="160"/>
      <c r="L195" s="160"/>
    </row>
    <row r="196" spans="1:12" ht="12.75">
      <c r="A196" s="130"/>
      <c r="B196" s="128" t="s">
        <v>89</v>
      </c>
      <c r="C196" s="166">
        <f>SUM(C197:C198)</f>
        <v>24.5</v>
      </c>
      <c r="D196" s="168">
        <v>2087</v>
      </c>
      <c r="E196" s="169"/>
      <c r="F196" s="137">
        <f>SUM(F197:F198)</f>
        <v>41740</v>
      </c>
      <c r="G196" s="133"/>
      <c r="H196" s="133"/>
      <c r="I196" s="133"/>
      <c r="J196" s="133"/>
      <c r="K196" s="133"/>
      <c r="L196" s="133"/>
    </row>
    <row r="197" spans="1:12" ht="12.75">
      <c r="A197" s="130"/>
      <c r="B197" s="128" t="s">
        <v>90</v>
      </c>
      <c r="C197" s="166">
        <v>9.76</v>
      </c>
      <c r="D197" s="122">
        <f>D196*(C197/C196)</f>
        <v>831.3926530612245</v>
      </c>
      <c r="E197" s="169">
        <v>50</v>
      </c>
      <c r="F197" s="137">
        <f>D197/E197*1000</f>
        <v>16627.85306122449</v>
      </c>
      <c r="G197" s="133"/>
      <c r="H197" s="133"/>
      <c r="I197" s="133"/>
      <c r="J197" s="133"/>
      <c r="K197" s="133"/>
      <c r="L197" s="133"/>
    </row>
    <row r="198" spans="1:12" ht="13.5" thickBot="1">
      <c r="A198" s="130"/>
      <c r="B198" s="132" t="s">
        <v>91</v>
      </c>
      <c r="C198" s="167">
        <v>14.74</v>
      </c>
      <c r="D198" s="127">
        <f>D196*(C198/C196)</f>
        <v>1255.6073469387754</v>
      </c>
      <c r="E198" s="170">
        <v>50</v>
      </c>
      <c r="F198" s="138">
        <f>D198/E198*1000</f>
        <v>25112.14693877551</v>
      </c>
      <c r="G198" s="133"/>
      <c r="H198" s="133"/>
      <c r="I198" s="133"/>
      <c r="J198" s="133"/>
      <c r="K198" s="133"/>
      <c r="L198" s="133"/>
    </row>
    <row r="199" spans="1:18" ht="12.75">
      <c r="A199" s="130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N199" s="1"/>
      <c r="O199" s="1"/>
      <c r="P199" s="1"/>
      <c r="Q199" s="1"/>
      <c r="R199" s="1"/>
    </row>
    <row r="200" spans="1:19" s="133" customFormat="1" ht="12.75">
      <c r="A200" s="130"/>
      <c r="N200" s="1"/>
      <c r="O200" s="1"/>
      <c r="P200" s="1"/>
      <c r="Q200" s="1"/>
      <c r="R200" s="1"/>
      <c r="S200" s="1"/>
    </row>
    <row r="201" spans="1:19" s="133" customFormat="1" ht="13.5" thickBot="1">
      <c r="A201" s="273" t="s">
        <v>122</v>
      </c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N201" s="1"/>
      <c r="O201" s="1"/>
      <c r="P201" s="1"/>
      <c r="Q201" s="1"/>
      <c r="R201" s="1"/>
      <c r="S201" s="1"/>
    </row>
    <row r="202" spans="1:19" s="133" customFormat="1" ht="14.25" thickBot="1" thickTop="1">
      <c r="A202" s="130"/>
      <c r="N202" s="1"/>
      <c r="O202" s="1"/>
      <c r="P202" s="1"/>
      <c r="Q202" s="1"/>
      <c r="R202" s="1"/>
      <c r="S202" s="1"/>
    </row>
    <row r="203" spans="1:18" ht="12.75" customHeight="1">
      <c r="A203" s="205"/>
      <c r="B203" s="274" t="s">
        <v>81</v>
      </c>
      <c r="C203" s="283" t="s">
        <v>61</v>
      </c>
      <c r="D203" s="278" t="s">
        <v>7</v>
      </c>
      <c r="E203" s="279"/>
      <c r="F203" s="279"/>
      <c r="G203" s="285"/>
      <c r="H203" s="278" t="s">
        <v>8</v>
      </c>
      <c r="I203" s="279"/>
      <c r="J203" s="279"/>
      <c r="K203" s="280"/>
      <c r="L203" s="281" t="s">
        <v>100</v>
      </c>
      <c r="N203" s="1"/>
      <c r="O203" s="1"/>
      <c r="P203" s="1"/>
      <c r="Q203" s="1"/>
      <c r="R203" s="1"/>
    </row>
    <row r="204" spans="1:18" ht="13.5" thickBot="1">
      <c r="A204" s="205"/>
      <c r="B204" s="275"/>
      <c r="C204" s="284"/>
      <c r="D204" s="7" t="s">
        <v>9</v>
      </c>
      <c r="E204" s="8" t="s">
        <v>10</v>
      </c>
      <c r="F204" s="250" t="s">
        <v>150</v>
      </c>
      <c r="G204" s="114" t="s">
        <v>12</v>
      </c>
      <c r="H204" s="7" t="s">
        <v>9</v>
      </c>
      <c r="I204" s="8" t="s">
        <v>13</v>
      </c>
      <c r="J204" s="8" t="s">
        <v>14</v>
      </c>
      <c r="K204" s="9" t="s">
        <v>15</v>
      </c>
      <c r="L204" s="282"/>
      <c r="N204" s="1"/>
      <c r="O204" s="1"/>
      <c r="P204" s="1"/>
      <c r="Q204" s="1"/>
      <c r="R204" s="1"/>
    </row>
    <row r="205" spans="1:18" ht="19.5" customHeight="1">
      <c r="A205" s="205"/>
      <c r="B205" s="179" t="s">
        <v>96</v>
      </c>
      <c r="C205" s="210">
        <f>ROUND($C$37/3.4528/$C$15,3)</f>
        <v>0.128</v>
      </c>
      <c r="D205" s="211">
        <f>ROUND($D$37/3.4528/$E$15,3)</f>
        <v>0.566</v>
      </c>
      <c r="E205" s="212">
        <f>ROUND($E$37/3.4528/$E$15,3)</f>
        <v>0.274</v>
      </c>
      <c r="F205" s="212">
        <f>ROUND($F$37/3.4528/$F$15,3)</f>
        <v>0.083</v>
      </c>
      <c r="G205" s="213">
        <f>ROUND($G$37/3.4528/$G$15,3)</f>
        <v>0.292</v>
      </c>
      <c r="H205" s="211">
        <f>ROUND($H$37/3.4528/$I$15,3)</f>
        <v>0.566</v>
      </c>
      <c r="I205" s="214">
        <f>ROUND($I$37/3.4528/$I$15,3)</f>
        <v>0.261</v>
      </c>
      <c r="J205" s="214">
        <f>ROUND($J$37/3.4528/$J$15,3)</f>
        <v>0.214</v>
      </c>
      <c r="K205" s="215">
        <f>ROUND($K$37/3.4528/$K$15,3)</f>
        <v>0.092</v>
      </c>
      <c r="L205" s="216">
        <f>C205+D205+H205</f>
        <v>1.2599999999999998</v>
      </c>
      <c r="N205" s="1"/>
      <c r="O205" s="1"/>
      <c r="P205" s="1"/>
      <c r="Q205" s="1"/>
      <c r="R205" s="1"/>
    </row>
    <row r="206" spans="1:19" s="135" customFormat="1" ht="22.5" customHeight="1" thickBot="1">
      <c r="A206" s="134"/>
      <c r="B206" s="180" t="s">
        <v>97</v>
      </c>
      <c r="C206" s="217">
        <f>ROUND(($C$37/3.4528+C192/1000)/($C$15+D177),3)</f>
        <v>0.128</v>
      </c>
      <c r="D206" s="218">
        <f>ROUND(($D$37/3.4528+D192/1000)/($C$15+D177),3)</f>
        <v>0.567</v>
      </c>
      <c r="E206" s="219">
        <f>ROUND(($E$37/3.4528+E192/1000)/($C$15+D177),3)</f>
        <v>0.274</v>
      </c>
      <c r="F206" s="219">
        <f>ROUND(($F$37/3.4528+F192/1000)/($C$15+D177),3)</f>
        <v>0.083</v>
      </c>
      <c r="G206" s="220">
        <f>ROUND(($G$37/3.4528+G192/1000)/($C$15+D178),3)</f>
        <v>0.293</v>
      </c>
      <c r="H206" s="218">
        <f>ROUND(($H$37/3.4528+H192/1000)/($I$15+D179),3)</f>
        <v>0.568</v>
      </c>
      <c r="I206" s="219">
        <f>ROUND(($I$37/3.4528+I192/1000)/($I$15+D179),3)</f>
        <v>0.263</v>
      </c>
      <c r="J206" s="219">
        <f>ROUND(($J$37/3.4528+J192/1000)/($I$15+D180),3)</f>
        <v>0.214</v>
      </c>
      <c r="K206" s="221">
        <f>ROUND(($K$37/3.4528+K192/1000)/($I$15+D180),3)</f>
        <v>0.092</v>
      </c>
      <c r="L206" s="222">
        <f>C206+D206+H206</f>
        <v>1.263</v>
      </c>
      <c r="N206" s="1"/>
      <c r="O206" s="1"/>
      <c r="P206" s="1"/>
      <c r="Q206" s="1"/>
      <c r="R206" s="1"/>
      <c r="S206" s="1"/>
    </row>
    <row r="207" spans="14:18" ht="12.75">
      <c r="N207" s="1"/>
      <c r="O207" s="1"/>
      <c r="P207" s="1"/>
      <c r="Q207" s="1"/>
      <c r="R207" s="1"/>
    </row>
    <row r="208" spans="1:18" ht="12.75">
      <c r="A208" s="205"/>
      <c r="B208" s="291" t="s">
        <v>172</v>
      </c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  <c r="N208" s="1"/>
      <c r="O208" s="1"/>
      <c r="P208" s="1"/>
      <c r="Q208" s="1"/>
      <c r="R208" s="1"/>
    </row>
    <row r="209" spans="1:18" ht="12.75">
      <c r="A209" s="205"/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N209" s="1"/>
      <c r="O209" s="1"/>
      <c r="P209" s="1"/>
      <c r="Q209" s="1"/>
      <c r="R209" s="1"/>
    </row>
    <row r="210" spans="1:18" ht="12.75">
      <c r="A210" s="205"/>
      <c r="N210" s="1"/>
      <c r="O210" s="1"/>
      <c r="P210" s="1"/>
      <c r="Q210" s="1"/>
      <c r="R210" s="1"/>
    </row>
    <row r="211" spans="1:18" ht="13.5" thickBot="1">
      <c r="A211" s="152" t="s">
        <v>123</v>
      </c>
      <c r="B211" s="152"/>
      <c r="C211" s="152"/>
      <c r="D211" s="152"/>
      <c r="E211" s="152"/>
      <c r="F211" s="155"/>
      <c r="G211" s="155"/>
      <c r="H211" s="155"/>
      <c r="I211" s="155"/>
      <c r="J211" s="155"/>
      <c r="K211" s="155"/>
      <c r="L211" s="155"/>
      <c r="M211" s="133"/>
      <c r="N211" s="1"/>
      <c r="O211" s="1"/>
      <c r="P211" s="1"/>
      <c r="Q211" s="1"/>
      <c r="R211" s="1"/>
    </row>
    <row r="212" spans="1:18" ht="14.25" customHeight="1" thickBot="1" thickTop="1">
      <c r="A212" s="205"/>
      <c r="D212" s="104"/>
      <c r="E212" s="104"/>
      <c r="N212" s="1"/>
      <c r="O212" s="1"/>
      <c r="P212" s="1"/>
      <c r="Q212" s="1"/>
      <c r="R212" s="1"/>
    </row>
    <row r="213" spans="1:18" ht="28.5" customHeight="1" thickBot="1">
      <c r="A213" s="205"/>
      <c r="B213" s="292" t="s">
        <v>68</v>
      </c>
      <c r="C213" s="159">
        <v>2016</v>
      </c>
      <c r="D213" s="157"/>
      <c r="N213" s="1"/>
      <c r="O213" s="1"/>
      <c r="P213" s="1"/>
      <c r="Q213" s="1"/>
      <c r="R213" s="1"/>
    </row>
    <row r="214" spans="1:18" ht="15.75" customHeight="1">
      <c r="A214" s="205"/>
      <c r="B214" s="293"/>
      <c r="C214" s="158" t="s">
        <v>69</v>
      </c>
      <c r="D214" s="156" t="s">
        <v>70</v>
      </c>
      <c r="N214" s="1"/>
      <c r="O214" s="1"/>
      <c r="P214" s="1"/>
      <c r="Q214" s="1"/>
      <c r="R214" s="1"/>
    </row>
    <row r="215" spans="1:18" ht="13.5" customHeight="1">
      <c r="A215" s="205"/>
      <c r="B215" s="61" t="s">
        <v>71</v>
      </c>
      <c r="C215" s="105">
        <v>0</v>
      </c>
      <c r="D215" s="164">
        <v>332</v>
      </c>
      <c r="N215" s="1"/>
      <c r="O215" s="1"/>
      <c r="P215" s="1"/>
      <c r="Q215" s="1"/>
      <c r="R215" s="1"/>
    </row>
    <row r="216" spans="1:18" ht="12.75">
      <c r="A216" s="205"/>
      <c r="B216" s="61" t="s">
        <v>72</v>
      </c>
      <c r="C216" s="105">
        <v>0</v>
      </c>
      <c r="D216" s="164">
        <v>332</v>
      </c>
      <c r="N216" s="1"/>
      <c r="O216" s="1"/>
      <c r="P216" s="1"/>
      <c r="Q216" s="1"/>
      <c r="R216" s="1"/>
    </row>
    <row r="217" spans="1:18" ht="13.5" customHeight="1">
      <c r="A217" s="205"/>
      <c r="B217" s="61" t="s">
        <v>73</v>
      </c>
      <c r="C217" s="106">
        <v>0</v>
      </c>
      <c r="D217" s="164">
        <v>786</v>
      </c>
      <c r="N217" s="1"/>
      <c r="O217" s="1"/>
      <c r="P217" s="1"/>
      <c r="Q217" s="1"/>
      <c r="R217" s="1"/>
    </row>
    <row r="218" spans="1:18" ht="13.5" customHeight="1">
      <c r="A218" s="205"/>
      <c r="B218" s="61" t="s">
        <v>74</v>
      </c>
      <c r="C218" s="106">
        <v>0</v>
      </c>
      <c r="D218" s="164">
        <v>786</v>
      </c>
      <c r="N218" s="1"/>
      <c r="O218" s="1"/>
      <c r="P218" s="1"/>
      <c r="Q218" s="1"/>
      <c r="R218" s="1"/>
    </row>
    <row r="219" spans="1:15" ht="13.5" customHeight="1">
      <c r="A219" s="205"/>
      <c r="B219" s="61" t="s">
        <v>75</v>
      </c>
      <c r="C219" s="107">
        <f>+C216</f>
        <v>0</v>
      </c>
      <c r="D219" s="164">
        <v>332</v>
      </c>
      <c r="O219" s="113"/>
    </row>
    <row r="220" spans="1:15" ht="14.25" customHeight="1" thickBot="1">
      <c r="A220" s="205"/>
      <c r="B220" s="204" t="s">
        <v>76</v>
      </c>
      <c r="C220" s="109"/>
      <c r="D220" s="110">
        <v>0</v>
      </c>
      <c r="O220" s="113"/>
    </row>
    <row r="221" spans="1:15" ht="12.75">
      <c r="A221" s="205"/>
      <c r="O221" s="113"/>
    </row>
    <row r="222" spans="1:15" ht="12.75">
      <c r="A222" s="205"/>
      <c r="O222" s="113"/>
    </row>
    <row r="223" spans="1:15" ht="13.5" thickBot="1">
      <c r="A223" s="152" t="s">
        <v>124</v>
      </c>
      <c r="B223" s="152"/>
      <c r="C223" s="152"/>
      <c r="D223" s="152"/>
      <c r="E223" s="152"/>
      <c r="F223" s="152"/>
      <c r="O223" s="113"/>
    </row>
    <row r="224" spans="1:15" ht="14.25" thickBot="1" thickTop="1">
      <c r="A224" s="205"/>
      <c r="O224" s="113"/>
    </row>
    <row r="225" spans="1:15" ht="38.25" customHeight="1">
      <c r="A225" s="205"/>
      <c r="B225" s="203" t="s">
        <v>78</v>
      </c>
      <c r="C225" s="154" t="s">
        <v>79</v>
      </c>
      <c r="D225" s="294" t="s">
        <v>86</v>
      </c>
      <c r="E225" s="295"/>
      <c r="O225" s="113"/>
    </row>
    <row r="226" spans="1:15" ht="12.75">
      <c r="A226" s="205"/>
      <c r="B226" s="61" t="s">
        <v>71</v>
      </c>
      <c r="C226" s="111">
        <f>ROUND(+$E$16*1000/($C$20+$C$21),3)</f>
        <v>76.004</v>
      </c>
      <c r="D226" s="296">
        <f>D215*C226/1000</f>
        <v>25.233328</v>
      </c>
      <c r="E226" s="297"/>
      <c r="O226" s="113"/>
    </row>
    <row r="227" spans="1:15" ht="12.75">
      <c r="A227" s="205"/>
      <c r="B227" s="61" t="s">
        <v>72</v>
      </c>
      <c r="C227" s="111">
        <f>ROUND(+$G$16*1000/($C$20+$C$21),3)</f>
        <v>76.004</v>
      </c>
      <c r="D227" s="296">
        <f>D216*C227/1000</f>
        <v>25.233328</v>
      </c>
      <c r="E227" s="297"/>
      <c r="O227" s="113"/>
    </row>
    <row r="228" spans="1:15" ht="12.75">
      <c r="A228" s="205"/>
      <c r="B228" s="61" t="s">
        <v>73</v>
      </c>
      <c r="C228" s="111">
        <f>ROUND(+$I$16*1000/($C$20+$C$21),3)</f>
        <v>73.134</v>
      </c>
      <c r="D228" s="296">
        <f>D217*C228/1000</f>
        <v>57.483324</v>
      </c>
      <c r="E228" s="297"/>
      <c r="O228" s="113"/>
    </row>
    <row r="229" spans="1:15" ht="14.25" customHeight="1" thickBot="1">
      <c r="A229" s="205"/>
      <c r="B229" s="204" t="s">
        <v>74</v>
      </c>
      <c r="C229" s="112">
        <f>ROUND(+$J$16*1000/($C$20+$C$21),3)</f>
        <v>73.134</v>
      </c>
      <c r="D229" s="286">
        <f>D218*C229/1000</f>
        <v>57.483324</v>
      </c>
      <c r="E229" s="287"/>
      <c r="O229" s="113"/>
    </row>
    <row r="230" spans="1:18" ht="12.75">
      <c r="A230" s="205"/>
      <c r="N230" s="1"/>
      <c r="O230" s="1"/>
      <c r="P230" s="1"/>
      <c r="Q230" s="1"/>
      <c r="R230" s="1"/>
    </row>
    <row r="231" spans="1:18" ht="12.75">
      <c r="A231" s="205"/>
      <c r="N231" s="1"/>
      <c r="O231" s="1"/>
      <c r="P231" s="1"/>
      <c r="Q231" s="1"/>
      <c r="R231" s="1"/>
    </row>
    <row r="232" spans="1:18" ht="13.5" thickBot="1">
      <c r="A232" s="273" t="s">
        <v>125</v>
      </c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N232" s="1"/>
      <c r="O232" s="1"/>
      <c r="P232" s="1"/>
      <c r="Q232" s="1"/>
      <c r="R232" s="1"/>
    </row>
    <row r="233" spans="1:18" ht="14.25" thickBot="1" thickTop="1">
      <c r="A233" s="1"/>
      <c r="N233" s="1"/>
      <c r="O233" s="1"/>
      <c r="P233" s="1"/>
      <c r="Q233" s="1"/>
      <c r="R233" s="1"/>
    </row>
    <row r="234" spans="1:18" ht="12.75">
      <c r="A234" s="1"/>
      <c r="B234" s="276" t="s">
        <v>88</v>
      </c>
      <c r="C234" s="276" t="s">
        <v>61</v>
      </c>
      <c r="D234" s="278" t="s">
        <v>7</v>
      </c>
      <c r="E234" s="279"/>
      <c r="F234" s="279"/>
      <c r="G234" s="280"/>
      <c r="H234" s="278" t="s">
        <v>8</v>
      </c>
      <c r="I234" s="279"/>
      <c r="J234" s="279"/>
      <c r="K234" s="280"/>
      <c r="L234" s="289" t="s">
        <v>80</v>
      </c>
      <c r="N234" s="1"/>
      <c r="O234" s="1"/>
      <c r="P234" s="1"/>
      <c r="Q234" s="1"/>
      <c r="R234" s="1"/>
    </row>
    <row r="235" spans="1:18" ht="13.5" thickBot="1">
      <c r="A235" s="1"/>
      <c r="B235" s="288"/>
      <c r="C235" s="277"/>
      <c r="D235" s="7" t="s">
        <v>9</v>
      </c>
      <c r="E235" s="8" t="s">
        <v>10</v>
      </c>
      <c r="F235" s="250" t="s">
        <v>150</v>
      </c>
      <c r="G235" s="9" t="s">
        <v>12</v>
      </c>
      <c r="H235" s="7" t="s">
        <v>9</v>
      </c>
      <c r="I235" s="8" t="s">
        <v>13</v>
      </c>
      <c r="J235" s="8" t="s">
        <v>14</v>
      </c>
      <c r="K235" s="9" t="s">
        <v>15</v>
      </c>
      <c r="L235" s="290"/>
      <c r="N235" s="1"/>
      <c r="O235" s="1"/>
      <c r="P235" s="1"/>
      <c r="Q235" s="1"/>
      <c r="R235" s="1"/>
    </row>
    <row r="236" spans="1:18" ht="13.5">
      <c r="A236" s="205"/>
      <c r="B236" s="115">
        <v>2016</v>
      </c>
      <c r="C236" s="116"/>
      <c r="D236" s="117"/>
      <c r="E236" s="118"/>
      <c r="F236" s="251"/>
      <c r="G236" s="119"/>
      <c r="H236" s="120"/>
      <c r="I236" s="118"/>
      <c r="J236" s="118"/>
      <c r="K236" s="119"/>
      <c r="L236" s="116"/>
      <c r="N236" s="1"/>
      <c r="O236" s="1"/>
      <c r="P236" s="1"/>
      <c r="Q236" s="1"/>
      <c r="R236" s="1"/>
    </row>
    <row r="237" spans="1:18" ht="12.75">
      <c r="A237" s="205"/>
      <c r="B237" s="96" t="s">
        <v>103</v>
      </c>
      <c r="C237" s="126">
        <f>ROUND(+D219*C226*$C$46,2)</f>
        <v>2018.67</v>
      </c>
      <c r="D237" s="165">
        <f>SUM(E237,G237)</f>
        <v>18965.34</v>
      </c>
      <c r="E237" s="122">
        <f>(ROUND(+D215*C226*$E$46,2))+I252</f>
        <v>18309.27</v>
      </c>
      <c r="F237" s="252">
        <f>(ROUND(+D215*C226*$F$46,2))+I252</f>
        <v>17451.33</v>
      </c>
      <c r="G237" s="122">
        <f>ROUND(+D216*C227*$G$46,2)</f>
        <v>656.07</v>
      </c>
      <c r="H237" s="136">
        <f>SUM(I237:K237)</f>
        <v>53058.35999999999</v>
      </c>
      <c r="I237" s="122">
        <f>ROUND(+D217*C228*$I$46,2)</f>
        <v>1264.63</v>
      </c>
      <c r="J237" s="122">
        <f>(ROUND(+D218*C229*$J$46,2))+K252</f>
        <v>50529.1</v>
      </c>
      <c r="K237" s="122">
        <f>ROUND(+D218*C229*$K$46,2)</f>
        <v>1264.63</v>
      </c>
      <c r="L237" s="125">
        <f>+SUM(C237,E237,G237,I237,J237)</f>
        <v>72777.74</v>
      </c>
      <c r="N237" s="1"/>
      <c r="O237" s="1"/>
      <c r="P237" s="1"/>
      <c r="Q237" s="1"/>
      <c r="R237" s="1"/>
    </row>
    <row r="238" spans="1:18" ht="12.75">
      <c r="A238" s="205"/>
      <c r="B238" s="96" t="str">
        <f>+$B$47</f>
        <v>Netiesioginės sąnaudos</v>
      </c>
      <c r="C238" s="121">
        <v>0</v>
      </c>
      <c r="D238" s="165">
        <f>SUM(E238,G238)</f>
        <v>0</v>
      </c>
      <c r="E238" s="122">
        <v>0</v>
      </c>
      <c r="F238" s="252"/>
      <c r="G238" s="123">
        <v>0</v>
      </c>
      <c r="H238" s="136">
        <f>SUM(I238:K238)</f>
        <v>0</v>
      </c>
      <c r="I238" s="124"/>
      <c r="J238" s="124"/>
      <c r="K238" s="131"/>
      <c r="L238" s="125">
        <f>+SUM(C238,E238,G238,I238,J238)</f>
        <v>0</v>
      </c>
      <c r="N238" s="1"/>
      <c r="O238" s="1"/>
      <c r="P238" s="1"/>
      <c r="Q238" s="1"/>
      <c r="R238" s="1"/>
    </row>
    <row r="239" spans="1:18" ht="12.75">
      <c r="A239" s="205"/>
      <c r="B239" s="96" t="str">
        <f>+$B$48</f>
        <v>Veiklos (administracinės) sąnaudos</v>
      </c>
      <c r="C239" s="121">
        <v>0</v>
      </c>
      <c r="D239" s="165">
        <f>SUM(E239,G239)</f>
        <v>0</v>
      </c>
      <c r="E239" s="122">
        <v>0</v>
      </c>
      <c r="F239" s="252"/>
      <c r="G239" s="123">
        <v>0</v>
      </c>
      <c r="H239" s="136">
        <f>SUM(I239:K239)</f>
        <v>0</v>
      </c>
      <c r="I239" s="124"/>
      <c r="J239" s="124"/>
      <c r="K239" s="131"/>
      <c r="L239" s="125">
        <f>+SUM(C239,E239,G239,I239,J239)</f>
        <v>0</v>
      </c>
      <c r="N239" s="1"/>
      <c r="O239" s="1"/>
      <c r="P239" s="1"/>
      <c r="Q239" s="1"/>
      <c r="R239" s="1"/>
    </row>
    <row r="240" spans="1:18" ht="12" customHeight="1">
      <c r="A240" s="205"/>
      <c r="B240" s="149" t="str">
        <f>+$B$49</f>
        <v>Mokesčiai</v>
      </c>
      <c r="C240" s="129">
        <v>0</v>
      </c>
      <c r="D240" s="165">
        <f>SUM(E240,G240)</f>
        <v>1514</v>
      </c>
      <c r="E240" s="150">
        <f>ROUND(+D215*C226*$E$49,2)</f>
        <v>1514</v>
      </c>
      <c r="F240" s="253"/>
      <c r="G240" s="150"/>
      <c r="H240" s="136">
        <f>SUM(I240:K240)</f>
        <v>919.73</v>
      </c>
      <c r="I240" s="150">
        <f>ROUND(D217*C228*$I$49,2)</f>
        <v>0</v>
      </c>
      <c r="J240" s="150">
        <f>ROUND(D218*C229*$J$49,2)</f>
        <v>919.73</v>
      </c>
      <c r="K240" s="153"/>
      <c r="L240" s="125">
        <f>+SUM(C240,E240,G240,I240,J240)</f>
        <v>2433.73</v>
      </c>
      <c r="N240" s="1"/>
      <c r="O240" s="1"/>
      <c r="P240" s="1"/>
      <c r="Q240" s="1"/>
      <c r="R240" s="1"/>
    </row>
    <row r="241" spans="1:12" ht="12" customHeight="1">
      <c r="A241" s="205"/>
      <c r="B241" s="141" t="s">
        <v>82</v>
      </c>
      <c r="C241" s="126"/>
      <c r="D241" s="165">
        <f>SUM(E241,G241)</f>
        <v>67939.34497816593</v>
      </c>
      <c r="E241" s="122">
        <f>F250</f>
        <v>47500</v>
      </c>
      <c r="F241" s="252">
        <f>F250</f>
        <v>47500</v>
      </c>
      <c r="G241" s="137">
        <f>F248</f>
        <v>20439.344978165936</v>
      </c>
      <c r="H241" s="136">
        <f>SUM(I241:K241)</f>
        <v>107209.98835516738</v>
      </c>
      <c r="I241" s="122">
        <f>F249</f>
        <v>34626.65502183406</v>
      </c>
      <c r="J241" s="122">
        <f>F251</f>
        <v>72583.33333333333</v>
      </c>
      <c r="K241" s="137"/>
      <c r="L241" s="125">
        <f>+SUM(C241,E241,G241,I241,J241)</f>
        <v>175149.3333333333</v>
      </c>
    </row>
    <row r="242" spans="1:12" ht="12" customHeight="1" thickBot="1">
      <c r="A242" s="205"/>
      <c r="B242" s="142" t="s">
        <v>85</v>
      </c>
      <c r="C242" s="197">
        <f aca="true" t="shared" si="9" ref="C242:L242">SUM(C237:C241)</f>
        <v>2018.67</v>
      </c>
      <c r="D242" s="198">
        <f t="shared" si="9"/>
        <v>88418.68497816593</v>
      </c>
      <c r="E242" s="199">
        <f t="shared" si="9"/>
        <v>67323.27</v>
      </c>
      <c r="F242" s="254">
        <f t="shared" si="9"/>
        <v>64951.33</v>
      </c>
      <c r="G242" s="200">
        <f t="shared" si="9"/>
        <v>21095.414978165936</v>
      </c>
      <c r="H242" s="198">
        <f t="shared" si="9"/>
        <v>161188.07835516738</v>
      </c>
      <c r="I242" s="199">
        <f t="shared" si="9"/>
        <v>35891.28502183406</v>
      </c>
      <c r="J242" s="199">
        <f t="shared" si="9"/>
        <v>124032.16333333333</v>
      </c>
      <c r="K242" s="200">
        <f t="shared" si="9"/>
        <v>1264.63</v>
      </c>
      <c r="L242" s="197">
        <f t="shared" si="9"/>
        <v>250360.80333333332</v>
      </c>
    </row>
    <row r="243" spans="1:12" ht="12.75">
      <c r="A243" s="130"/>
      <c r="B243" s="133"/>
      <c r="C243" s="175"/>
      <c r="D243" s="175"/>
      <c r="E243" s="133"/>
      <c r="F243" s="133"/>
      <c r="G243" s="133"/>
      <c r="H243" s="175"/>
      <c r="I243" s="133"/>
      <c r="J243" s="133"/>
      <c r="K243" s="133"/>
      <c r="L243" s="133"/>
    </row>
    <row r="244" spans="1:12" ht="13.5" thickBot="1">
      <c r="A244" s="155" t="s">
        <v>126</v>
      </c>
      <c r="B244" s="155"/>
      <c r="C244" s="176"/>
      <c r="D244" s="176"/>
      <c r="E244" s="155"/>
      <c r="F244" s="155"/>
      <c r="G244" s="155"/>
      <c r="H244" s="176" t="s">
        <v>145</v>
      </c>
      <c r="I244" s="155"/>
      <c r="J244" s="155"/>
      <c r="K244" s="155"/>
      <c r="L244" s="155"/>
    </row>
    <row r="245" spans="1:12" ht="38.25">
      <c r="A245" s="160"/>
      <c r="B245" s="161"/>
      <c r="C245" s="202" t="s">
        <v>94</v>
      </c>
      <c r="D245" s="162" t="s">
        <v>95</v>
      </c>
      <c r="E245" s="162" t="s">
        <v>92</v>
      </c>
      <c r="F245" s="163" t="s">
        <v>93</v>
      </c>
      <c r="G245" s="160"/>
      <c r="H245" s="233" t="s">
        <v>116</v>
      </c>
      <c r="I245" s="234" t="s">
        <v>133</v>
      </c>
      <c r="J245" s="234" t="s">
        <v>134</v>
      </c>
      <c r="K245" s="235" t="s">
        <v>133</v>
      </c>
      <c r="L245" s="160"/>
    </row>
    <row r="246" spans="1:12" ht="12.75">
      <c r="A246" s="160"/>
      <c r="B246" s="241" t="s">
        <v>89</v>
      </c>
      <c r="C246" s="224"/>
      <c r="D246" s="227">
        <f>D247+D250+D251</f>
        <v>4194.3</v>
      </c>
      <c r="E246" s="225"/>
      <c r="F246" s="228">
        <f>F247+F250+F251</f>
        <v>175149.3333333333</v>
      </c>
      <c r="G246" s="160"/>
      <c r="H246" s="236" t="s">
        <v>135</v>
      </c>
      <c r="I246" s="242">
        <v>2960</v>
      </c>
      <c r="J246" s="231" t="s">
        <v>140</v>
      </c>
      <c r="K246" s="237">
        <v>6414</v>
      </c>
      <c r="L246" s="160"/>
    </row>
    <row r="247" spans="1:12" ht="12.75">
      <c r="A247" s="130"/>
      <c r="B247" s="128" t="s">
        <v>113</v>
      </c>
      <c r="C247" s="166">
        <f>SUM(C248:C249)</f>
        <v>80.15</v>
      </c>
      <c r="D247" s="168">
        <v>2753.3</v>
      </c>
      <c r="E247" s="169"/>
      <c r="F247" s="137">
        <f>SUM(F248:F249)</f>
        <v>55066</v>
      </c>
      <c r="G247" s="133"/>
      <c r="H247" s="128" t="s">
        <v>136</v>
      </c>
      <c r="I247" s="242">
        <v>2871</v>
      </c>
      <c r="J247" s="232" t="s">
        <v>143</v>
      </c>
      <c r="K247" s="238">
        <v>10983</v>
      </c>
      <c r="L247" s="133"/>
    </row>
    <row r="248" spans="1:12" ht="12.75">
      <c r="A248" s="130"/>
      <c r="B248" s="128" t="s">
        <v>114</v>
      </c>
      <c r="C248" s="166">
        <v>29.75</v>
      </c>
      <c r="D248" s="122">
        <f>D247*(C248/C247)</f>
        <v>1021.9672489082969</v>
      </c>
      <c r="E248" s="169">
        <v>50</v>
      </c>
      <c r="F248" s="137">
        <f>D248/E248*1000</f>
        <v>20439.344978165936</v>
      </c>
      <c r="G248" s="133"/>
      <c r="H248" s="128" t="s">
        <v>141</v>
      </c>
      <c r="I248" s="242">
        <v>2490</v>
      </c>
      <c r="J248" s="232" t="s">
        <v>142</v>
      </c>
      <c r="K248" s="238">
        <v>9873</v>
      </c>
      <c r="L248" s="133"/>
    </row>
    <row r="249" spans="1:12" ht="12.75">
      <c r="A249" s="130"/>
      <c r="B249" s="128" t="s">
        <v>115</v>
      </c>
      <c r="C249" s="166">
        <v>50.4</v>
      </c>
      <c r="D249" s="122">
        <f>D247*(C249/C247)</f>
        <v>1731.332751091703</v>
      </c>
      <c r="E249" s="169">
        <v>50</v>
      </c>
      <c r="F249" s="137">
        <f>D249/E249*1000</f>
        <v>34626.65502183406</v>
      </c>
      <c r="G249" s="133"/>
      <c r="H249" s="128" t="s">
        <v>137</v>
      </c>
      <c r="I249" s="242">
        <v>3091</v>
      </c>
      <c r="J249" s="232" t="s">
        <v>137</v>
      </c>
      <c r="K249" s="238">
        <v>7403.5</v>
      </c>
      <c r="L249" s="133"/>
    </row>
    <row r="250" spans="1:12" ht="12.75">
      <c r="A250" s="130"/>
      <c r="B250" s="128" t="s">
        <v>116</v>
      </c>
      <c r="C250" s="166"/>
      <c r="D250" s="168">
        <v>570</v>
      </c>
      <c r="E250" s="169">
        <v>12</v>
      </c>
      <c r="F250" s="137">
        <f>D250/E250*1000</f>
        <v>47500</v>
      </c>
      <c r="G250" s="133"/>
      <c r="H250" s="128" t="s">
        <v>138</v>
      </c>
      <c r="I250" s="242">
        <v>2716</v>
      </c>
      <c r="J250" s="232" t="s">
        <v>138</v>
      </c>
      <c r="K250" s="238">
        <v>9652</v>
      </c>
      <c r="L250" s="133"/>
    </row>
    <row r="251" spans="1:12" ht="13.5" thickBot="1">
      <c r="A251" s="130"/>
      <c r="B251" s="132" t="s">
        <v>117</v>
      </c>
      <c r="C251" s="167"/>
      <c r="D251" s="226">
        <v>871</v>
      </c>
      <c r="E251" s="170">
        <v>12</v>
      </c>
      <c r="F251" s="138">
        <f>D251/E251*1000</f>
        <v>72583.33333333333</v>
      </c>
      <c r="G251" s="133"/>
      <c r="H251" s="128" t="s">
        <v>139</v>
      </c>
      <c r="I251" s="242">
        <v>2314</v>
      </c>
      <c r="J251" s="232" t="s">
        <v>144</v>
      </c>
      <c r="K251" s="238">
        <v>4824</v>
      </c>
      <c r="L251" s="133"/>
    </row>
    <row r="252" spans="1:18" ht="13.5" thickBot="1">
      <c r="A252" s="130"/>
      <c r="B252" s="133"/>
      <c r="C252" s="133"/>
      <c r="D252" s="133"/>
      <c r="E252" s="133"/>
      <c r="F252" s="133"/>
      <c r="G252" s="133"/>
      <c r="H252" s="239" t="s">
        <v>107</v>
      </c>
      <c r="I252" s="243">
        <f>SUM(I246:I251)</f>
        <v>16442</v>
      </c>
      <c r="J252" s="189" t="s">
        <v>107</v>
      </c>
      <c r="K252" s="240">
        <f>SUM(K246:K251)</f>
        <v>49149.5</v>
      </c>
      <c r="L252" s="133"/>
      <c r="N252" s="1"/>
      <c r="O252" s="1"/>
      <c r="P252" s="1"/>
      <c r="Q252" s="1"/>
      <c r="R252" s="1"/>
    </row>
    <row r="253" spans="1:19" s="133" customFormat="1" ht="12.75">
      <c r="A253" s="130"/>
      <c r="N253" s="1"/>
      <c r="O253" s="1"/>
      <c r="P253" s="1"/>
      <c r="Q253" s="1"/>
      <c r="R253" s="1"/>
      <c r="S253" s="1"/>
    </row>
    <row r="254" spans="1:19" s="133" customFormat="1" ht="13.5" thickBot="1">
      <c r="A254" s="273" t="s">
        <v>127</v>
      </c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N254" s="1"/>
      <c r="O254" s="1"/>
      <c r="P254" s="1"/>
      <c r="Q254" s="1"/>
      <c r="R254" s="1"/>
      <c r="S254" s="1"/>
    </row>
    <row r="255" spans="1:19" s="133" customFormat="1" ht="14.25" thickBot="1" thickTop="1">
      <c r="A255" s="130"/>
      <c r="N255" s="1"/>
      <c r="O255" s="1"/>
      <c r="P255" s="1"/>
      <c r="Q255" s="1"/>
      <c r="R255" s="1"/>
      <c r="S255" s="1"/>
    </row>
    <row r="256" spans="1:18" ht="12.75" customHeight="1">
      <c r="A256" s="205"/>
      <c r="B256" s="274" t="s">
        <v>81</v>
      </c>
      <c r="C256" s="283" t="s">
        <v>61</v>
      </c>
      <c r="D256" s="278" t="s">
        <v>7</v>
      </c>
      <c r="E256" s="279"/>
      <c r="F256" s="279"/>
      <c r="G256" s="285"/>
      <c r="H256" s="278" t="s">
        <v>8</v>
      </c>
      <c r="I256" s="279"/>
      <c r="J256" s="279"/>
      <c r="K256" s="280"/>
      <c r="L256" s="281" t="s">
        <v>100</v>
      </c>
      <c r="N256" s="1"/>
      <c r="O256" s="1"/>
      <c r="P256" s="1"/>
      <c r="Q256" s="1"/>
      <c r="R256" s="1"/>
    </row>
    <row r="257" spans="1:18" ht="13.5" thickBot="1">
      <c r="A257" s="205"/>
      <c r="B257" s="275"/>
      <c r="C257" s="284"/>
      <c r="D257" s="7" t="s">
        <v>9</v>
      </c>
      <c r="E257" s="8" t="s">
        <v>10</v>
      </c>
      <c r="F257" s="250" t="s">
        <v>150</v>
      </c>
      <c r="G257" s="114" t="s">
        <v>12</v>
      </c>
      <c r="H257" s="7" t="s">
        <v>9</v>
      </c>
      <c r="I257" s="8" t="s">
        <v>13</v>
      </c>
      <c r="J257" s="8" t="s">
        <v>14</v>
      </c>
      <c r="K257" s="9" t="s">
        <v>15</v>
      </c>
      <c r="L257" s="282"/>
      <c r="N257" s="1"/>
      <c r="O257" s="1"/>
      <c r="P257" s="1"/>
      <c r="Q257" s="1"/>
      <c r="R257" s="1"/>
    </row>
    <row r="258" spans="1:18" ht="19.5" customHeight="1">
      <c r="A258" s="205"/>
      <c r="B258" s="179" t="s">
        <v>96</v>
      </c>
      <c r="C258" s="210">
        <f>ROUND($C$37/3.4528/$C$15,3)</f>
        <v>0.128</v>
      </c>
      <c r="D258" s="211">
        <f>ROUND($D$37/3.4528/$E$15,3)</f>
        <v>0.566</v>
      </c>
      <c r="E258" s="212">
        <f>ROUND($E$37/3.4528/$E$15,3)</f>
        <v>0.274</v>
      </c>
      <c r="F258" s="212">
        <f>ROUND($F$37/3.4528/$F$15,3)</f>
        <v>0.083</v>
      </c>
      <c r="G258" s="213">
        <f>ROUND($G$37/3.4528/$G$15,3)</f>
        <v>0.292</v>
      </c>
      <c r="H258" s="211">
        <f>ROUND($H$37/3.4528/$I$15,3)</f>
        <v>0.566</v>
      </c>
      <c r="I258" s="214">
        <f>ROUND($I$37/3.4528/$I$15,3)</f>
        <v>0.261</v>
      </c>
      <c r="J258" s="214">
        <f>ROUND($J$37/3.4528/$J$15,3)</f>
        <v>0.214</v>
      </c>
      <c r="K258" s="215">
        <f>ROUND($K$37/3.4528/$K$15,3)</f>
        <v>0.092</v>
      </c>
      <c r="L258" s="216">
        <f>C258+D258+H258</f>
        <v>1.2599999999999998</v>
      </c>
      <c r="N258" s="1"/>
      <c r="O258" s="1"/>
      <c r="P258" s="1"/>
      <c r="Q258" s="1"/>
      <c r="R258" s="1"/>
    </row>
    <row r="259" spans="1:19" s="135" customFormat="1" ht="22.5" customHeight="1" thickBot="1">
      <c r="A259" s="134"/>
      <c r="B259" s="180" t="s">
        <v>97</v>
      </c>
      <c r="C259" s="217">
        <f>ROUND(($C$37/3.4528+C242/1000)/($C$15+D226),3)</f>
        <v>0.128</v>
      </c>
      <c r="D259" s="218">
        <f>ROUND(($D$37/3.4528+D242/1000)/($C$15+D226),3)</f>
        <v>0.573</v>
      </c>
      <c r="E259" s="219">
        <f>ROUND(($E$37/3.4528+E242/1000)/($C$15+D226),3)</f>
        <v>0.28</v>
      </c>
      <c r="F259" s="219">
        <f>ROUND(($F$37/3.4528+F242/1000)/($C$15+D226),3)</f>
        <v>0.089</v>
      </c>
      <c r="G259" s="220">
        <f>ROUND(($G$37/3.4528+G242/1000)/($C$15+D227),3)</f>
        <v>0.293</v>
      </c>
      <c r="H259" s="218">
        <f>ROUND(($H$37/3.4528+H242/1000)/($I$15+D228),3)</f>
        <v>0.58</v>
      </c>
      <c r="I259" s="219">
        <f>ROUND(($I$37/3.4528+I242/1000)/($I$15+D228),3)</f>
        <v>0.263</v>
      </c>
      <c r="J259" s="219">
        <f>ROUND(($J$37/3.4528+J242/1000)/($I$15+D229),3)</f>
        <v>0.226</v>
      </c>
      <c r="K259" s="221">
        <f>ROUND(($K$37/3.4528+K242/1000)/($I$15+D229),3)</f>
        <v>0.091</v>
      </c>
      <c r="L259" s="222">
        <f>C259+D259+H259</f>
        <v>1.281</v>
      </c>
      <c r="N259" s="1"/>
      <c r="O259" s="1"/>
      <c r="P259" s="1"/>
      <c r="Q259" s="1"/>
      <c r="R259" s="1"/>
      <c r="S259" s="1"/>
    </row>
    <row r="260" spans="14:18" ht="12.75">
      <c r="N260" s="1"/>
      <c r="O260" s="1"/>
      <c r="P260" s="1"/>
      <c r="Q260" s="1"/>
      <c r="R260" s="1"/>
    </row>
    <row r="261" spans="1:18" ht="12.75">
      <c r="A261" s="205"/>
      <c r="B261" s="291" t="s">
        <v>173</v>
      </c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N261" s="1"/>
      <c r="O261" s="1"/>
      <c r="P261" s="1"/>
      <c r="Q261" s="1"/>
      <c r="R261" s="1"/>
    </row>
    <row r="262" spans="1:18" ht="12.75">
      <c r="A262" s="205"/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N262" s="1"/>
      <c r="O262" s="1"/>
      <c r="P262" s="1"/>
      <c r="Q262" s="1"/>
      <c r="R262" s="1"/>
    </row>
    <row r="263" spans="1:18" ht="12.75">
      <c r="A263" s="205"/>
      <c r="N263" s="1"/>
      <c r="O263" s="1"/>
      <c r="P263" s="1"/>
      <c r="Q263" s="1"/>
      <c r="R263" s="1"/>
    </row>
    <row r="264" spans="1:18" ht="13.5" thickBot="1">
      <c r="A264" s="152" t="s">
        <v>128</v>
      </c>
      <c r="B264" s="152"/>
      <c r="C264" s="152"/>
      <c r="D264" s="152"/>
      <c r="E264" s="152"/>
      <c r="F264" s="155"/>
      <c r="G264" s="155"/>
      <c r="H264" s="155"/>
      <c r="I264" s="155"/>
      <c r="J264" s="155"/>
      <c r="K264" s="155"/>
      <c r="L264" s="155"/>
      <c r="M264" s="133"/>
      <c r="N264" s="1"/>
      <c r="O264" s="1"/>
      <c r="P264" s="1"/>
      <c r="Q264" s="1"/>
      <c r="R264" s="1"/>
    </row>
    <row r="265" spans="1:18" ht="14.25" customHeight="1" thickBot="1" thickTop="1">
      <c r="A265" s="205"/>
      <c r="D265" s="104"/>
      <c r="E265" s="104"/>
      <c r="N265" s="1"/>
      <c r="O265" s="1"/>
      <c r="P265" s="1"/>
      <c r="Q265" s="1"/>
      <c r="R265" s="1"/>
    </row>
    <row r="266" spans="1:18" ht="28.5" customHeight="1" thickBot="1">
      <c r="A266" s="205"/>
      <c r="B266" s="292" t="s">
        <v>68</v>
      </c>
      <c r="C266" s="159">
        <v>2016</v>
      </c>
      <c r="D266" s="157"/>
      <c r="N266" s="1"/>
      <c r="O266" s="1"/>
      <c r="P266" s="1"/>
      <c r="Q266" s="1"/>
      <c r="R266" s="1"/>
    </row>
    <row r="267" spans="1:18" ht="15.75" customHeight="1">
      <c r="A267" s="205"/>
      <c r="B267" s="293"/>
      <c r="C267" s="158" t="s">
        <v>69</v>
      </c>
      <c r="D267" s="156" t="s">
        <v>70</v>
      </c>
      <c r="N267" s="1"/>
      <c r="O267" s="1"/>
      <c r="P267" s="1"/>
      <c r="Q267" s="1"/>
      <c r="R267" s="1"/>
    </row>
    <row r="268" spans="1:18" ht="13.5" customHeight="1">
      <c r="A268" s="205"/>
      <c r="B268" s="61" t="s">
        <v>71</v>
      </c>
      <c r="C268" s="105">
        <v>0</v>
      </c>
      <c r="D268" s="164">
        <v>598</v>
      </c>
      <c r="N268" s="1"/>
      <c r="O268" s="1"/>
      <c r="P268" s="1"/>
      <c r="Q268" s="1"/>
      <c r="R268" s="1"/>
    </row>
    <row r="269" spans="1:18" ht="12.75">
      <c r="A269" s="205"/>
      <c r="B269" s="61" t="s">
        <v>72</v>
      </c>
      <c r="C269" s="105">
        <v>0</v>
      </c>
      <c r="D269" s="164">
        <v>598</v>
      </c>
      <c r="N269" s="1"/>
      <c r="O269" s="1"/>
      <c r="P269" s="1"/>
      <c r="Q269" s="1"/>
      <c r="R269" s="1"/>
    </row>
    <row r="270" spans="1:18" ht="13.5" customHeight="1">
      <c r="A270" s="205"/>
      <c r="B270" s="61" t="s">
        <v>73</v>
      </c>
      <c r="C270" s="106">
        <v>0</v>
      </c>
      <c r="D270" s="164">
        <v>674</v>
      </c>
      <c r="N270" s="1"/>
      <c r="O270" s="1"/>
      <c r="P270" s="1"/>
      <c r="Q270" s="1"/>
      <c r="R270" s="1"/>
    </row>
    <row r="271" spans="1:18" ht="13.5" customHeight="1">
      <c r="A271" s="205"/>
      <c r="B271" s="61" t="s">
        <v>74</v>
      </c>
      <c r="C271" s="106">
        <v>0</v>
      </c>
      <c r="D271" s="164">
        <v>674</v>
      </c>
      <c r="N271" s="1"/>
      <c r="O271" s="1"/>
      <c r="P271" s="1"/>
      <c r="Q271" s="1"/>
      <c r="R271" s="1"/>
    </row>
    <row r="272" spans="1:15" ht="13.5" customHeight="1">
      <c r="A272" s="205"/>
      <c r="B272" s="61" t="s">
        <v>75</v>
      </c>
      <c r="C272" s="107">
        <f>+C269</f>
        <v>0</v>
      </c>
      <c r="D272" s="164">
        <v>598</v>
      </c>
      <c r="O272" s="113"/>
    </row>
    <row r="273" spans="1:15" ht="14.25" customHeight="1" thickBot="1">
      <c r="A273" s="205"/>
      <c r="B273" s="204" t="s">
        <v>76</v>
      </c>
      <c r="C273" s="109"/>
      <c r="D273" s="110">
        <v>0</v>
      </c>
      <c r="O273" s="113"/>
    </row>
    <row r="274" spans="1:15" ht="12.75">
      <c r="A274" s="205"/>
      <c r="O274" s="113"/>
    </row>
    <row r="275" spans="1:15" ht="12.75">
      <c r="A275" s="205"/>
      <c r="O275" s="113"/>
    </row>
    <row r="276" spans="1:15" ht="13.5" thickBot="1">
      <c r="A276" s="152" t="s">
        <v>129</v>
      </c>
      <c r="B276" s="152"/>
      <c r="C276" s="152"/>
      <c r="D276" s="152"/>
      <c r="E276" s="152"/>
      <c r="F276" s="152"/>
      <c r="O276" s="113"/>
    </row>
    <row r="277" spans="1:15" ht="14.25" thickBot="1" thickTop="1">
      <c r="A277" s="205"/>
      <c r="O277" s="113"/>
    </row>
    <row r="278" spans="1:15" ht="38.25" customHeight="1">
      <c r="A278" s="205"/>
      <c r="B278" s="203" t="s">
        <v>78</v>
      </c>
      <c r="C278" s="154" t="s">
        <v>79</v>
      </c>
      <c r="D278" s="294" t="s">
        <v>86</v>
      </c>
      <c r="E278" s="295"/>
      <c r="O278" s="113"/>
    </row>
    <row r="279" spans="1:15" ht="12.75">
      <c r="A279" s="205"/>
      <c r="B279" s="61" t="s">
        <v>71</v>
      </c>
      <c r="C279" s="111">
        <f>ROUND(+$E$16*1000/($C$20+$C$21),3)</f>
        <v>76.004</v>
      </c>
      <c r="D279" s="296">
        <f>D268*C279/1000</f>
        <v>45.450392</v>
      </c>
      <c r="E279" s="297"/>
      <c r="O279" s="113"/>
    </row>
    <row r="280" spans="1:15" ht="12.75">
      <c r="A280" s="205"/>
      <c r="B280" s="61" t="s">
        <v>72</v>
      </c>
      <c r="C280" s="111">
        <f>ROUND(+$G$16*1000/($C$20+$C$21),3)</f>
        <v>76.004</v>
      </c>
      <c r="D280" s="296">
        <f>D269*C280/1000</f>
        <v>45.450392</v>
      </c>
      <c r="E280" s="297"/>
      <c r="O280" s="113"/>
    </row>
    <row r="281" spans="1:15" ht="12.75">
      <c r="A281" s="205"/>
      <c r="B281" s="61" t="s">
        <v>73</v>
      </c>
      <c r="C281" s="111">
        <f>ROUND(+$I$16*1000/($C$20+$C$21),3)</f>
        <v>73.134</v>
      </c>
      <c r="D281" s="296">
        <f>D270*C281/1000</f>
        <v>49.292316</v>
      </c>
      <c r="E281" s="297"/>
      <c r="O281" s="113"/>
    </row>
    <row r="282" spans="1:15" ht="14.25" customHeight="1" thickBot="1">
      <c r="A282" s="205"/>
      <c r="B282" s="204" t="s">
        <v>74</v>
      </c>
      <c r="C282" s="112">
        <f>ROUND(+$J$16*1000/($C$20+$C$21),3)</f>
        <v>73.134</v>
      </c>
      <c r="D282" s="286">
        <f>D271*C282/1000</f>
        <v>49.292316</v>
      </c>
      <c r="E282" s="287"/>
      <c r="O282" s="113"/>
    </row>
    <row r="283" spans="1:18" ht="12.75">
      <c r="A283" s="205"/>
      <c r="N283" s="1"/>
      <c r="O283" s="1"/>
      <c r="P283" s="1"/>
      <c r="Q283" s="1"/>
      <c r="R283" s="1"/>
    </row>
    <row r="284" spans="1:18" ht="12.75">
      <c r="A284" s="205"/>
      <c r="N284" s="1"/>
      <c r="O284" s="1"/>
      <c r="P284" s="1"/>
      <c r="Q284" s="1"/>
      <c r="R284" s="1"/>
    </row>
    <row r="285" spans="1:18" ht="13.5" thickBot="1">
      <c r="A285" s="273" t="s">
        <v>130</v>
      </c>
      <c r="B285" s="273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N285" s="1"/>
      <c r="O285" s="1"/>
      <c r="P285" s="1"/>
      <c r="Q285" s="1"/>
      <c r="R285" s="1"/>
    </row>
    <row r="286" spans="1:18" ht="14.25" thickBot="1" thickTop="1">
      <c r="A286" s="1"/>
      <c r="N286" s="1"/>
      <c r="O286" s="1"/>
      <c r="P286" s="1"/>
      <c r="Q286" s="1"/>
      <c r="R286" s="1"/>
    </row>
    <row r="287" spans="1:18" ht="12.75">
      <c r="A287" s="1"/>
      <c r="B287" s="276" t="s">
        <v>88</v>
      </c>
      <c r="C287" s="276" t="s">
        <v>61</v>
      </c>
      <c r="D287" s="278" t="s">
        <v>7</v>
      </c>
      <c r="E287" s="279"/>
      <c r="F287" s="279"/>
      <c r="G287" s="280"/>
      <c r="H287" s="278" t="s">
        <v>8</v>
      </c>
      <c r="I287" s="279"/>
      <c r="J287" s="279"/>
      <c r="K287" s="280"/>
      <c r="L287" s="289" t="s">
        <v>80</v>
      </c>
      <c r="N287" s="1"/>
      <c r="O287" s="1"/>
      <c r="P287" s="1"/>
      <c r="Q287" s="1"/>
      <c r="R287" s="1"/>
    </row>
    <row r="288" spans="1:18" ht="13.5" thickBot="1">
      <c r="A288" s="1"/>
      <c r="B288" s="288"/>
      <c r="C288" s="277"/>
      <c r="D288" s="7" t="s">
        <v>9</v>
      </c>
      <c r="E288" s="8" t="s">
        <v>10</v>
      </c>
      <c r="F288" s="250" t="s">
        <v>150</v>
      </c>
      <c r="G288" s="9" t="s">
        <v>12</v>
      </c>
      <c r="H288" s="7" t="s">
        <v>9</v>
      </c>
      <c r="I288" s="8" t="s">
        <v>13</v>
      </c>
      <c r="J288" s="8" t="s">
        <v>14</v>
      </c>
      <c r="K288" s="9" t="s">
        <v>15</v>
      </c>
      <c r="L288" s="290"/>
      <c r="N288" s="1"/>
      <c r="O288" s="1"/>
      <c r="P288" s="1"/>
      <c r="Q288" s="1"/>
      <c r="R288" s="1"/>
    </row>
    <row r="289" spans="1:18" ht="12.75">
      <c r="A289" s="205"/>
      <c r="B289" s="115">
        <v>2016</v>
      </c>
      <c r="C289" s="116"/>
      <c r="D289" s="117"/>
      <c r="E289" s="118"/>
      <c r="F289" s="118"/>
      <c r="G289" s="119"/>
      <c r="H289" s="120"/>
      <c r="I289" s="118"/>
      <c r="J289" s="118"/>
      <c r="K289" s="119"/>
      <c r="L289" s="116"/>
      <c r="N289" s="1"/>
      <c r="O289" s="1"/>
      <c r="P289" s="1"/>
      <c r="Q289" s="1"/>
      <c r="R289" s="1"/>
    </row>
    <row r="290" spans="1:18" ht="12.75">
      <c r="A290" s="205"/>
      <c r="B290" s="96" t="s">
        <v>103</v>
      </c>
      <c r="C290" s="126">
        <f>ROUND(+D272*C279*$C$46,2)</f>
        <v>3636.03</v>
      </c>
      <c r="D290" s="165">
        <f>SUM(E290,G290)</f>
        <v>4545.04</v>
      </c>
      <c r="E290" s="122">
        <f>ROUND(+D268*C279*$E$46,2)</f>
        <v>3363.33</v>
      </c>
      <c r="F290" s="122">
        <f>ROUND(+D268*C279*$F$46,2)</f>
        <v>1818.02</v>
      </c>
      <c r="G290" s="122">
        <f>ROUND(+D269*C280*$G$46,2)</f>
        <v>1181.71</v>
      </c>
      <c r="H290" s="136">
        <f>SUM(I290:K290)</f>
        <v>3351.88</v>
      </c>
      <c r="I290" s="122">
        <f>ROUND(+D270*C281*$I$46,2)</f>
        <v>1084.43</v>
      </c>
      <c r="J290" s="122">
        <f>ROUND(+D271*C282*$J$46,2)</f>
        <v>1183.02</v>
      </c>
      <c r="K290" s="122">
        <f>ROUND(+D271*C282*$K$46,2)</f>
        <v>1084.43</v>
      </c>
      <c r="L290" s="125">
        <f>+SUM(C290,E290,G290,I290,J290)</f>
        <v>10448.52</v>
      </c>
      <c r="N290" s="1"/>
      <c r="O290" s="1"/>
      <c r="P290" s="1"/>
      <c r="Q290" s="1"/>
      <c r="R290" s="1"/>
    </row>
    <row r="291" spans="1:12" ht="12.75">
      <c r="A291" s="205"/>
      <c r="B291" s="96" t="str">
        <f>+$B$47</f>
        <v>Netiesioginės sąnaudos</v>
      </c>
      <c r="C291" s="121">
        <v>0</v>
      </c>
      <c r="D291" s="165">
        <f>SUM(E291,G291)</f>
        <v>0</v>
      </c>
      <c r="E291" s="122">
        <v>0</v>
      </c>
      <c r="F291" s="122"/>
      <c r="G291" s="123">
        <v>0</v>
      </c>
      <c r="H291" s="136">
        <f>SUM(I291:K291)</f>
        <v>0</v>
      </c>
      <c r="I291" s="124"/>
      <c r="J291" s="124"/>
      <c r="K291" s="131"/>
      <c r="L291" s="125">
        <f>+SUM(C291,E291,G291,I291,J291)</f>
        <v>0</v>
      </c>
    </row>
    <row r="292" spans="1:12" ht="12.75">
      <c r="A292" s="205"/>
      <c r="B292" s="96" t="str">
        <f>+$B$48</f>
        <v>Veiklos (administracinės) sąnaudos</v>
      </c>
      <c r="C292" s="121">
        <v>0</v>
      </c>
      <c r="D292" s="165">
        <f>SUM(E292,G292)</f>
        <v>0</v>
      </c>
      <c r="E292" s="122">
        <v>0</v>
      </c>
      <c r="F292" s="122"/>
      <c r="G292" s="123">
        <v>0</v>
      </c>
      <c r="H292" s="136">
        <f>SUM(I292:K292)</f>
        <v>0</v>
      </c>
      <c r="I292" s="124"/>
      <c r="J292" s="124"/>
      <c r="K292" s="131"/>
      <c r="L292" s="125">
        <f>+SUM(C292,E292,G292,I292,J292)</f>
        <v>0</v>
      </c>
    </row>
    <row r="293" spans="1:12" ht="12" customHeight="1">
      <c r="A293" s="205"/>
      <c r="B293" s="149" t="str">
        <f>+$B$49</f>
        <v>Mokesčiai</v>
      </c>
      <c r="C293" s="129">
        <v>0</v>
      </c>
      <c r="D293" s="165">
        <f>SUM(E293,G293)</f>
        <v>2727.02</v>
      </c>
      <c r="E293" s="150">
        <f>ROUND(+D268*C279*$E$49,2)</f>
        <v>2727.02</v>
      </c>
      <c r="F293" s="150"/>
      <c r="G293" s="150"/>
      <c r="H293" s="136">
        <f>SUM(I293:K293)</f>
        <v>788.68</v>
      </c>
      <c r="I293" s="150">
        <f>ROUND(D270*C281*$I$49,2)</f>
        <v>0</v>
      </c>
      <c r="J293" s="150">
        <f>ROUND(D271*C282*$J$49,2)</f>
        <v>788.68</v>
      </c>
      <c r="K293" s="153"/>
      <c r="L293" s="125">
        <f>+SUM(C293,E293,G293,I293,J293)</f>
        <v>3515.7</v>
      </c>
    </row>
    <row r="294" spans="1:12" ht="12" customHeight="1">
      <c r="A294" s="205"/>
      <c r="B294" s="141" t="s">
        <v>82</v>
      </c>
      <c r="C294" s="126"/>
      <c r="D294" s="165">
        <f>SUM(E294,G294)</f>
        <v>32074.66666666667</v>
      </c>
      <c r="E294" s="122"/>
      <c r="F294" s="122"/>
      <c r="G294" s="137">
        <f>F300</f>
        <v>32074.66666666667</v>
      </c>
      <c r="H294" s="136">
        <f>SUM(I294:K294)</f>
        <v>30005.33333333333</v>
      </c>
      <c r="I294" s="122">
        <f>F301</f>
        <v>30005.33333333333</v>
      </c>
      <c r="J294" s="122"/>
      <c r="K294" s="137"/>
      <c r="L294" s="125">
        <f>+SUM(C294,E294,G294,I294,J294)</f>
        <v>62080</v>
      </c>
    </row>
    <row r="295" spans="1:12" ht="12" customHeight="1" thickBot="1">
      <c r="A295" s="205"/>
      <c r="B295" s="142" t="s">
        <v>85</v>
      </c>
      <c r="C295" s="197">
        <f aca="true" t="shared" si="10" ref="C295:L295">SUM(C290:C294)</f>
        <v>3636.03</v>
      </c>
      <c r="D295" s="198">
        <f t="shared" si="10"/>
        <v>39346.72666666667</v>
      </c>
      <c r="E295" s="199">
        <f t="shared" si="10"/>
        <v>6090.35</v>
      </c>
      <c r="F295" s="199">
        <f t="shared" si="10"/>
        <v>1818.02</v>
      </c>
      <c r="G295" s="200">
        <f t="shared" si="10"/>
        <v>33256.37666666667</v>
      </c>
      <c r="H295" s="198">
        <f t="shared" si="10"/>
        <v>34145.893333333326</v>
      </c>
      <c r="I295" s="199">
        <f t="shared" si="10"/>
        <v>31089.76333333333</v>
      </c>
      <c r="J295" s="199">
        <f t="shared" si="10"/>
        <v>1971.6999999999998</v>
      </c>
      <c r="K295" s="200">
        <f t="shared" si="10"/>
        <v>1084.43</v>
      </c>
      <c r="L295" s="197">
        <f t="shared" si="10"/>
        <v>76044.22</v>
      </c>
    </row>
    <row r="296" spans="1:12" ht="12.75">
      <c r="A296" s="130"/>
      <c r="B296" s="133"/>
      <c r="C296" s="175"/>
      <c r="D296" s="175"/>
      <c r="E296" s="133"/>
      <c r="F296" s="133"/>
      <c r="G296" s="133"/>
      <c r="H296" s="175"/>
      <c r="I296" s="133"/>
      <c r="J296" s="133"/>
      <c r="K296" s="133"/>
      <c r="L296" s="133"/>
    </row>
    <row r="297" spans="1:12" ht="13.5" thickBot="1">
      <c r="A297" s="155" t="s">
        <v>131</v>
      </c>
      <c r="B297" s="155"/>
      <c r="C297" s="176"/>
      <c r="D297" s="176"/>
      <c r="E297" s="155"/>
      <c r="F297" s="155"/>
      <c r="G297" s="155"/>
      <c r="J297" s="155"/>
      <c r="K297" s="155"/>
      <c r="L297" s="155"/>
    </row>
    <row r="298" spans="1:12" ht="25.5">
      <c r="A298" s="160"/>
      <c r="B298" s="161"/>
      <c r="C298" s="207" t="s">
        <v>94</v>
      </c>
      <c r="D298" s="162" t="s">
        <v>95</v>
      </c>
      <c r="E298" s="162" t="s">
        <v>92</v>
      </c>
      <c r="F298" s="163" t="s">
        <v>93</v>
      </c>
      <c r="G298" s="160"/>
      <c r="J298" s="229"/>
      <c r="K298" s="229"/>
      <c r="L298" s="160"/>
    </row>
    <row r="299" spans="1:12" ht="12.75">
      <c r="A299" s="130"/>
      <c r="B299" s="128" t="s">
        <v>113</v>
      </c>
      <c r="C299" s="166">
        <f>SUM(C300:C301)</f>
        <v>18</v>
      </c>
      <c r="D299" s="168">
        <v>3104</v>
      </c>
      <c r="E299" s="169"/>
      <c r="F299" s="137">
        <f>SUM(F300:F301)</f>
        <v>62080</v>
      </c>
      <c r="G299" s="133"/>
      <c r="J299" s="230"/>
      <c r="K299" s="244"/>
      <c r="L299" s="133"/>
    </row>
    <row r="300" spans="1:12" ht="12.75">
      <c r="A300" s="130"/>
      <c r="B300" s="128" t="s">
        <v>114</v>
      </c>
      <c r="C300" s="166">
        <v>9.3</v>
      </c>
      <c r="D300" s="122">
        <f>D299*(C300/C299)</f>
        <v>1603.7333333333336</v>
      </c>
      <c r="E300" s="169">
        <v>50</v>
      </c>
      <c r="F300" s="137">
        <f>D300/E300*1000</f>
        <v>32074.66666666667</v>
      </c>
      <c r="G300" s="133"/>
      <c r="J300" s="133"/>
      <c r="K300" s="245"/>
      <c r="L300" s="133"/>
    </row>
    <row r="301" spans="1:12" ht="13.5" thickBot="1">
      <c r="A301" s="130"/>
      <c r="B301" s="132" t="s">
        <v>115</v>
      </c>
      <c r="C301" s="167">
        <v>8.7</v>
      </c>
      <c r="D301" s="127">
        <f>D299*(C301/C299)</f>
        <v>1500.2666666666664</v>
      </c>
      <c r="E301" s="170">
        <v>50</v>
      </c>
      <c r="F301" s="138">
        <f>D301/E301*1000</f>
        <v>30005.33333333333</v>
      </c>
      <c r="G301" s="133"/>
      <c r="J301" s="133"/>
      <c r="K301" s="133"/>
      <c r="L301" s="133"/>
    </row>
    <row r="302" spans="1:12" ht="12.75">
      <c r="A302" s="130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</row>
    <row r="303" spans="1:19" s="133" customFormat="1" ht="12.75">
      <c r="A303" s="130"/>
      <c r="N303" s="1"/>
      <c r="O303" s="1"/>
      <c r="P303" s="1"/>
      <c r="Q303" s="1"/>
      <c r="R303" s="1"/>
      <c r="S303" s="1"/>
    </row>
    <row r="304" spans="1:19" s="133" customFormat="1" ht="13.5" thickBot="1">
      <c r="A304" s="273" t="s">
        <v>132</v>
      </c>
      <c r="B304" s="273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N304" s="1"/>
      <c r="O304" s="1"/>
      <c r="P304" s="1"/>
      <c r="Q304" s="1"/>
      <c r="R304" s="1"/>
      <c r="S304" s="1"/>
    </row>
    <row r="305" spans="1:19" s="133" customFormat="1" ht="14.25" thickBot="1" thickTop="1">
      <c r="A305" s="130"/>
      <c r="N305" s="1"/>
      <c r="O305" s="1"/>
      <c r="P305" s="1"/>
      <c r="Q305" s="1"/>
      <c r="R305" s="1"/>
      <c r="S305" s="1"/>
    </row>
    <row r="306" spans="1:18" ht="12.75" customHeight="1">
      <c r="A306" s="205"/>
      <c r="B306" s="274" t="s">
        <v>81</v>
      </c>
      <c r="C306" s="283" t="s">
        <v>61</v>
      </c>
      <c r="D306" s="278" t="s">
        <v>7</v>
      </c>
      <c r="E306" s="279"/>
      <c r="F306" s="279"/>
      <c r="G306" s="285"/>
      <c r="H306" s="278" t="s">
        <v>8</v>
      </c>
      <c r="I306" s="279"/>
      <c r="J306" s="279"/>
      <c r="K306" s="280"/>
      <c r="L306" s="281" t="s">
        <v>100</v>
      </c>
      <c r="N306" s="1"/>
      <c r="O306" s="1"/>
      <c r="P306" s="1"/>
      <c r="Q306" s="1"/>
      <c r="R306" s="1"/>
    </row>
    <row r="307" spans="1:18" ht="13.5" thickBot="1">
      <c r="A307" s="205"/>
      <c r="B307" s="275"/>
      <c r="C307" s="284"/>
      <c r="D307" s="7" t="s">
        <v>9</v>
      </c>
      <c r="E307" s="8" t="s">
        <v>10</v>
      </c>
      <c r="F307" s="250" t="s">
        <v>150</v>
      </c>
      <c r="G307" s="114" t="s">
        <v>12</v>
      </c>
      <c r="H307" s="7" t="s">
        <v>9</v>
      </c>
      <c r="I307" s="8" t="s">
        <v>13</v>
      </c>
      <c r="J307" s="8" t="s">
        <v>14</v>
      </c>
      <c r="K307" s="9" t="s">
        <v>15</v>
      </c>
      <c r="L307" s="282"/>
      <c r="N307" s="1"/>
      <c r="O307" s="1"/>
      <c r="P307" s="1"/>
      <c r="Q307" s="1"/>
      <c r="R307" s="1"/>
    </row>
    <row r="308" spans="1:18" ht="19.5" customHeight="1">
      <c r="A308" s="205"/>
      <c r="B308" s="179" t="s">
        <v>96</v>
      </c>
      <c r="C308" s="210">
        <f>ROUND($C$37/3.4528/$C$15,3)</f>
        <v>0.128</v>
      </c>
      <c r="D308" s="211">
        <f>ROUND($D$37/3.4528/$E$15,3)</f>
        <v>0.566</v>
      </c>
      <c r="E308" s="212">
        <f>ROUND($E$37/3.4528/$E$15,3)</f>
        <v>0.274</v>
      </c>
      <c r="F308" s="212">
        <f>ROUND($F$37/3.4528/$F$15,3)</f>
        <v>0.083</v>
      </c>
      <c r="G308" s="213">
        <f>ROUND($G$37/3.4528/$G$15,3)</f>
        <v>0.292</v>
      </c>
      <c r="H308" s="211">
        <f>ROUND($H$37/3.4528/$I$15,3)</f>
        <v>0.566</v>
      </c>
      <c r="I308" s="214">
        <f>ROUND($I$37/3.4528/$I$15,3)</f>
        <v>0.261</v>
      </c>
      <c r="J308" s="214">
        <f>ROUND($J$37/3.4528/$J$15,3)</f>
        <v>0.214</v>
      </c>
      <c r="K308" s="215">
        <f>ROUND($K$37/3.4528/$K$15,3)</f>
        <v>0.092</v>
      </c>
      <c r="L308" s="216">
        <f>C308+D308+H308</f>
        <v>1.2599999999999998</v>
      </c>
      <c r="N308" s="1"/>
      <c r="O308" s="1"/>
      <c r="P308" s="1"/>
      <c r="Q308" s="1"/>
      <c r="R308" s="1"/>
    </row>
    <row r="309" spans="1:19" s="135" customFormat="1" ht="22.5" customHeight="1" thickBot="1">
      <c r="A309" s="134"/>
      <c r="B309" s="180" t="s">
        <v>97</v>
      </c>
      <c r="C309" s="217">
        <f>ROUND(($C$37/3.4528+C295/1000)/($C$15+D279),3)</f>
        <v>0.128</v>
      </c>
      <c r="D309" s="218">
        <f>ROUND(($D$37/3.4528+D295/1000)/($C$15+D279),3)</f>
        <v>0.567</v>
      </c>
      <c r="E309" s="219">
        <f>ROUND(($E$37/3.4528+E295/1000)/($C$15+D279),3)</f>
        <v>0.273</v>
      </c>
      <c r="F309" s="219">
        <f>ROUND(($F$37/3.4528+F295/1000)/($C$15+D279),3)</f>
        <v>0.083</v>
      </c>
      <c r="G309" s="220">
        <f>ROUND(($G$37/3.4528+G295/1000)/($C$15+D280),3)</f>
        <v>0.294</v>
      </c>
      <c r="H309" s="218">
        <f>ROUND(($H$37/3.4528+H295/1000)/($I$15+D281),3)</f>
        <v>0.567</v>
      </c>
      <c r="I309" s="219">
        <f>ROUND(($I$37/3.4528+I295/1000)/($I$15+D281),3)</f>
        <v>0.263</v>
      </c>
      <c r="J309" s="219">
        <f>ROUND(($J$37/3.4528+J295/1000)/($I$15+D282),3)</f>
        <v>0.213</v>
      </c>
      <c r="K309" s="221">
        <f>ROUND(($K$37/3.4528+K295/1000)/($I$15+D282),3)</f>
        <v>0.091</v>
      </c>
      <c r="L309" s="222">
        <f>C309+D309+H309</f>
        <v>1.262</v>
      </c>
      <c r="N309" s="1"/>
      <c r="O309" s="1"/>
      <c r="P309" s="1"/>
      <c r="Q309" s="1"/>
      <c r="R309" s="1"/>
      <c r="S309" s="1"/>
    </row>
    <row r="310" spans="14:18" ht="12.75">
      <c r="N310" s="1"/>
      <c r="O310" s="1"/>
      <c r="P310" s="1"/>
      <c r="Q310" s="1"/>
      <c r="R310" s="1"/>
    </row>
    <row r="311" spans="1:18" ht="12.75">
      <c r="A311" s="271"/>
      <c r="N311" s="1"/>
      <c r="O311" s="1"/>
      <c r="P311" s="1"/>
      <c r="Q311" s="1"/>
      <c r="R311" s="1"/>
    </row>
    <row r="312" spans="14:18" ht="12.75">
      <c r="N312" s="1"/>
      <c r="O312" s="1"/>
      <c r="P312" s="1"/>
      <c r="Q312" s="1"/>
      <c r="R312" s="1"/>
    </row>
    <row r="313" spans="2:18" ht="12.75">
      <c r="B313" s="291" t="s">
        <v>174</v>
      </c>
      <c r="C313" s="291"/>
      <c r="D313" s="291"/>
      <c r="E313" s="291"/>
      <c r="F313" s="291"/>
      <c r="G313" s="291"/>
      <c r="H313" s="291"/>
      <c r="I313" s="291"/>
      <c r="J313" s="291"/>
      <c r="K313" s="291"/>
      <c r="L313" s="291"/>
      <c r="N313" s="1"/>
      <c r="O313" s="1"/>
      <c r="P313" s="1"/>
      <c r="Q313" s="1"/>
      <c r="R313" s="1"/>
    </row>
    <row r="314" spans="2:18" ht="12.75">
      <c r="B314" s="291"/>
      <c r="C314" s="291"/>
      <c r="D314" s="291"/>
      <c r="E314" s="291"/>
      <c r="F314" s="291"/>
      <c r="G314" s="291"/>
      <c r="H314" s="291"/>
      <c r="I314" s="291"/>
      <c r="J314" s="291"/>
      <c r="K314" s="291"/>
      <c r="L314" s="291"/>
      <c r="N314" s="1"/>
      <c r="O314" s="1"/>
      <c r="P314" s="1"/>
      <c r="Q314" s="1"/>
      <c r="R314" s="1"/>
    </row>
    <row r="315" spans="14:18" ht="12.75" hidden="1">
      <c r="N315" s="1"/>
      <c r="O315" s="1"/>
      <c r="P315" s="1"/>
      <c r="Q315" s="1"/>
      <c r="R315" s="1"/>
    </row>
    <row r="316" spans="1:18" ht="13.5" hidden="1" thickBot="1">
      <c r="A316" s="152" t="s">
        <v>128</v>
      </c>
      <c r="B316" s="152"/>
      <c r="C316" s="152"/>
      <c r="D316" s="152"/>
      <c r="E316" s="152"/>
      <c r="F316" s="155"/>
      <c r="G316" s="155"/>
      <c r="H316" s="155"/>
      <c r="I316" s="155"/>
      <c r="J316" s="155"/>
      <c r="K316" s="155"/>
      <c r="L316" s="155"/>
      <c r="M316" s="133"/>
      <c r="N316" s="1"/>
      <c r="O316" s="1"/>
      <c r="P316" s="1"/>
      <c r="Q316" s="1"/>
      <c r="R316" s="1"/>
    </row>
    <row r="317" spans="1:18" ht="14.25" customHeight="1" hidden="1" thickBot="1" thickTop="1">
      <c r="A317" s="206"/>
      <c r="D317" s="104"/>
      <c r="E317" s="104"/>
      <c r="N317" s="1"/>
      <c r="O317" s="1"/>
      <c r="P317" s="1"/>
      <c r="Q317" s="1"/>
      <c r="R317" s="1"/>
    </row>
    <row r="318" spans="1:18" ht="28.5" customHeight="1" hidden="1" thickBot="1">
      <c r="A318" s="206"/>
      <c r="B318" s="292" t="s">
        <v>68</v>
      </c>
      <c r="C318" s="159">
        <v>2016</v>
      </c>
      <c r="D318" s="157"/>
      <c r="N318" s="1"/>
      <c r="O318" s="1"/>
      <c r="P318" s="1"/>
      <c r="Q318" s="1"/>
      <c r="R318" s="1"/>
    </row>
    <row r="319" spans="1:18" ht="15.75" customHeight="1" hidden="1">
      <c r="A319" s="206"/>
      <c r="B319" s="293"/>
      <c r="C319" s="158" t="s">
        <v>69</v>
      </c>
      <c r="D319" s="156" t="s">
        <v>70</v>
      </c>
      <c r="N319" s="1"/>
      <c r="O319" s="1"/>
      <c r="P319" s="1"/>
      <c r="Q319" s="1"/>
      <c r="R319" s="1"/>
    </row>
    <row r="320" spans="1:18" ht="13.5" customHeight="1" hidden="1">
      <c r="A320" s="206"/>
      <c r="B320" s="61" t="s">
        <v>71</v>
      </c>
      <c r="C320" s="105">
        <v>0</v>
      </c>
      <c r="D320" s="164">
        <v>0</v>
      </c>
      <c r="N320" s="1"/>
      <c r="O320" s="1"/>
      <c r="P320" s="1"/>
      <c r="Q320" s="1"/>
      <c r="R320" s="1"/>
    </row>
    <row r="321" spans="1:18" ht="12.75" hidden="1">
      <c r="A321" s="206"/>
      <c r="B321" s="61" t="s">
        <v>72</v>
      </c>
      <c r="C321" s="105">
        <v>0</v>
      </c>
      <c r="D321" s="164">
        <v>0</v>
      </c>
      <c r="N321" s="1"/>
      <c r="O321" s="1"/>
      <c r="P321" s="1"/>
      <c r="Q321" s="1"/>
      <c r="R321" s="1"/>
    </row>
    <row r="322" spans="1:18" ht="13.5" customHeight="1" hidden="1">
      <c r="A322" s="206"/>
      <c r="B322" s="61" t="s">
        <v>73</v>
      </c>
      <c r="C322" s="106">
        <v>0</v>
      </c>
      <c r="D322" s="164">
        <v>0</v>
      </c>
      <c r="N322" s="1"/>
      <c r="O322" s="1"/>
      <c r="P322" s="1"/>
      <c r="Q322" s="1"/>
      <c r="R322" s="1"/>
    </row>
    <row r="323" spans="1:18" ht="13.5" customHeight="1" hidden="1">
      <c r="A323" s="206"/>
      <c r="B323" s="61" t="s">
        <v>74</v>
      </c>
      <c r="C323" s="106">
        <v>0</v>
      </c>
      <c r="D323" s="164">
        <v>0</v>
      </c>
      <c r="N323" s="1"/>
      <c r="O323" s="1"/>
      <c r="P323" s="1"/>
      <c r="Q323" s="1"/>
      <c r="R323" s="1"/>
    </row>
    <row r="324" spans="1:15" ht="13.5" customHeight="1" hidden="1">
      <c r="A324" s="206"/>
      <c r="B324" s="61" t="s">
        <v>75</v>
      </c>
      <c r="C324" s="107">
        <f>+C321</f>
        <v>0</v>
      </c>
      <c r="D324" s="164">
        <v>0</v>
      </c>
      <c r="O324" s="113"/>
    </row>
    <row r="325" spans="1:15" ht="14.25" customHeight="1" hidden="1" thickBot="1">
      <c r="A325" s="206"/>
      <c r="B325" s="209" t="s">
        <v>76</v>
      </c>
      <c r="C325" s="109"/>
      <c r="D325" s="110">
        <v>0</v>
      </c>
      <c r="O325" s="113"/>
    </row>
    <row r="326" spans="1:15" ht="12.75" hidden="1">
      <c r="A326" s="206"/>
      <c r="O326" s="113"/>
    </row>
    <row r="327" spans="1:15" ht="12.75" hidden="1">
      <c r="A327" s="206"/>
      <c r="O327" s="113"/>
    </row>
    <row r="328" spans="1:15" ht="13.5" hidden="1" thickBot="1">
      <c r="A328" s="152" t="s">
        <v>129</v>
      </c>
      <c r="B328" s="152"/>
      <c r="C328" s="152"/>
      <c r="D328" s="152"/>
      <c r="E328" s="152"/>
      <c r="F328" s="152"/>
      <c r="O328" s="113"/>
    </row>
    <row r="329" spans="1:15" ht="12.75" hidden="1">
      <c r="A329" s="206"/>
      <c r="O329" s="113"/>
    </row>
    <row r="330" spans="1:15" ht="38.25" customHeight="1" hidden="1">
      <c r="A330" s="206"/>
      <c r="B330" s="208" t="s">
        <v>78</v>
      </c>
      <c r="C330" s="154" t="s">
        <v>79</v>
      </c>
      <c r="D330" s="294" t="s">
        <v>86</v>
      </c>
      <c r="E330" s="295"/>
      <c r="O330" s="113"/>
    </row>
    <row r="331" spans="1:15" ht="12.75" hidden="1">
      <c r="A331" s="206"/>
      <c r="B331" s="61" t="s">
        <v>71</v>
      </c>
      <c r="C331" s="111">
        <f>ROUND(+$E$16*1000/($C$20+$C$21),3)</f>
        <v>76.004</v>
      </c>
      <c r="D331" s="296">
        <f>D320*C331/1000</f>
        <v>0</v>
      </c>
      <c r="E331" s="297"/>
      <c r="O331" s="113"/>
    </row>
    <row r="332" spans="1:15" ht="12.75" hidden="1">
      <c r="A332" s="206"/>
      <c r="B332" s="61" t="s">
        <v>72</v>
      </c>
      <c r="C332" s="111">
        <f>ROUND(+$G$16*1000/($C$20+$C$21),3)</f>
        <v>76.004</v>
      </c>
      <c r="D332" s="296">
        <f>D321*C332/1000</f>
        <v>0</v>
      </c>
      <c r="E332" s="297"/>
      <c r="O332" s="113"/>
    </row>
    <row r="333" spans="1:15" ht="12.75" hidden="1">
      <c r="A333" s="206"/>
      <c r="B333" s="61" t="s">
        <v>73</v>
      </c>
      <c r="C333" s="111">
        <f>ROUND(+$I$16*1000/($C$20+$C$21),3)</f>
        <v>73.134</v>
      </c>
      <c r="D333" s="296">
        <f>D322*C333/1000</f>
        <v>0</v>
      </c>
      <c r="E333" s="297"/>
      <c r="O333" s="113"/>
    </row>
    <row r="334" spans="1:15" ht="14.25" customHeight="1" hidden="1" thickBot="1">
      <c r="A334" s="206"/>
      <c r="B334" s="209" t="s">
        <v>74</v>
      </c>
      <c r="C334" s="112">
        <f>ROUND(+$J$16*1000/($C$20+$C$21),3)</f>
        <v>73.134</v>
      </c>
      <c r="D334" s="286">
        <f>D323*C334/1000</f>
        <v>0</v>
      </c>
      <c r="E334" s="287"/>
      <c r="O334" s="113"/>
    </row>
    <row r="335" spans="1:18" ht="12.75" hidden="1">
      <c r="A335" s="206"/>
      <c r="N335" s="1"/>
      <c r="O335" s="1"/>
      <c r="P335" s="1"/>
      <c r="Q335" s="1"/>
      <c r="R335" s="1"/>
    </row>
    <row r="336" spans="1:18" ht="12.75">
      <c r="A336" s="206"/>
      <c r="N336" s="1"/>
      <c r="O336" s="1"/>
      <c r="P336" s="1"/>
      <c r="Q336" s="1"/>
      <c r="R336" s="1"/>
    </row>
    <row r="337" spans="1:18" ht="13.5" thickBot="1">
      <c r="A337" s="273" t="s">
        <v>151</v>
      </c>
      <c r="B337" s="273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N337" s="1"/>
      <c r="O337" s="1"/>
      <c r="P337" s="1"/>
      <c r="Q337" s="1"/>
      <c r="R337" s="1"/>
    </row>
    <row r="338" spans="1:18" ht="14.25" thickBot="1" thickTop="1">
      <c r="A338" s="1"/>
      <c r="N338" s="1"/>
      <c r="O338" s="1"/>
      <c r="P338" s="1"/>
      <c r="Q338" s="1"/>
      <c r="R338" s="1"/>
    </row>
    <row r="339" spans="1:18" ht="12.75">
      <c r="A339" s="1"/>
      <c r="B339" s="276" t="s">
        <v>88</v>
      </c>
      <c r="C339" s="276" t="s">
        <v>61</v>
      </c>
      <c r="D339" s="278" t="s">
        <v>7</v>
      </c>
      <c r="E339" s="279"/>
      <c r="F339" s="279"/>
      <c r="G339" s="280"/>
      <c r="H339" s="278" t="s">
        <v>8</v>
      </c>
      <c r="I339" s="279"/>
      <c r="J339" s="279"/>
      <c r="K339" s="280"/>
      <c r="L339" s="289" t="s">
        <v>80</v>
      </c>
      <c r="N339" s="1"/>
      <c r="O339" s="1"/>
      <c r="P339" s="1"/>
      <c r="Q339" s="1"/>
      <c r="R339" s="1"/>
    </row>
    <row r="340" spans="1:18" ht="13.5" thickBot="1">
      <c r="A340" s="1"/>
      <c r="B340" s="288"/>
      <c r="C340" s="277"/>
      <c r="D340" s="7" t="s">
        <v>9</v>
      </c>
      <c r="E340" s="8" t="s">
        <v>10</v>
      </c>
      <c r="F340" s="250" t="s">
        <v>150</v>
      </c>
      <c r="G340" s="9" t="s">
        <v>12</v>
      </c>
      <c r="H340" s="7" t="s">
        <v>9</v>
      </c>
      <c r="I340" s="8" t="s">
        <v>13</v>
      </c>
      <c r="J340" s="8" t="s">
        <v>14</v>
      </c>
      <c r="K340" s="9" t="s">
        <v>15</v>
      </c>
      <c r="L340" s="290"/>
      <c r="N340" s="1"/>
      <c r="O340" s="1"/>
      <c r="P340" s="1"/>
      <c r="Q340" s="1"/>
      <c r="R340" s="1"/>
    </row>
    <row r="341" spans="1:18" ht="12.75">
      <c r="A341" s="206"/>
      <c r="B341" s="115">
        <v>2016</v>
      </c>
      <c r="C341" s="116"/>
      <c r="D341" s="117"/>
      <c r="E341" s="118"/>
      <c r="F341" s="118"/>
      <c r="G341" s="119"/>
      <c r="H341" s="120"/>
      <c r="I341" s="118"/>
      <c r="J341" s="118"/>
      <c r="K341" s="119"/>
      <c r="L341" s="116"/>
      <c r="N341" s="1"/>
      <c r="O341" s="1"/>
      <c r="P341" s="1"/>
      <c r="Q341" s="1"/>
      <c r="R341" s="1"/>
    </row>
    <row r="342" spans="1:18" ht="12.75">
      <c r="A342" s="206"/>
      <c r="B342" s="96" t="s">
        <v>103</v>
      </c>
      <c r="C342" s="126">
        <f>ROUND(+D324*C331*$C$46,2)</f>
        <v>0</v>
      </c>
      <c r="D342" s="165">
        <f>SUM(E342,G342)</f>
        <v>3404</v>
      </c>
      <c r="E342" s="122">
        <f>(ROUND(+D320*C331*$E$46,2))+I353</f>
        <v>3404</v>
      </c>
      <c r="F342" s="122">
        <f>(ROUND(+D320*C331*$F$46,2))+I353</f>
        <v>3404</v>
      </c>
      <c r="G342" s="122">
        <f>ROUND(+D321*C332*$G$46,2)</f>
        <v>0</v>
      </c>
      <c r="H342" s="136">
        <f>SUM(I342:K342)</f>
        <v>0</v>
      </c>
      <c r="I342" s="122">
        <f>ROUND(+D322*C333*$I$46,2)</f>
        <v>0</v>
      </c>
      <c r="J342" s="122">
        <f>ROUND(+D323*C334*$J$46,2)</f>
        <v>0</v>
      </c>
      <c r="K342" s="122">
        <f>ROUND(+D323*C334*$K$46,2)</f>
        <v>0</v>
      </c>
      <c r="L342" s="125">
        <f>+SUM(C342,E342,G342,I342,J342)</f>
        <v>3404</v>
      </c>
      <c r="N342" s="1"/>
      <c r="O342" s="1"/>
      <c r="P342" s="1"/>
      <c r="Q342" s="1"/>
      <c r="R342" s="1"/>
    </row>
    <row r="343" spans="1:12" ht="12.75">
      <c r="A343" s="206"/>
      <c r="B343" s="96" t="str">
        <f>+$B$47</f>
        <v>Netiesioginės sąnaudos</v>
      </c>
      <c r="C343" s="121">
        <v>0</v>
      </c>
      <c r="D343" s="165">
        <f>SUM(E343,G343)</f>
        <v>0</v>
      </c>
      <c r="E343" s="122">
        <v>0</v>
      </c>
      <c r="F343" s="122"/>
      <c r="G343" s="123">
        <v>0</v>
      </c>
      <c r="H343" s="136">
        <f>SUM(I343:K343)</f>
        <v>0</v>
      </c>
      <c r="I343" s="124"/>
      <c r="J343" s="124"/>
      <c r="K343" s="131"/>
      <c r="L343" s="125">
        <f>+SUM(C343,E343,G343,I343,J343)</f>
        <v>0</v>
      </c>
    </row>
    <row r="344" spans="1:12" ht="12.75">
      <c r="A344" s="206"/>
      <c r="B344" s="96" t="str">
        <f>+$B$48</f>
        <v>Veiklos (administracinės) sąnaudos</v>
      </c>
      <c r="C344" s="121">
        <v>0</v>
      </c>
      <c r="D344" s="165">
        <f>SUM(E344,G344)</f>
        <v>0</v>
      </c>
      <c r="E344" s="122">
        <v>0</v>
      </c>
      <c r="F344" s="122"/>
      <c r="G344" s="123">
        <v>0</v>
      </c>
      <c r="H344" s="136">
        <f>SUM(I344:K344)</f>
        <v>0</v>
      </c>
      <c r="I344" s="124"/>
      <c r="J344" s="124"/>
      <c r="K344" s="131"/>
      <c r="L344" s="125">
        <f>+SUM(C344,E344,G344,I344,J344)</f>
        <v>0</v>
      </c>
    </row>
    <row r="345" spans="1:12" ht="12" customHeight="1">
      <c r="A345" s="206"/>
      <c r="B345" s="149" t="str">
        <f>+$B$49</f>
        <v>Mokesčiai</v>
      </c>
      <c r="C345" s="129">
        <v>0</v>
      </c>
      <c r="D345" s="165">
        <f>SUM(E345,G345)</f>
        <v>0</v>
      </c>
      <c r="E345" s="150">
        <f>ROUND(+D320*C331*$E$49,2)</f>
        <v>0</v>
      </c>
      <c r="F345" s="150"/>
      <c r="G345" s="150"/>
      <c r="H345" s="136">
        <f>SUM(I345:K345)</f>
        <v>0</v>
      </c>
      <c r="I345" s="150">
        <f>ROUND(D322*C333*$I$49,2)</f>
        <v>0</v>
      </c>
      <c r="J345" s="150">
        <f>ROUND(D323*C334*$J$49,2)</f>
        <v>0</v>
      </c>
      <c r="K345" s="153"/>
      <c r="L345" s="125">
        <f>+SUM(C345,E345,G345,I345,J345)</f>
        <v>0</v>
      </c>
    </row>
    <row r="346" spans="1:12" ht="12" customHeight="1">
      <c r="A346" s="206"/>
      <c r="B346" s="141" t="s">
        <v>82</v>
      </c>
      <c r="C346" s="126"/>
      <c r="D346" s="165">
        <f>SUM(E346,G346)</f>
        <v>24500</v>
      </c>
      <c r="E346" s="150">
        <f>(ROUND(+D321*C332*$E$49,2))+F351</f>
        <v>24500</v>
      </c>
      <c r="F346" s="122">
        <f>F351</f>
        <v>24500</v>
      </c>
      <c r="G346" s="137">
        <f>F352</f>
        <v>0</v>
      </c>
      <c r="H346" s="136">
        <f>SUM(I346:K346)</f>
        <v>0</v>
      </c>
      <c r="I346" s="122">
        <f>F353</f>
        <v>0</v>
      </c>
      <c r="J346" s="122"/>
      <c r="K346" s="137"/>
      <c r="L346" s="125">
        <f>+SUM(C346,E346,G346,I346,J346)</f>
        <v>24500</v>
      </c>
    </row>
    <row r="347" spans="1:12" ht="12" customHeight="1" thickBot="1">
      <c r="A347" s="206"/>
      <c r="B347" s="142" t="s">
        <v>85</v>
      </c>
      <c r="C347" s="197">
        <f aca="true" t="shared" si="11" ref="C347:L347">SUM(C342:C346)</f>
        <v>0</v>
      </c>
      <c r="D347" s="198">
        <f t="shared" si="11"/>
        <v>27904</v>
      </c>
      <c r="E347" s="199">
        <f t="shared" si="11"/>
        <v>27904</v>
      </c>
      <c r="F347" s="199">
        <f t="shared" si="11"/>
        <v>27904</v>
      </c>
      <c r="G347" s="200">
        <f t="shared" si="11"/>
        <v>0</v>
      </c>
      <c r="H347" s="198">
        <f t="shared" si="11"/>
        <v>0</v>
      </c>
      <c r="I347" s="199">
        <f t="shared" si="11"/>
        <v>0</v>
      </c>
      <c r="J347" s="199">
        <f t="shared" si="11"/>
        <v>0</v>
      </c>
      <c r="K347" s="200">
        <f t="shared" si="11"/>
        <v>0</v>
      </c>
      <c r="L347" s="197">
        <f t="shared" si="11"/>
        <v>27904</v>
      </c>
    </row>
    <row r="348" spans="1:12" ht="12.75">
      <c r="A348" s="130"/>
      <c r="B348" s="133"/>
      <c r="C348" s="175"/>
      <c r="D348" s="175"/>
      <c r="E348" s="133"/>
      <c r="F348" s="133"/>
      <c r="G348" s="133"/>
      <c r="H348" s="175"/>
      <c r="I348" s="133"/>
      <c r="J348" s="133"/>
      <c r="K348" s="133"/>
      <c r="L348" s="133"/>
    </row>
    <row r="349" spans="1:12" ht="13.5" thickBot="1">
      <c r="A349" s="155" t="s">
        <v>152</v>
      </c>
      <c r="B349" s="155"/>
      <c r="C349" s="176"/>
      <c r="D349" s="176"/>
      <c r="E349" s="155"/>
      <c r="F349" s="155"/>
      <c r="G349" s="155"/>
      <c r="H349" s="176" t="s">
        <v>153</v>
      </c>
      <c r="I349" s="155"/>
      <c r="J349" s="155"/>
      <c r="K349" s="155"/>
      <c r="L349" s="155"/>
    </row>
    <row r="350" spans="1:12" ht="38.25">
      <c r="A350" s="160"/>
      <c r="B350" s="161"/>
      <c r="C350" s="207" t="s">
        <v>149</v>
      </c>
      <c r="D350" s="162" t="s">
        <v>95</v>
      </c>
      <c r="E350" s="162" t="s">
        <v>92</v>
      </c>
      <c r="F350" s="163" t="s">
        <v>93</v>
      </c>
      <c r="G350" s="160"/>
      <c r="H350" s="233" t="s">
        <v>146</v>
      </c>
      <c r="I350" s="235" t="s">
        <v>133</v>
      </c>
      <c r="J350" s="160"/>
      <c r="K350" s="160"/>
      <c r="L350" s="160"/>
    </row>
    <row r="351" spans="1:12" ht="13.5" thickBot="1">
      <c r="A351" s="130"/>
      <c r="B351" s="132" t="s">
        <v>116</v>
      </c>
      <c r="C351" s="167">
        <v>2</v>
      </c>
      <c r="D351" s="226">
        <v>294</v>
      </c>
      <c r="E351" s="170">
        <v>12</v>
      </c>
      <c r="F351" s="138">
        <f>D351/E351*1000</f>
        <v>24500</v>
      </c>
      <c r="G351" s="133"/>
      <c r="H351" s="236" t="s">
        <v>147</v>
      </c>
      <c r="I351" s="237">
        <v>1702</v>
      </c>
      <c r="J351" s="133"/>
      <c r="K351" s="133"/>
      <c r="L351" s="133"/>
    </row>
    <row r="352" spans="1:12" ht="12.75">
      <c r="A352" s="130"/>
      <c r="B352" s="246"/>
      <c r="C352" s="247"/>
      <c r="D352" s="248"/>
      <c r="E352" s="246"/>
      <c r="F352" s="248"/>
      <c r="G352" s="133"/>
      <c r="H352" s="128" t="s">
        <v>148</v>
      </c>
      <c r="I352" s="237">
        <v>1702</v>
      </c>
      <c r="J352" s="133"/>
      <c r="K352" s="133"/>
      <c r="L352" s="133"/>
    </row>
    <row r="353" spans="1:12" ht="13.5" thickBot="1">
      <c r="A353" s="130"/>
      <c r="B353" s="246"/>
      <c r="C353" s="247"/>
      <c r="D353" s="248"/>
      <c r="E353" s="246"/>
      <c r="F353" s="248"/>
      <c r="G353" s="133"/>
      <c r="H353" s="239" t="s">
        <v>107</v>
      </c>
      <c r="I353" s="240">
        <f>SUM(I351:I352)</f>
        <v>3404</v>
      </c>
      <c r="J353" s="133"/>
      <c r="K353" s="133"/>
      <c r="L353" s="133"/>
    </row>
    <row r="354" spans="1:12" ht="12.75">
      <c r="A354" s="130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</row>
    <row r="355" spans="1:19" s="133" customFormat="1" ht="12.75">
      <c r="A355" s="130"/>
      <c r="N355" s="1"/>
      <c r="O355" s="1"/>
      <c r="P355" s="1"/>
      <c r="Q355" s="1"/>
      <c r="R355" s="1"/>
      <c r="S355" s="1"/>
    </row>
    <row r="356" spans="1:19" s="133" customFormat="1" ht="13.5" thickBot="1">
      <c r="A356" s="273" t="s">
        <v>154</v>
      </c>
      <c r="B356" s="273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N356" s="1"/>
      <c r="O356" s="1"/>
      <c r="P356" s="1"/>
      <c r="Q356" s="1"/>
      <c r="R356" s="1"/>
      <c r="S356" s="1"/>
    </row>
    <row r="357" spans="1:19" s="133" customFormat="1" ht="14.25" thickBot="1" thickTop="1">
      <c r="A357" s="130"/>
      <c r="N357" s="1"/>
      <c r="O357" s="1"/>
      <c r="P357" s="1"/>
      <c r="Q357" s="1"/>
      <c r="R357" s="1"/>
      <c r="S357" s="1"/>
    </row>
    <row r="358" spans="1:18" ht="12.75" customHeight="1">
      <c r="A358" s="206"/>
      <c r="B358" s="274" t="s">
        <v>81</v>
      </c>
      <c r="C358" s="283" t="s">
        <v>61</v>
      </c>
      <c r="D358" s="278" t="s">
        <v>7</v>
      </c>
      <c r="E358" s="279"/>
      <c r="F358" s="279"/>
      <c r="G358" s="285"/>
      <c r="H358" s="278" t="s">
        <v>8</v>
      </c>
      <c r="I358" s="279"/>
      <c r="J358" s="279"/>
      <c r="K358" s="280"/>
      <c r="L358" s="281" t="s">
        <v>100</v>
      </c>
      <c r="N358" s="1"/>
      <c r="O358" s="1"/>
      <c r="P358" s="1"/>
      <c r="Q358" s="1"/>
      <c r="R358" s="1"/>
    </row>
    <row r="359" spans="1:18" ht="13.5" thickBot="1">
      <c r="A359" s="206"/>
      <c r="B359" s="275"/>
      <c r="C359" s="284"/>
      <c r="D359" s="7" t="s">
        <v>9</v>
      </c>
      <c r="E359" s="8" t="s">
        <v>10</v>
      </c>
      <c r="F359" s="250" t="s">
        <v>150</v>
      </c>
      <c r="G359" s="114" t="s">
        <v>12</v>
      </c>
      <c r="H359" s="7" t="s">
        <v>9</v>
      </c>
      <c r="I359" s="8" t="s">
        <v>13</v>
      </c>
      <c r="J359" s="8" t="s">
        <v>14</v>
      </c>
      <c r="K359" s="9" t="s">
        <v>15</v>
      </c>
      <c r="L359" s="282"/>
      <c r="N359" s="1"/>
      <c r="O359" s="1"/>
      <c r="P359" s="1"/>
      <c r="Q359" s="1"/>
      <c r="R359" s="1"/>
    </row>
    <row r="360" spans="1:18" ht="19.5" customHeight="1">
      <c r="A360" s="206"/>
      <c r="B360" s="179" t="s">
        <v>96</v>
      </c>
      <c r="C360" s="210">
        <f>ROUND($C$37/3.4528/$C$15,3)</f>
        <v>0.128</v>
      </c>
      <c r="D360" s="211">
        <f>ROUND($D$37/3.4528/$E$15,3)</f>
        <v>0.566</v>
      </c>
      <c r="E360" s="212">
        <f>ROUND($E$37/3.4528/$E$15,3)</f>
        <v>0.274</v>
      </c>
      <c r="F360" s="212">
        <f>ROUND($F$37/3.4528/$F$15,3)</f>
        <v>0.083</v>
      </c>
      <c r="G360" s="213">
        <f>ROUND($G$37/3.4528/$G$15,3)</f>
        <v>0.292</v>
      </c>
      <c r="H360" s="211">
        <f>ROUND($H$37/3.4528/$I$15,3)</f>
        <v>0.566</v>
      </c>
      <c r="I360" s="214">
        <f>ROUND($I$37/3.4528/$I$15,3)</f>
        <v>0.261</v>
      </c>
      <c r="J360" s="214">
        <f>ROUND($J$37/3.4528/$J$15,3)</f>
        <v>0.214</v>
      </c>
      <c r="K360" s="215">
        <f>ROUND($K$37/3.4528/$K$15,3)</f>
        <v>0.092</v>
      </c>
      <c r="L360" s="216">
        <f>C360+D360+H360</f>
        <v>1.2599999999999998</v>
      </c>
      <c r="N360" s="1"/>
      <c r="O360" s="1"/>
      <c r="P360" s="1"/>
      <c r="Q360" s="1"/>
      <c r="R360" s="1"/>
    </row>
    <row r="361" spans="1:19" s="135" customFormat="1" ht="22.5" customHeight="1" thickBot="1">
      <c r="A361" s="134"/>
      <c r="B361" s="180" t="s">
        <v>97</v>
      </c>
      <c r="C361" s="217">
        <f>ROUND(($C$37/3.4528+C347/1000)/($C$15+D331),3)</f>
        <v>0.128</v>
      </c>
      <c r="D361" s="218">
        <f>ROUND(($D$37/3.4528+D347/1000)/($C$15+D331),3)</f>
        <v>0.569</v>
      </c>
      <c r="E361" s="219">
        <f>ROUND(($E$37/3.4528+E347/1000)/($C$15+D331),3)</f>
        <v>0.277</v>
      </c>
      <c r="F361" s="219">
        <f>ROUND(($F$37/3.4528+F347/1000)/($C$15+D331),3)</f>
        <v>0.086</v>
      </c>
      <c r="G361" s="220">
        <f>ROUND(($G$37/3.4528+G347/1000)/($C$15+D332),3)</f>
        <v>0.292</v>
      </c>
      <c r="H361" s="218">
        <f>ROUND(($H$37/3.4528+H347/1000)/($I$15+D333),3)</f>
        <v>0.566</v>
      </c>
      <c r="I361" s="219">
        <f>ROUND(($I$37/3.4528+I347/1000)/($I$15+D333),3)</f>
        <v>0.261</v>
      </c>
      <c r="J361" s="219">
        <f>ROUND(($J$37/3.4528+J347/1000)/($I$15+D334),3)</f>
        <v>0.214</v>
      </c>
      <c r="K361" s="221">
        <f>ROUND(($K$37/3.4528+K347/1000)/($I$15+D334),3)</f>
        <v>0.092</v>
      </c>
      <c r="L361" s="222">
        <f>C361+D361+H361</f>
        <v>1.263</v>
      </c>
      <c r="N361" s="1"/>
      <c r="O361" s="1"/>
      <c r="P361" s="1"/>
      <c r="Q361" s="1"/>
      <c r="R361" s="1"/>
      <c r="S361" s="1"/>
    </row>
    <row r="362" spans="14:18" ht="12.75">
      <c r="N362" s="1"/>
      <c r="O362" s="1"/>
      <c r="P362" s="1"/>
      <c r="Q362" s="1"/>
      <c r="R362" s="1"/>
    </row>
    <row r="363" spans="14:18" ht="12.75">
      <c r="N363" s="1"/>
      <c r="O363" s="1"/>
      <c r="P363" s="1"/>
      <c r="Q363" s="1"/>
      <c r="R363" s="1"/>
    </row>
    <row r="364" spans="1:18" ht="12.75">
      <c r="A364" s="206"/>
      <c r="B364" s="291" t="s">
        <v>175</v>
      </c>
      <c r="C364" s="291"/>
      <c r="D364" s="291"/>
      <c r="E364" s="291"/>
      <c r="F364" s="291"/>
      <c r="G364" s="291"/>
      <c r="H364" s="291"/>
      <c r="I364" s="291"/>
      <c r="J364" s="291"/>
      <c r="K364" s="291"/>
      <c r="L364" s="291"/>
      <c r="N364" s="1"/>
      <c r="O364" s="1"/>
      <c r="P364" s="1"/>
      <c r="Q364" s="1"/>
      <c r="R364" s="1"/>
    </row>
    <row r="365" spans="1:18" ht="12.75">
      <c r="A365" s="206"/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  <c r="N365" s="1"/>
      <c r="O365" s="1"/>
      <c r="P365" s="1"/>
      <c r="Q365" s="1"/>
      <c r="R365" s="1"/>
    </row>
    <row r="366" spans="1:18" ht="12.75" hidden="1">
      <c r="A366" s="206"/>
      <c r="N366" s="1"/>
      <c r="O366" s="1"/>
      <c r="P366" s="1"/>
      <c r="Q366" s="1"/>
      <c r="R366" s="1"/>
    </row>
    <row r="367" spans="1:18" ht="13.5" hidden="1" thickBot="1">
      <c r="A367" s="152" t="s">
        <v>128</v>
      </c>
      <c r="B367" s="152"/>
      <c r="C367" s="152"/>
      <c r="D367" s="152"/>
      <c r="E367" s="152"/>
      <c r="F367" s="155"/>
      <c r="G367" s="155"/>
      <c r="H367" s="155"/>
      <c r="I367" s="155"/>
      <c r="J367" s="155"/>
      <c r="K367" s="155"/>
      <c r="L367" s="155"/>
      <c r="M367" s="133"/>
      <c r="N367" s="1"/>
      <c r="O367" s="1"/>
      <c r="P367" s="1"/>
      <c r="Q367" s="1"/>
      <c r="R367" s="1"/>
    </row>
    <row r="368" spans="1:18" ht="14.25" customHeight="1" hidden="1">
      <c r="A368" s="206"/>
      <c r="D368" s="104"/>
      <c r="E368" s="104"/>
      <c r="N368" s="1"/>
      <c r="O368" s="1"/>
      <c r="P368" s="1"/>
      <c r="Q368" s="1"/>
      <c r="R368" s="1"/>
    </row>
    <row r="369" spans="1:18" ht="28.5" customHeight="1" hidden="1">
      <c r="A369" s="206"/>
      <c r="B369" s="292" t="s">
        <v>68</v>
      </c>
      <c r="C369" s="159">
        <v>2016</v>
      </c>
      <c r="D369" s="157"/>
      <c r="N369" s="1"/>
      <c r="O369" s="1"/>
      <c r="P369" s="1"/>
      <c r="Q369" s="1"/>
      <c r="R369" s="1"/>
    </row>
    <row r="370" spans="1:18" ht="15.75" customHeight="1" hidden="1">
      <c r="A370" s="206"/>
      <c r="B370" s="293"/>
      <c r="C370" s="158" t="s">
        <v>69</v>
      </c>
      <c r="D370" s="156" t="s">
        <v>70</v>
      </c>
      <c r="N370" s="1"/>
      <c r="O370" s="1"/>
      <c r="P370" s="1"/>
      <c r="Q370" s="1"/>
      <c r="R370" s="1"/>
    </row>
    <row r="371" spans="1:18" ht="13.5" customHeight="1" hidden="1">
      <c r="A371" s="206"/>
      <c r="B371" s="61" t="s">
        <v>71</v>
      </c>
      <c r="C371" s="105">
        <v>0</v>
      </c>
      <c r="D371" s="164">
        <v>0</v>
      </c>
      <c r="N371" s="1"/>
      <c r="O371" s="1"/>
      <c r="P371" s="1"/>
      <c r="Q371" s="1"/>
      <c r="R371" s="1"/>
    </row>
    <row r="372" spans="1:18" ht="12.75" hidden="1">
      <c r="A372" s="206"/>
      <c r="B372" s="61" t="s">
        <v>72</v>
      </c>
      <c r="C372" s="105">
        <v>0</v>
      </c>
      <c r="D372" s="164">
        <v>0</v>
      </c>
      <c r="N372" s="1"/>
      <c r="O372" s="1"/>
      <c r="P372" s="1"/>
      <c r="Q372" s="1"/>
      <c r="R372" s="1"/>
    </row>
    <row r="373" spans="1:18" ht="13.5" customHeight="1" hidden="1">
      <c r="A373" s="206"/>
      <c r="B373" s="61" t="s">
        <v>73</v>
      </c>
      <c r="C373" s="106">
        <v>0</v>
      </c>
      <c r="D373" s="164">
        <v>0</v>
      </c>
      <c r="N373" s="1"/>
      <c r="O373" s="1"/>
      <c r="P373" s="1"/>
      <c r="Q373" s="1"/>
      <c r="R373" s="1"/>
    </row>
    <row r="374" spans="1:18" ht="13.5" customHeight="1" hidden="1">
      <c r="A374" s="206"/>
      <c r="B374" s="61" t="s">
        <v>74</v>
      </c>
      <c r="C374" s="106">
        <v>0</v>
      </c>
      <c r="D374" s="164">
        <v>0</v>
      </c>
      <c r="N374" s="1"/>
      <c r="O374" s="1"/>
      <c r="P374" s="1"/>
      <c r="Q374" s="1"/>
      <c r="R374" s="1"/>
    </row>
    <row r="375" spans="1:15" ht="13.5" customHeight="1" hidden="1">
      <c r="A375" s="206"/>
      <c r="B375" s="61" t="s">
        <v>75</v>
      </c>
      <c r="C375" s="107">
        <f>+C372</f>
        <v>0</v>
      </c>
      <c r="D375" s="164">
        <v>0</v>
      </c>
      <c r="O375" s="113"/>
    </row>
    <row r="376" spans="1:15" ht="14.25" customHeight="1" hidden="1">
      <c r="A376" s="206"/>
      <c r="B376" s="209" t="s">
        <v>76</v>
      </c>
      <c r="C376" s="109"/>
      <c r="D376" s="110">
        <v>0</v>
      </c>
      <c r="O376" s="113"/>
    </row>
    <row r="377" spans="1:15" ht="12.75" hidden="1">
      <c r="A377" s="206"/>
      <c r="O377" s="113"/>
    </row>
    <row r="378" spans="1:15" ht="12.75" hidden="1">
      <c r="A378" s="206"/>
      <c r="O378" s="113"/>
    </row>
    <row r="379" spans="1:15" ht="13.5" hidden="1" thickBot="1">
      <c r="A379" s="152" t="s">
        <v>129</v>
      </c>
      <c r="B379" s="152"/>
      <c r="C379" s="152"/>
      <c r="D379" s="152"/>
      <c r="E379" s="152"/>
      <c r="F379" s="152"/>
      <c r="O379" s="113"/>
    </row>
    <row r="380" spans="1:15" ht="12.75" hidden="1">
      <c r="A380" s="206"/>
      <c r="O380" s="113"/>
    </row>
    <row r="381" spans="1:15" ht="38.25" customHeight="1" hidden="1">
      <c r="A381" s="206"/>
      <c r="B381" s="208" t="s">
        <v>78</v>
      </c>
      <c r="C381" s="154" t="s">
        <v>79</v>
      </c>
      <c r="D381" s="294" t="s">
        <v>86</v>
      </c>
      <c r="E381" s="295"/>
      <c r="O381" s="113"/>
    </row>
    <row r="382" spans="1:15" ht="12.75" hidden="1">
      <c r="A382" s="206"/>
      <c r="B382" s="61" t="s">
        <v>71</v>
      </c>
      <c r="C382" s="111">
        <f>ROUND(+$E$16*1000/($C$20+$C$21),3)</f>
        <v>76.004</v>
      </c>
      <c r="D382" s="296">
        <f>D371*C382/1000</f>
        <v>0</v>
      </c>
      <c r="E382" s="297"/>
      <c r="O382" s="113"/>
    </row>
    <row r="383" spans="1:15" ht="12.75" hidden="1">
      <c r="A383" s="206"/>
      <c r="B383" s="61" t="s">
        <v>72</v>
      </c>
      <c r="C383" s="111">
        <f>ROUND(+$G$16*1000/($C$20+$C$21),3)</f>
        <v>76.004</v>
      </c>
      <c r="D383" s="296">
        <f>D372*C383/1000</f>
        <v>0</v>
      </c>
      <c r="E383" s="297"/>
      <c r="O383" s="113"/>
    </row>
    <row r="384" spans="1:15" ht="12.75" hidden="1">
      <c r="A384" s="206"/>
      <c r="B384" s="61" t="s">
        <v>73</v>
      </c>
      <c r="C384" s="111">
        <f>ROUND(+$I$16*1000/($C$20+$C$21),3)</f>
        <v>73.134</v>
      </c>
      <c r="D384" s="296">
        <f>D373*C384/1000</f>
        <v>0</v>
      </c>
      <c r="E384" s="297"/>
      <c r="O384" s="113"/>
    </row>
    <row r="385" spans="1:15" ht="14.25" customHeight="1" hidden="1">
      <c r="A385" s="206"/>
      <c r="B385" s="209" t="s">
        <v>74</v>
      </c>
      <c r="C385" s="112">
        <f>ROUND(+$J$16*1000/($C$20+$C$21),3)</f>
        <v>73.134</v>
      </c>
      <c r="D385" s="286">
        <f>D374*C385/1000</f>
        <v>0</v>
      </c>
      <c r="E385" s="287"/>
      <c r="O385" s="113"/>
    </row>
    <row r="386" spans="1:18" ht="12.75" hidden="1">
      <c r="A386" s="206"/>
      <c r="N386" s="1"/>
      <c r="O386" s="1"/>
      <c r="P386" s="1"/>
      <c r="Q386" s="1"/>
      <c r="R386" s="1"/>
    </row>
    <row r="387" spans="1:18" ht="12.75">
      <c r="A387" s="206"/>
      <c r="N387" s="1"/>
      <c r="O387" s="1"/>
      <c r="P387" s="1"/>
      <c r="Q387" s="1"/>
      <c r="R387" s="1"/>
    </row>
    <row r="388" spans="1:18" ht="13.5" thickBot="1">
      <c r="A388" s="273" t="s">
        <v>155</v>
      </c>
      <c r="B388" s="273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N388" s="1"/>
      <c r="O388" s="1"/>
      <c r="P388" s="1"/>
      <c r="Q388" s="1"/>
      <c r="R388" s="1"/>
    </row>
    <row r="389" spans="1:18" ht="14.25" thickBot="1" thickTop="1">
      <c r="A389" s="1"/>
      <c r="N389" s="1"/>
      <c r="O389" s="1"/>
      <c r="P389" s="1"/>
      <c r="Q389" s="1"/>
      <c r="R389" s="1"/>
    </row>
    <row r="390" spans="1:18" ht="12.75">
      <c r="A390" s="1"/>
      <c r="B390" s="276" t="s">
        <v>88</v>
      </c>
      <c r="C390" s="276" t="s">
        <v>61</v>
      </c>
      <c r="D390" s="278" t="s">
        <v>7</v>
      </c>
      <c r="E390" s="279"/>
      <c r="F390" s="279"/>
      <c r="G390" s="280"/>
      <c r="H390" s="278" t="s">
        <v>8</v>
      </c>
      <c r="I390" s="279"/>
      <c r="J390" s="279"/>
      <c r="K390" s="280"/>
      <c r="L390" s="289" t="s">
        <v>80</v>
      </c>
      <c r="N390" s="1"/>
      <c r="O390" s="1"/>
      <c r="P390" s="1"/>
      <c r="Q390" s="1"/>
      <c r="R390" s="1"/>
    </row>
    <row r="391" spans="1:18" ht="13.5" thickBot="1">
      <c r="A391" s="1"/>
      <c r="B391" s="288"/>
      <c r="C391" s="277"/>
      <c r="D391" s="7" t="s">
        <v>9</v>
      </c>
      <c r="E391" s="8" t="s">
        <v>10</v>
      </c>
      <c r="F391" s="250" t="s">
        <v>150</v>
      </c>
      <c r="G391" s="9" t="s">
        <v>12</v>
      </c>
      <c r="H391" s="7" t="s">
        <v>9</v>
      </c>
      <c r="I391" s="8" t="s">
        <v>13</v>
      </c>
      <c r="J391" s="8" t="s">
        <v>14</v>
      </c>
      <c r="K391" s="9" t="s">
        <v>15</v>
      </c>
      <c r="L391" s="290"/>
      <c r="N391" s="1"/>
      <c r="O391" s="1"/>
      <c r="P391" s="1"/>
      <c r="Q391" s="1"/>
      <c r="R391" s="1"/>
    </row>
    <row r="392" spans="1:18" ht="12.75">
      <c r="A392" s="206"/>
      <c r="B392" s="115">
        <v>2016</v>
      </c>
      <c r="C392" s="116"/>
      <c r="D392" s="117"/>
      <c r="E392" s="118"/>
      <c r="F392" s="118"/>
      <c r="G392" s="119"/>
      <c r="H392" s="120"/>
      <c r="I392" s="118"/>
      <c r="J392" s="118"/>
      <c r="K392" s="119"/>
      <c r="L392" s="116"/>
      <c r="N392" s="1"/>
      <c r="O392" s="1"/>
      <c r="P392" s="1"/>
      <c r="Q392" s="1"/>
      <c r="R392" s="1"/>
    </row>
    <row r="393" spans="1:18" ht="12.75">
      <c r="A393" s="206"/>
      <c r="B393" s="96" t="s">
        <v>103</v>
      </c>
      <c r="C393" s="126">
        <f>ROUND(+D375*C382*$C$46,2)</f>
        <v>0</v>
      </c>
      <c r="D393" s="165">
        <f>SUM(E393,G393)</f>
        <v>0</v>
      </c>
      <c r="E393" s="122">
        <f>(ROUND(+D371*C382*$E$46,2))+I404</f>
        <v>0</v>
      </c>
      <c r="F393" s="122">
        <f>(ROUND(+D371*C382*$F$46,2))+I404</f>
        <v>0</v>
      </c>
      <c r="G393" s="122">
        <f>ROUND(+D372*C383*$G$46,2)</f>
        <v>0</v>
      </c>
      <c r="H393" s="136">
        <f>SUM(I393:K393)</f>
        <v>0</v>
      </c>
      <c r="I393" s="122">
        <f>ROUND(+D373*C384*$I$46,2)</f>
        <v>0</v>
      </c>
      <c r="J393" s="122">
        <f>ROUND(+D374*C385*$J$46,2)</f>
        <v>0</v>
      </c>
      <c r="K393" s="122">
        <f>ROUND(+D374*C385*$K$46,2)</f>
        <v>0</v>
      </c>
      <c r="L393" s="125">
        <f>+SUM(C393,E393,G393,I393,J393)</f>
        <v>0</v>
      </c>
      <c r="N393" s="1"/>
      <c r="O393" s="1"/>
      <c r="P393" s="1"/>
      <c r="Q393" s="1"/>
      <c r="R393" s="1"/>
    </row>
    <row r="394" spans="1:12" ht="12.75">
      <c r="A394" s="206"/>
      <c r="B394" s="96" t="str">
        <f>+$B$47</f>
        <v>Netiesioginės sąnaudos</v>
      </c>
      <c r="C394" s="121">
        <v>0</v>
      </c>
      <c r="D394" s="165">
        <f>SUM(E394,G394)</f>
        <v>0</v>
      </c>
      <c r="E394" s="122">
        <v>0</v>
      </c>
      <c r="F394" s="122"/>
      <c r="G394" s="123">
        <v>0</v>
      </c>
      <c r="H394" s="136">
        <f>SUM(I394:K394)</f>
        <v>0</v>
      </c>
      <c r="I394" s="124"/>
      <c r="J394" s="124"/>
      <c r="K394" s="131"/>
      <c r="L394" s="125">
        <f>+SUM(C394,E394,G394,I394,J394)</f>
        <v>0</v>
      </c>
    </row>
    <row r="395" spans="1:12" ht="12.75">
      <c r="A395" s="206"/>
      <c r="B395" s="96" t="str">
        <f>+$B$48</f>
        <v>Veiklos (administracinės) sąnaudos</v>
      </c>
      <c r="C395" s="121">
        <v>0</v>
      </c>
      <c r="D395" s="165">
        <f>SUM(E395,G395)</f>
        <v>0</v>
      </c>
      <c r="E395" s="122">
        <v>0</v>
      </c>
      <c r="F395" s="122"/>
      <c r="G395" s="123">
        <v>0</v>
      </c>
      <c r="H395" s="136">
        <f>SUM(I395:K395)</f>
        <v>0</v>
      </c>
      <c r="I395" s="124"/>
      <c r="J395" s="124"/>
      <c r="K395" s="131"/>
      <c r="L395" s="125">
        <f>+SUM(C395,E395,G395,I395,J395)</f>
        <v>0</v>
      </c>
    </row>
    <row r="396" spans="1:12" ht="12" customHeight="1">
      <c r="A396" s="206"/>
      <c r="B396" s="149" t="str">
        <f>+$B$49</f>
        <v>Mokesčiai</v>
      </c>
      <c r="C396" s="129">
        <v>0</v>
      </c>
      <c r="D396" s="165">
        <f>SUM(E396,G396)</f>
        <v>0</v>
      </c>
      <c r="E396" s="150">
        <f>ROUND(+D371*C382*$E$49,2)</f>
        <v>0</v>
      </c>
      <c r="F396" s="150"/>
      <c r="G396" s="150"/>
      <c r="H396" s="136">
        <f>SUM(I396:K396)</f>
        <v>0</v>
      </c>
      <c r="I396" s="150">
        <f>ROUND(D373*C384*$I$49,2)</f>
        <v>0</v>
      </c>
      <c r="J396" s="150">
        <f>ROUND(D374*C385*$J$49,2)</f>
        <v>0</v>
      </c>
      <c r="K396" s="153"/>
      <c r="L396" s="125">
        <f>+SUM(C396,E396,G396,I396,J396)</f>
        <v>0</v>
      </c>
    </row>
    <row r="397" spans="1:12" ht="12" customHeight="1">
      <c r="A397" s="206"/>
      <c r="B397" s="141" t="s">
        <v>82</v>
      </c>
      <c r="C397" s="126"/>
      <c r="D397" s="165">
        <f>SUM(E397,G397)</f>
        <v>0</v>
      </c>
      <c r="E397" s="150"/>
      <c r="F397" s="122"/>
      <c r="G397" s="137"/>
      <c r="H397" s="136">
        <f>SUM(I397:K397)</f>
        <v>8333.333333333334</v>
      </c>
      <c r="I397" s="122">
        <f>F402</f>
        <v>8333.333333333334</v>
      </c>
      <c r="J397" s="122"/>
      <c r="K397" s="137"/>
      <c r="L397" s="125">
        <f>+SUM(C397,E397,G397,I397,J397)</f>
        <v>8333.333333333334</v>
      </c>
    </row>
    <row r="398" spans="1:12" ht="12" customHeight="1" thickBot="1">
      <c r="A398" s="206"/>
      <c r="B398" s="142" t="s">
        <v>85</v>
      </c>
      <c r="C398" s="197">
        <f aca="true" t="shared" si="12" ref="C398:L398">SUM(C393:C397)</f>
        <v>0</v>
      </c>
      <c r="D398" s="198">
        <f t="shared" si="12"/>
        <v>0</v>
      </c>
      <c r="E398" s="199">
        <f t="shared" si="12"/>
        <v>0</v>
      </c>
      <c r="F398" s="199">
        <f t="shared" si="12"/>
        <v>0</v>
      </c>
      <c r="G398" s="200">
        <f t="shared" si="12"/>
        <v>0</v>
      </c>
      <c r="H398" s="198">
        <f t="shared" si="12"/>
        <v>8333.333333333334</v>
      </c>
      <c r="I398" s="199">
        <f t="shared" si="12"/>
        <v>8333.333333333334</v>
      </c>
      <c r="J398" s="199">
        <f t="shared" si="12"/>
        <v>0</v>
      </c>
      <c r="K398" s="200">
        <f t="shared" si="12"/>
        <v>0</v>
      </c>
      <c r="L398" s="197">
        <f t="shared" si="12"/>
        <v>8333.333333333334</v>
      </c>
    </row>
    <row r="399" spans="1:12" ht="12.75">
      <c r="A399" s="130"/>
      <c r="B399" s="133"/>
      <c r="C399" s="175"/>
      <c r="D399" s="175"/>
      <c r="E399" s="133"/>
      <c r="F399" s="133"/>
      <c r="G399" s="133"/>
      <c r="H399" s="175"/>
      <c r="I399" s="133"/>
      <c r="J399" s="133"/>
      <c r="K399" s="133"/>
      <c r="L399" s="133"/>
    </row>
    <row r="400" spans="1:12" ht="13.5" thickBot="1">
      <c r="A400" s="155" t="s">
        <v>156</v>
      </c>
      <c r="B400" s="155"/>
      <c r="C400" s="176"/>
      <c r="D400" s="176"/>
      <c r="E400" s="155"/>
      <c r="F400" s="155"/>
      <c r="G400" s="155"/>
      <c r="H400" s="176"/>
      <c r="I400" s="155"/>
      <c r="J400" s="155"/>
      <c r="K400" s="155"/>
      <c r="L400" s="155"/>
    </row>
    <row r="401" spans="1:12" ht="25.5">
      <c r="A401" s="160"/>
      <c r="B401" s="161"/>
      <c r="C401" s="207" t="s">
        <v>149</v>
      </c>
      <c r="D401" s="162" t="s">
        <v>95</v>
      </c>
      <c r="E401" s="162" t="s">
        <v>92</v>
      </c>
      <c r="F401" s="163" t="s">
        <v>93</v>
      </c>
      <c r="G401" s="160"/>
      <c r="H401" s="229"/>
      <c r="I401" s="229"/>
      <c r="J401" s="160"/>
      <c r="K401" s="160"/>
      <c r="L401" s="160"/>
    </row>
    <row r="402" spans="1:12" ht="13.5" thickBot="1">
      <c r="A402" s="130"/>
      <c r="B402" s="132" t="s">
        <v>116</v>
      </c>
      <c r="C402" s="167">
        <v>2</v>
      </c>
      <c r="D402" s="226">
        <v>100</v>
      </c>
      <c r="E402" s="170">
        <v>12</v>
      </c>
      <c r="F402" s="138">
        <f>D402/E402*1000</f>
        <v>8333.333333333334</v>
      </c>
      <c r="G402" s="133"/>
      <c r="H402" s="230"/>
      <c r="I402" s="244"/>
      <c r="J402" s="133"/>
      <c r="K402" s="133"/>
      <c r="L402" s="133"/>
    </row>
    <row r="403" spans="1:12" ht="12.75">
      <c r="A403" s="130"/>
      <c r="B403" s="246"/>
      <c r="C403" s="247"/>
      <c r="D403" s="248"/>
      <c r="E403" s="246"/>
      <c r="F403" s="248"/>
      <c r="G403" s="133"/>
      <c r="H403" s="133"/>
      <c r="I403" s="244"/>
      <c r="J403" s="133"/>
      <c r="K403" s="133"/>
      <c r="L403" s="133"/>
    </row>
    <row r="404" spans="1:12" ht="12.75">
      <c r="A404" s="130"/>
      <c r="B404" s="246"/>
      <c r="C404" s="247"/>
      <c r="D404" s="248"/>
      <c r="E404" s="246"/>
      <c r="F404" s="248"/>
      <c r="G404" s="133"/>
      <c r="H404" s="201"/>
      <c r="I404" s="249"/>
      <c r="J404" s="133"/>
      <c r="K404" s="133"/>
      <c r="L404" s="133"/>
    </row>
    <row r="405" spans="1:12" ht="12.75">
      <c r="A405" s="130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</row>
    <row r="406" spans="1:19" s="133" customFormat="1" ht="12.75">
      <c r="A406" s="130"/>
      <c r="N406" s="1"/>
      <c r="O406" s="1"/>
      <c r="P406" s="1"/>
      <c r="Q406" s="1"/>
      <c r="R406" s="1"/>
      <c r="S406" s="1"/>
    </row>
    <row r="407" spans="1:19" s="133" customFormat="1" ht="13.5" thickBot="1">
      <c r="A407" s="273" t="s">
        <v>157</v>
      </c>
      <c r="B407" s="273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N407" s="1"/>
      <c r="O407" s="1"/>
      <c r="P407" s="1"/>
      <c r="Q407" s="1"/>
      <c r="R407" s="1"/>
      <c r="S407" s="1"/>
    </row>
    <row r="408" spans="1:19" s="133" customFormat="1" ht="14.25" thickBot="1" thickTop="1">
      <c r="A408" s="130"/>
      <c r="N408" s="1"/>
      <c r="O408" s="1"/>
      <c r="P408" s="1"/>
      <c r="Q408" s="1"/>
      <c r="R408" s="1"/>
      <c r="S408" s="1"/>
    </row>
    <row r="409" spans="1:18" ht="12.75" customHeight="1">
      <c r="A409" s="206"/>
      <c r="B409" s="274" t="s">
        <v>81</v>
      </c>
      <c r="C409" s="283" t="s">
        <v>61</v>
      </c>
      <c r="D409" s="278" t="s">
        <v>7</v>
      </c>
      <c r="E409" s="279"/>
      <c r="F409" s="279"/>
      <c r="G409" s="285"/>
      <c r="H409" s="278" t="s">
        <v>8</v>
      </c>
      <c r="I409" s="279"/>
      <c r="J409" s="279"/>
      <c r="K409" s="280"/>
      <c r="L409" s="281" t="s">
        <v>100</v>
      </c>
      <c r="N409" s="1"/>
      <c r="O409" s="1"/>
      <c r="P409" s="1"/>
      <c r="Q409" s="1"/>
      <c r="R409" s="1"/>
    </row>
    <row r="410" spans="1:18" ht="13.5" thickBot="1">
      <c r="A410" s="206"/>
      <c r="B410" s="275"/>
      <c r="C410" s="284"/>
      <c r="D410" s="7" t="s">
        <v>9</v>
      </c>
      <c r="E410" s="8" t="s">
        <v>10</v>
      </c>
      <c r="F410" s="8" t="s">
        <v>11</v>
      </c>
      <c r="G410" s="114" t="s">
        <v>12</v>
      </c>
      <c r="H410" s="7" t="s">
        <v>9</v>
      </c>
      <c r="I410" s="8" t="s">
        <v>13</v>
      </c>
      <c r="J410" s="8" t="s">
        <v>14</v>
      </c>
      <c r="K410" s="9" t="s">
        <v>15</v>
      </c>
      <c r="L410" s="282"/>
      <c r="N410" s="1"/>
      <c r="O410" s="1"/>
      <c r="P410" s="1"/>
      <c r="Q410" s="1"/>
      <c r="R410" s="1"/>
    </row>
    <row r="411" spans="1:18" ht="19.5" customHeight="1">
      <c r="A411" s="206"/>
      <c r="B411" s="179" t="s">
        <v>96</v>
      </c>
      <c r="C411" s="210">
        <f>ROUND($C$37/3.4528/$C$15,3)</f>
        <v>0.128</v>
      </c>
      <c r="D411" s="211">
        <f>ROUND($D$37/3.4528/$E$15,3)</f>
        <v>0.566</v>
      </c>
      <c r="E411" s="212">
        <f>ROUND($E$37/3.4528/$E$15,3)</f>
        <v>0.274</v>
      </c>
      <c r="F411" s="212">
        <f>ROUND($F$37/3.4528/$F$15,3)</f>
        <v>0.083</v>
      </c>
      <c r="G411" s="213">
        <f>ROUND($G$37/3.4528/$G$15,3)</f>
        <v>0.292</v>
      </c>
      <c r="H411" s="211">
        <f>ROUND($H$37/3.4528/$I$15,3)</f>
        <v>0.566</v>
      </c>
      <c r="I411" s="214">
        <f>ROUND($I$37/3.4528/$I$15,3)</f>
        <v>0.261</v>
      </c>
      <c r="J411" s="214">
        <f>ROUND($J$37/3.4528/$J$15,3)</f>
        <v>0.214</v>
      </c>
      <c r="K411" s="215">
        <f>ROUND($K$37/3.4528/$K$15,3)</f>
        <v>0.092</v>
      </c>
      <c r="L411" s="216">
        <f>C411+D411+H411</f>
        <v>1.2599999999999998</v>
      </c>
      <c r="N411" s="1"/>
      <c r="O411" s="1"/>
      <c r="P411" s="1"/>
      <c r="Q411" s="1"/>
      <c r="R411" s="1"/>
    </row>
    <row r="412" spans="1:19" s="135" customFormat="1" ht="22.5" customHeight="1" thickBot="1">
      <c r="A412" s="134"/>
      <c r="B412" s="180" t="s">
        <v>97</v>
      </c>
      <c r="C412" s="217">
        <f>ROUND(($C$37/3.4528+C398/1000)/($C$15+D382),3)</f>
        <v>0.128</v>
      </c>
      <c r="D412" s="218">
        <f>ROUND(($D$37/3.4528+D398/1000)/($C$15+D382),3)</f>
        <v>0.566</v>
      </c>
      <c r="E412" s="219">
        <f>ROUND(($E$37/3.4528+E398/1000)/($C$15+D382),3)</f>
        <v>0.274</v>
      </c>
      <c r="F412" s="219">
        <f>ROUND(($F$37/3.4528+F398/1000)/($C$15+D382),3)</f>
        <v>0.083</v>
      </c>
      <c r="G412" s="220">
        <f>ROUND(($G$37/3.4528+G398/1000)/($C$15+D383),3)</f>
        <v>0.292</v>
      </c>
      <c r="H412" s="218">
        <f>ROUND(($H$37/3.4528+H398/1000)/($I$15+D384),3)</f>
        <v>0.567</v>
      </c>
      <c r="I412" s="219">
        <f>ROUND(($I$37/3.4528+I398/1000)/($I$15+D384),3)</f>
        <v>0.261</v>
      </c>
      <c r="J412" s="219">
        <f>ROUND(($J$37/3.4528+J398/1000)/($I$15+D385),3)</f>
        <v>0.214</v>
      </c>
      <c r="K412" s="221">
        <f>ROUND(($K$37/3.4528+K398/1000)/($I$15+D385),3)</f>
        <v>0.092</v>
      </c>
      <c r="L412" s="222">
        <f>C412+D412+H412</f>
        <v>1.261</v>
      </c>
      <c r="N412" s="1"/>
      <c r="O412" s="1"/>
      <c r="P412" s="1"/>
      <c r="Q412" s="1"/>
      <c r="R412" s="1"/>
      <c r="S412" s="1"/>
    </row>
    <row r="413" spans="14:18" ht="12.75">
      <c r="N413" s="1"/>
      <c r="O413" s="1"/>
      <c r="P413" s="1"/>
      <c r="Q413" s="1"/>
      <c r="R413" s="1"/>
    </row>
    <row r="414" spans="1:18" ht="12.75">
      <c r="A414" s="271"/>
      <c r="N414" s="1"/>
      <c r="O414" s="1"/>
      <c r="P414" s="1"/>
      <c r="Q414" s="1"/>
      <c r="R414" s="1"/>
    </row>
    <row r="415" spans="1:18" ht="12.75">
      <c r="A415" s="271"/>
      <c r="N415" s="1"/>
      <c r="O415" s="1"/>
      <c r="P415" s="1"/>
      <c r="Q415" s="1"/>
      <c r="R415" s="1"/>
    </row>
    <row r="416" spans="1:18" ht="12.75">
      <c r="A416" s="271"/>
      <c r="N416" s="1"/>
      <c r="O416" s="1"/>
      <c r="P416" s="1"/>
      <c r="Q416" s="1"/>
      <c r="R416" s="1"/>
    </row>
    <row r="417" spans="1:18" ht="12.75">
      <c r="A417" s="206"/>
      <c r="B417" s="291" t="s">
        <v>176</v>
      </c>
      <c r="C417" s="291"/>
      <c r="D417" s="291"/>
      <c r="E417" s="291"/>
      <c r="F417" s="291"/>
      <c r="G417" s="291"/>
      <c r="H417" s="291"/>
      <c r="I417" s="291"/>
      <c r="J417" s="291"/>
      <c r="K417" s="291"/>
      <c r="L417" s="291"/>
      <c r="N417" s="1"/>
      <c r="O417" s="1"/>
      <c r="P417" s="1"/>
      <c r="Q417" s="1"/>
      <c r="R417" s="1"/>
    </row>
    <row r="418" spans="1:18" ht="12.75">
      <c r="A418" s="206"/>
      <c r="B418" s="291"/>
      <c r="C418" s="291"/>
      <c r="D418" s="291"/>
      <c r="E418" s="291"/>
      <c r="F418" s="291"/>
      <c r="G418" s="291"/>
      <c r="H418" s="291"/>
      <c r="I418" s="291"/>
      <c r="J418" s="291"/>
      <c r="K418" s="291"/>
      <c r="L418" s="291"/>
      <c r="N418" s="1"/>
      <c r="O418" s="1"/>
      <c r="P418" s="1"/>
      <c r="Q418" s="1"/>
      <c r="R418" s="1"/>
    </row>
    <row r="419" spans="1:18" ht="12.75" hidden="1">
      <c r="A419" s="206"/>
      <c r="N419" s="1"/>
      <c r="O419" s="1"/>
      <c r="P419" s="1"/>
      <c r="Q419" s="1"/>
      <c r="R419" s="1"/>
    </row>
    <row r="420" spans="1:18" ht="13.5" hidden="1" thickBot="1">
      <c r="A420" s="152" t="s">
        <v>128</v>
      </c>
      <c r="B420" s="152"/>
      <c r="C420" s="152"/>
      <c r="D420" s="152"/>
      <c r="E420" s="152"/>
      <c r="F420" s="155"/>
      <c r="G420" s="155"/>
      <c r="H420" s="155"/>
      <c r="I420" s="155"/>
      <c r="J420" s="155"/>
      <c r="K420" s="155"/>
      <c r="L420" s="155"/>
      <c r="M420" s="133"/>
      <c r="N420" s="1"/>
      <c r="O420" s="1"/>
      <c r="P420" s="1"/>
      <c r="Q420" s="1"/>
      <c r="R420" s="1"/>
    </row>
    <row r="421" spans="1:18" ht="14.25" customHeight="1" hidden="1">
      <c r="A421" s="206"/>
      <c r="D421" s="104"/>
      <c r="E421" s="104"/>
      <c r="N421" s="1"/>
      <c r="O421" s="1"/>
      <c r="P421" s="1"/>
      <c r="Q421" s="1"/>
      <c r="R421" s="1"/>
    </row>
    <row r="422" spans="1:18" ht="28.5" customHeight="1" hidden="1">
      <c r="A422" s="206"/>
      <c r="B422" s="292" t="s">
        <v>68</v>
      </c>
      <c r="C422" s="159">
        <v>2016</v>
      </c>
      <c r="D422" s="157"/>
      <c r="N422" s="1"/>
      <c r="O422" s="1"/>
      <c r="P422" s="1"/>
      <c r="Q422" s="1"/>
      <c r="R422" s="1"/>
    </row>
    <row r="423" spans="1:18" ht="15.75" customHeight="1" hidden="1">
      <c r="A423" s="206"/>
      <c r="B423" s="293"/>
      <c r="C423" s="158" t="s">
        <v>69</v>
      </c>
      <c r="D423" s="156" t="s">
        <v>70</v>
      </c>
      <c r="N423" s="1"/>
      <c r="O423" s="1"/>
      <c r="P423" s="1"/>
      <c r="Q423" s="1"/>
      <c r="R423" s="1"/>
    </row>
    <row r="424" spans="1:18" ht="13.5" customHeight="1" hidden="1">
      <c r="A424" s="206"/>
      <c r="B424" s="61" t="s">
        <v>71</v>
      </c>
      <c r="C424" s="105">
        <v>0</v>
      </c>
      <c r="D424" s="164">
        <v>0</v>
      </c>
      <c r="N424" s="1"/>
      <c r="O424" s="1"/>
      <c r="P424" s="1"/>
      <c r="Q424" s="1"/>
      <c r="R424" s="1"/>
    </row>
    <row r="425" spans="1:18" ht="12.75" hidden="1">
      <c r="A425" s="206"/>
      <c r="B425" s="61" t="s">
        <v>72</v>
      </c>
      <c r="C425" s="105">
        <v>0</v>
      </c>
      <c r="D425" s="164">
        <v>0</v>
      </c>
      <c r="N425" s="1"/>
      <c r="O425" s="1"/>
      <c r="P425" s="1"/>
      <c r="Q425" s="1"/>
      <c r="R425" s="1"/>
    </row>
    <row r="426" spans="1:18" ht="13.5" customHeight="1" hidden="1">
      <c r="A426" s="206"/>
      <c r="B426" s="61" t="s">
        <v>73</v>
      </c>
      <c r="C426" s="106">
        <v>0</v>
      </c>
      <c r="D426" s="164">
        <v>0</v>
      </c>
      <c r="N426" s="1"/>
      <c r="O426" s="1"/>
      <c r="P426" s="1"/>
      <c r="Q426" s="1"/>
      <c r="R426" s="1"/>
    </row>
    <row r="427" spans="1:18" ht="13.5" customHeight="1" hidden="1">
      <c r="A427" s="206"/>
      <c r="B427" s="61" t="s">
        <v>74</v>
      </c>
      <c r="C427" s="106">
        <v>0</v>
      </c>
      <c r="D427" s="164">
        <v>0</v>
      </c>
      <c r="N427" s="1"/>
      <c r="O427" s="1"/>
      <c r="P427" s="1"/>
      <c r="Q427" s="1"/>
      <c r="R427" s="1"/>
    </row>
    <row r="428" spans="1:15" ht="13.5" customHeight="1" hidden="1">
      <c r="A428" s="206"/>
      <c r="B428" s="61" t="s">
        <v>75</v>
      </c>
      <c r="C428" s="107">
        <f>+C425</f>
        <v>0</v>
      </c>
      <c r="D428" s="164">
        <v>0</v>
      </c>
      <c r="O428" s="113"/>
    </row>
    <row r="429" spans="1:15" ht="14.25" customHeight="1" hidden="1">
      <c r="A429" s="206"/>
      <c r="B429" s="209" t="s">
        <v>76</v>
      </c>
      <c r="C429" s="109"/>
      <c r="D429" s="110">
        <v>0</v>
      </c>
      <c r="O429" s="113"/>
    </row>
    <row r="430" spans="1:15" ht="12.75" hidden="1">
      <c r="A430" s="206"/>
      <c r="O430" s="113"/>
    </row>
    <row r="431" spans="1:15" ht="12.75" hidden="1">
      <c r="A431" s="206"/>
      <c r="O431" s="113"/>
    </row>
    <row r="432" spans="1:15" ht="13.5" hidden="1" thickBot="1">
      <c r="A432" s="152" t="s">
        <v>129</v>
      </c>
      <c r="B432" s="152"/>
      <c r="C432" s="152"/>
      <c r="D432" s="152"/>
      <c r="E432" s="152"/>
      <c r="F432" s="152"/>
      <c r="O432" s="113"/>
    </row>
    <row r="433" spans="1:15" ht="12.75" hidden="1">
      <c r="A433" s="206"/>
      <c r="O433" s="113"/>
    </row>
    <row r="434" spans="1:15" ht="38.25" customHeight="1" hidden="1">
      <c r="A434" s="206"/>
      <c r="B434" s="208" t="s">
        <v>78</v>
      </c>
      <c r="C434" s="154" t="s">
        <v>79</v>
      </c>
      <c r="D434" s="294" t="s">
        <v>86</v>
      </c>
      <c r="E434" s="295"/>
      <c r="O434" s="113"/>
    </row>
    <row r="435" spans="1:15" ht="12.75" hidden="1">
      <c r="A435" s="206"/>
      <c r="B435" s="61" t="s">
        <v>71</v>
      </c>
      <c r="C435" s="111">
        <f>ROUND(+$E$16*1000/($C$20+$C$21),3)</f>
        <v>76.004</v>
      </c>
      <c r="D435" s="296">
        <f>D424*C435/1000</f>
        <v>0</v>
      </c>
      <c r="E435" s="297"/>
      <c r="O435" s="113"/>
    </row>
    <row r="436" spans="1:15" ht="12.75" hidden="1">
      <c r="A436" s="206"/>
      <c r="B436" s="61" t="s">
        <v>72</v>
      </c>
      <c r="C436" s="111">
        <f>ROUND(+$G$16*1000/($C$20+$C$21),3)</f>
        <v>76.004</v>
      </c>
      <c r="D436" s="296">
        <f>D425*C436/1000</f>
        <v>0</v>
      </c>
      <c r="E436" s="297"/>
      <c r="O436" s="113"/>
    </row>
    <row r="437" spans="1:15" ht="12.75" hidden="1">
      <c r="A437" s="206"/>
      <c r="B437" s="61" t="s">
        <v>73</v>
      </c>
      <c r="C437" s="111">
        <f>ROUND(+$I$16*1000/($C$20+$C$21),3)</f>
        <v>73.134</v>
      </c>
      <c r="D437" s="296">
        <f>D426*C437/1000</f>
        <v>0</v>
      </c>
      <c r="E437" s="297"/>
      <c r="O437" s="113"/>
    </row>
    <row r="438" spans="1:15" ht="14.25" customHeight="1" hidden="1">
      <c r="A438" s="206"/>
      <c r="B438" s="209" t="s">
        <v>74</v>
      </c>
      <c r="C438" s="112">
        <f>ROUND(+$J$16*1000/($C$20+$C$21),3)</f>
        <v>73.134</v>
      </c>
      <c r="D438" s="286">
        <f>D427*C438/1000</f>
        <v>0</v>
      </c>
      <c r="E438" s="287"/>
      <c r="O438" s="113"/>
    </row>
    <row r="439" spans="1:18" ht="12.75" hidden="1">
      <c r="A439" s="206"/>
      <c r="N439" s="1"/>
      <c r="O439" s="1"/>
      <c r="P439" s="1"/>
      <c r="Q439" s="1"/>
      <c r="R439" s="1"/>
    </row>
    <row r="440" spans="1:18" ht="12.75">
      <c r="A440" s="206"/>
      <c r="N440" s="1"/>
      <c r="O440" s="1"/>
      <c r="P440" s="1"/>
      <c r="Q440" s="1"/>
      <c r="R440" s="1"/>
    </row>
    <row r="441" spans="1:18" ht="13.5" thickBot="1">
      <c r="A441" s="273" t="s">
        <v>158</v>
      </c>
      <c r="B441" s="273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N441" s="1"/>
      <c r="O441" s="1"/>
      <c r="P441" s="1"/>
      <c r="Q441" s="1"/>
      <c r="R441" s="1"/>
    </row>
    <row r="442" spans="1:18" ht="14.25" thickBot="1" thickTop="1">
      <c r="A442" s="1"/>
      <c r="N442" s="1"/>
      <c r="O442" s="1"/>
      <c r="P442" s="1"/>
      <c r="Q442" s="1"/>
      <c r="R442" s="1"/>
    </row>
    <row r="443" spans="1:18" ht="12.75">
      <c r="A443" s="1"/>
      <c r="B443" s="276" t="s">
        <v>88</v>
      </c>
      <c r="C443" s="276" t="s">
        <v>61</v>
      </c>
      <c r="D443" s="278" t="s">
        <v>7</v>
      </c>
      <c r="E443" s="279"/>
      <c r="F443" s="279"/>
      <c r="G443" s="280"/>
      <c r="H443" s="278" t="s">
        <v>8</v>
      </c>
      <c r="I443" s="279"/>
      <c r="J443" s="279"/>
      <c r="K443" s="280"/>
      <c r="L443" s="289" t="s">
        <v>80</v>
      </c>
      <c r="N443" s="1"/>
      <c r="O443" s="1"/>
      <c r="P443" s="1"/>
      <c r="Q443" s="1"/>
      <c r="R443" s="1"/>
    </row>
    <row r="444" spans="1:18" ht="13.5" thickBot="1">
      <c r="A444" s="1"/>
      <c r="B444" s="288"/>
      <c r="C444" s="277"/>
      <c r="D444" s="7" t="s">
        <v>9</v>
      </c>
      <c r="E444" s="8" t="s">
        <v>10</v>
      </c>
      <c r="F444" s="250" t="s">
        <v>150</v>
      </c>
      <c r="G444" s="9" t="s">
        <v>12</v>
      </c>
      <c r="H444" s="7" t="s">
        <v>9</v>
      </c>
      <c r="I444" s="8" t="s">
        <v>13</v>
      </c>
      <c r="J444" s="8" t="s">
        <v>14</v>
      </c>
      <c r="K444" s="9" t="s">
        <v>15</v>
      </c>
      <c r="L444" s="290"/>
      <c r="N444" s="1"/>
      <c r="O444" s="1"/>
      <c r="P444" s="1"/>
      <c r="Q444" s="1"/>
      <c r="R444" s="1"/>
    </row>
    <row r="445" spans="1:18" ht="12.75">
      <c r="A445" s="206"/>
      <c r="B445" s="115">
        <v>2016</v>
      </c>
      <c r="C445" s="116"/>
      <c r="D445" s="117"/>
      <c r="E445" s="118"/>
      <c r="F445" s="118"/>
      <c r="G445" s="119"/>
      <c r="H445" s="120"/>
      <c r="I445" s="118"/>
      <c r="J445" s="118"/>
      <c r="K445" s="119"/>
      <c r="L445" s="116"/>
      <c r="N445" s="1"/>
      <c r="O445" s="1"/>
      <c r="P445" s="1"/>
      <c r="Q445" s="1"/>
      <c r="R445" s="1"/>
    </row>
    <row r="446" spans="1:18" ht="12.75">
      <c r="A446" s="206"/>
      <c r="B446" s="96" t="s">
        <v>103</v>
      </c>
      <c r="C446" s="126">
        <f>ROUND(+D428*C435*$C$46,2)</f>
        <v>0</v>
      </c>
      <c r="D446" s="165">
        <f>SUM(E446,G446)</f>
        <v>0</v>
      </c>
      <c r="E446" s="122">
        <f>(ROUND(+D424*C435*$E$46,2))</f>
        <v>0</v>
      </c>
      <c r="F446" s="122">
        <f>(ROUND(+D424*C435*$F$46,2))</f>
        <v>0</v>
      </c>
      <c r="G446" s="122">
        <f>ROUND(+D425*C436*$G$46,2)</f>
        <v>0</v>
      </c>
      <c r="H446" s="136">
        <f>SUM(I446:K446)</f>
        <v>7522</v>
      </c>
      <c r="I446" s="122">
        <f>ROUND(+D426*C437*$I$46,2)</f>
        <v>0</v>
      </c>
      <c r="J446" s="122">
        <f>(ROUND(+D427*C438*$J$46,2))+I457</f>
        <v>7522</v>
      </c>
      <c r="K446" s="122">
        <f>ROUND(+D427*C438*$K$46,2)</f>
        <v>0</v>
      </c>
      <c r="L446" s="125">
        <f>+SUM(C446,E446,G446,I446,J446)</f>
        <v>7522</v>
      </c>
      <c r="N446" s="1"/>
      <c r="O446" s="1"/>
      <c r="P446" s="1"/>
      <c r="Q446" s="1"/>
      <c r="R446" s="1"/>
    </row>
    <row r="447" spans="1:12" ht="12.75">
      <c r="A447" s="206"/>
      <c r="B447" s="96" t="str">
        <f>+$B$47</f>
        <v>Netiesioginės sąnaudos</v>
      </c>
      <c r="C447" s="121">
        <v>0</v>
      </c>
      <c r="D447" s="165">
        <f>SUM(E447,G447)</f>
        <v>0</v>
      </c>
      <c r="E447" s="122">
        <v>0</v>
      </c>
      <c r="F447" s="122"/>
      <c r="G447" s="123">
        <v>0</v>
      </c>
      <c r="H447" s="136">
        <f>SUM(I447:K447)</f>
        <v>0</v>
      </c>
      <c r="I447" s="124"/>
      <c r="J447" s="124"/>
      <c r="K447" s="131"/>
      <c r="L447" s="125">
        <f>+SUM(C447,E447,G447,I447,J447)</f>
        <v>0</v>
      </c>
    </row>
    <row r="448" spans="1:12" ht="12.75">
      <c r="A448" s="206"/>
      <c r="B448" s="96" t="str">
        <f>+$B$48</f>
        <v>Veiklos (administracinės) sąnaudos</v>
      </c>
      <c r="C448" s="121">
        <v>0</v>
      </c>
      <c r="D448" s="165">
        <f>SUM(E448,G448)</f>
        <v>0</v>
      </c>
      <c r="E448" s="122">
        <v>0</v>
      </c>
      <c r="F448" s="122"/>
      <c r="G448" s="123">
        <v>0</v>
      </c>
      <c r="H448" s="136">
        <f>SUM(I448:K448)</f>
        <v>0</v>
      </c>
      <c r="I448" s="124"/>
      <c r="J448" s="124"/>
      <c r="K448" s="131"/>
      <c r="L448" s="125">
        <f>+SUM(C448,E448,G448,I448,J448)</f>
        <v>0</v>
      </c>
    </row>
    <row r="449" spans="1:12" ht="12" customHeight="1">
      <c r="A449" s="206"/>
      <c r="B449" s="149" t="str">
        <f>+$B$49</f>
        <v>Mokesčiai</v>
      </c>
      <c r="C449" s="129">
        <v>0</v>
      </c>
      <c r="D449" s="165">
        <f>SUM(E449,G449)</f>
        <v>0</v>
      </c>
      <c r="E449" s="150">
        <f>ROUND(+D424*C435*$E$49,2)</f>
        <v>0</v>
      </c>
      <c r="F449" s="150"/>
      <c r="G449" s="150"/>
      <c r="H449" s="136">
        <f>SUM(I449:K449)</f>
        <v>0</v>
      </c>
      <c r="I449" s="150">
        <f>ROUND(D426*C437*$I$49,2)</f>
        <v>0</v>
      </c>
      <c r="J449" s="150">
        <f>ROUND(D427*C438*$J$49,2)</f>
        <v>0</v>
      </c>
      <c r="K449" s="153"/>
      <c r="L449" s="125">
        <f>+SUM(C449,E449,G449,I449,J449)</f>
        <v>0</v>
      </c>
    </row>
    <row r="450" spans="1:12" ht="12" customHeight="1">
      <c r="A450" s="206"/>
      <c r="B450" s="141" t="s">
        <v>82</v>
      </c>
      <c r="C450" s="126"/>
      <c r="D450" s="165">
        <f>SUM(E450,G450)</f>
        <v>0</v>
      </c>
      <c r="E450" s="150"/>
      <c r="F450" s="122"/>
      <c r="G450" s="137">
        <f>F456</f>
        <v>0</v>
      </c>
      <c r="H450" s="136">
        <f>SUM(I450:K450)</f>
        <v>41166.666666666664</v>
      </c>
      <c r="I450" s="122">
        <f>F457</f>
        <v>0</v>
      </c>
      <c r="J450" s="122">
        <f>F455</f>
        <v>41166.666666666664</v>
      </c>
      <c r="K450" s="137"/>
      <c r="L450" s="125">
        <f>+SUM(C450,E450,G450,I450,J450)</f>
        <v>41166.666666666664</v>
      </c>
    </row>
    <row r="451" spans="1:12" ht="12" customHeight="1" thickBot="1">
      <c r="A451" s="206"/>
      <c r="B451" s="142" t="s">
        <v>85</v>
      </c>
      <c r="C451" s="197">
        <f aca="true" t="shared" si="13" ref="C451:L451">SUM(C446:C450)</f>
        <v>0</v>
      </c>
      <c r="D451" s="198">
        <f t="shared" si="13"/>
        <v>0</v>
      </c>
      <c r="E451" s="199">
        <f t="shared" si="13"/>
        <v>0</v>
      </c>
      <c r="F451" s="199">
        <f t="shared" si="13"/>
        <v>0</v>
      </c>
      <c r="G451" s="200">
        <f t="shared" si="13"/>
        <v>0</v>
      </c>
      <c r="H451" s="198">
        <f t="shared" si="13"/>
        <v>48688.666666666664</v>
      </c>
      <c r="I451" s="199">
        <f t="shared" si="13"/>
        <v>0</v>
      </c>
      <c r="J451" s="199">
        <f t="shared" si="13"/>
        <v>48688.666666666664</v>
      </c>
      <c r="K451" s="200">
        <f t="shared" si="13"/>
        <v>0</v>
      </c>
      <c r="L451" s="197">
        <f t="shared" si="13"/>
        <v>48688.666666666664</v>
      </c>
    </row>
    <row r="452" spans="1:12" ht="12.75">
      <c r="A452" s="130"/>
      <c r="B452" s="133"/>
      <c r="C452" s="175"/>
      <c r="D452" s="175"/>
      <c r="E452" s="133"/>
      <c r="F452" s="133"/>
      <c r="G452" s="133"/>
      <c r="H452" s="175"/>
      <c r="I452" s="133"/>
      <c r="J452" s="133"/>
      <c r="K452" s="133"/>
      <c r="L452" s="133"/>
    </row>
    <row r="453" spans="1:12" ht="13.5" thickBot="1">
      <c r="A453" s="155" t="s">
        <v>159</v>
      </c>
      <c r="B453" s="155"/>
      <c r="C453" s="176"/>
      <c r="D453" s="176"/>
      <c r="E453" s="155"/>
      <c r="F453" s="155"/>
      <c r="G453" s="155"/>
      <c r="H453" s="176" t="s">
        <v>160</v>
      </c>
      <c r="I453" s="155"/>
      <c r="J453" s="155"/>
      <c r="K453" s="155"/>
      <c r="L453" s="155"/>
    </row>
    <row r="454" spans="1:12" ht="38.25">
      <c r="A454" s="160"/>
      <c r="B454" s="161"/>
      <c r="C454" s="207" t="s">
        <v>149</v>
      </c>
      <c r="D454" s="162" t="s">
        <v>95</v>
      </c>
      <c r="E454" s="162" t="s">
        <v>92</v>
      </c>
      <c r="F454" s="163" t="s">
        <v>93</v>
      </c>
      <c r="G454" s="160"/>
      <c r="H454" s="233" t="s">
        <v>146</v>
      </c>
      <c r="I454" s="235" t="s">
        <v>133</v>
      </c>
      <c r="J454" s="160"/>
      <c r="K454" s="160"/>
      <c r="L454" s="160"/>
    </row>
    <row r="455" spans="1:12" ht="13.5" thickBot="1">
      <c r="A455" s="130"/>
      <c r="B455" s="132" t="s">
        <v>116</v>
      </c>
      <c r="C455" s="167">
        <v>2</v>
      </c>
      <c r="D455" s="226">
        <v>494</v>
      </c>
      <c r="E455" s="170">
        <v>12</v>
      </c>
      <c r="F455" s="138">
        <f>D455/E455*1000</f>
        <v>41166.666666666664</v>
      </c>
      <c r="G455" s="133"/>
      <c r="H455" s="236" t="s">
        <v>139</v>
      </c>
      <c r="I455" s="237">
        <v>7522</v>
      </c>
      <c r="J455" s="133"/>
      <c r="K455" s="133"/>
      <c r="L455" s="133"/>
    </row>
    <row r="456" spans="1:12" ht="12.75" hidden="1">
      <c r="A456" s="130"/>
      <c r="B456" s="246"/>
      <c r="C456" s="247"/>
      <c r="D456" s="248"/>
      <c r="E456" s="246"/>
      <c r="F456" s="248"/>
      <c r="G456" s="133"/>
      <c r="H456" s="128"/>
      <c r="I456" s="237"/>
      <c r="J456" s="133"/>
      <c r="K456" s="133"/>
      <c r="L456" s="133"/>
    </row>
    <row r="457" spans="1:12" ht="13.5" thickBot="1">
      <c r="A457" s="130"/>
      <c r="B457" s="246"/>
      <c r="C457" s="247"/>
      <c r="D457" s="248"/>
      <c r="E457" s="246"/>
      <c r="F457" s="248"/>
      <c r="G457" s="133"/>
      <c r="H457" s="239" t="s">
        <v>107</v>
      </c>
      <c r="I457" s="240">
        <f>SUM(I455:I456)</f>
        <v>7522</v>
      </c>
      <c r="J457" s="133"/>
      <c r="K457" s="133"/>
      <c r="L457" s="133"/>
    </row>
    <row r="458" spans="1:12" ht="12.75">
      <c r="A458" s="130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</row>
    <row r="459" spans="1:19" s="133" customFormat="1" ht="12.75">
      <c r="A459" s="130"/>
      <c r="N459" s="2"/>
      <c r="O459" s="2"/>
      <c r="P459" s="2"/>
      <c r="Q459" s="2"/>
      <c r="R459" s="2"/>
      <c r="S459" s="1"/>
    </row>
    <row r="460" spans="1:19" s="133" customFormat="1" ht="13.5" thickBot="1">
      <c r="A460" s="273" t="s">
        <v>161</v>
      </c>
      <c r="B460" s="273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N460" s="2"/>
      <c r="O460" s="2"/>
      <c r="P460" s="2"/>
      <c r="Q460" s="2"/>
      <c r="R460" s="2"/>
      <c r="S460" s="1"/>
    </row>
    <row r="461" spans="1:19" s="133" customFormat="1" ht="14.25" thickBot="1" thickTop="1">
      <c r="A461" s="130"/>
      <c r="N461" s="2"/>
      <c r="O461" s="2"/>
      <c r="P461" s="2"/>
      <c r="Q461" s="2"/>
      <c r="R461" s="2"/>
      <c r="S461" s="1"/>
    </row>
    <row r="462" spans="1:12" ht="12.75" customHeight="1">
      <c r="A462" s="206"/>
      <c r="B462" s="274" t="s">
        <v>81</v>
      </c>
      <c r="C462" s="283" t="s">
        <v>61</v>
      </c>
      <c r="D462" s="278" t="s">
        <v>7</v>
      </c>
      <c r="E462" s="279"/>
      <c r="F462" s="279"/>
      <c r="G462" s="285"/>
      <c r="H462" s="278" t="s">
        <v>8</v>
      </c>
      <c r="I462" s="279"/>
      <c r="J462" s="279"/>
      <c r="K462" s="280"/>
      <c r="L462" s="281" t="s">
        <v>100</v>
      </c>
    </row>
    <row r="463" spans="1:12" ht="13.5" thickBot="1">
      <c r="A463" s="206"/>
      <c r="B463" s="275"/>
      <c r="C463" s="284"/>
      <c r="D463" s="7" t="s">
        <v>9</v>
      </c>
      <c r="E463" s="8" t="s">
        <v>10</v>
      </c>
      <c r="F463" s="250" t="s">
        <v>150</v>
      </c>
      <c r="G463" s="114" t="s">
        <v>12</v>
      </c>
      <c r="H463" s="7" t="s">
        <v>9</v>
      </c>
      <c r="I463" s="8" t="s">
        <v>13</v>
      </c>
      <c r="J463" s="8" t="s">
        <v>14</v>
      </c>
      <c r="K463" s="9" t="s">
        <v>15</v>
      </c>
      <c r="L463" s="282"/>
    </row>
    <row r="464" spans="1:12" ht="19.5" customHeight="1">
      <c r="A464" s="206"/>
      <c r="B464" s="179" t="s">
        <v>96</v>
      </c>
      <c r="C464" s="210">
        <f>ROUND($C$37/3.4528/$C$15,3)</f>
        <v>0.128</v>
      </c>
      <c r="D464" s="211">
        <f>ROUND($D$37/3.4528/$E$15,3)</f>
        <v>0.566</v>
      </c>
      <c r="E464" s="212">
        <f>ROUND($E$37/3.4528/$E$15,3)</f>
        <v>0.274</v>
      </c>
      <c r="F464" s="212">
        <f>ROUND($F$37/3.4528/$F$15,3)</f>
        <v>0.083</v>
      </c>
      <c r="G464" s="213">
        <f>ROUND($G$37/3.4528/$G$15,3)</f>
        <v>0.292</v>
      </c>
      <c r="H464" s="211">
        <f>ROUND($H$37/3.4528/$I$15,3)</f>
        <v>0.566</v>
      </c>
      <c r="I464" s="214">
        <f>ROUND($I$37/3.4528/$I$15,3)</f>
        <v>0.261</v>
      </c>
      <c r="J464" s="214">
        <f>ROUND($J$37/3.4528/$J$15,3)</f>
        <v>0.214</v>
      </c>
      <c r="K464" s="215">
        <f>ROUND($K$37/3.4528/$K$15,3)</f>
        <v>0.092</v>
      </c>
      <c r="L464" s="216">
        <f>C464+D464+H464</f>
        <v>1.2599999999999998</v>
      </c>
    </row>
    <row r="465" spans="1:19" s="135" customFormat="1" ht="22.5" customHeight="1" thickBot="1">
      <c r="A465" s="134"/>
      <c r="B465" s="180" t="s">
        <v>97</v>
      </c>
      <c r="C465" s="217">
        <f>ROUND(($C$37/3.4528+C451/1000)/($C$15+D435),3)</f>
        <v>0.128</v>
      </c>
      <c r="D465" s="218">
        <f>ROUND(($D$37/3.4528+D451/1000)/($C$15+D435),3)</f>
        <v>0.566</v>
      </c>
      <c r="E465" s="219">
        <f>ROUND(($E$37/3.4528+E451/1000)/($C$15+D435),3)</f>
        <v>0.274</v>
      </c>
      <c r="F465" s="219">
        <f>ROUND(($F$37/3.4528+F451/1000)/($C$15+D435),3)</f>
        <v>0.083</v>
      </c>
      <c r="G465" s="220">
        <f>ROUND(($G$37/3.4528+G451/1000)/($C$15+D436),3)</f>
        <v>0.292</v>
      </c>
      <c r="H465" s="218">
        <f>ROUND(($H$37/3.4528+H451/1000)/($I$15+D437),3)</f>
        <v>0.571</v>
      </c>
      <c r="I465" s="219">
        <f>ROUND(($I$37/3.4528+I451/1000)/($I$15+D437),3)</f>
        <v>0.261</v>
      </c>
      <c r="J465" s="219">
        <f>ROUND(($J$37/3.4528+J451/1000)/($I$15+D438),3)</f>
        <v>0.219</v>
      </c>
      <c r="K465" s="221">
        <f>ROUND(($K$37/3.4528+K451/1000)/($I$15+D438),3)</f>
        <v>0.092</v>
      </c>
      <c r="L465" s="222">
        <f>C465+D465+H465</f>
        <v>1.265</v>
      </c>
      <c r="N465" s="2"/>
      <c r="O465" s="2"/>
      <c r="P465" s="2"/>
      <c r="Q465" s="2"/>
      <c r="R465" s="2"/>
      <c r="S465" s="1"/>
    </row>
    <row r="467" spans="1:12" ht="13.5" thickBot="1">
      <c r="A467" s="273" t="s">
        <v>162</v>
      </c>
      <c r="B467" s="273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</row>
    <row r="468" spans="1:12" ht="14.25" thickBot="1" thickTop="1">
      <c r="A468" s="130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</row>
    <row r="469" spans="1:12" ht="12.75">
      <c r="A469" s="206"/>
      <c r="B469" s="274" t="s">
        <v>81</v>
      </c>
      <c r="C469" s="276" t="s">
        <v>61</v>
      </c>
      <c r="D469" s="278" t="s">
        <v>7</v>
      </c>
      <c r="E469" s="279"/>
      <c r="F469" s="279"/>
      <c r="G469" s="280"/>
      <c r="H469" s="278" t="s">
        <v>8</v>
      </c>
      <c r="I469" s="279"/>
      <c r="J469" s="279"/>
      <c r="K469" s="280"/>
      <c r="L469" s="281" t="s">
        <v>100</v>
      </c>
    </row>
    <row r="470" spans="1:12" ht="13.5" thickBot="1">
      <c r="A470" s="206"/>
      <c r="B470" s="275"/>
      <c r="C470" s="277"/>
      <c r="D470" s="7" t="s">
        <v>9</v>
      </c>
      <c r="E470" s="8" t="s">
        <v>10</v>
      </c>
      <c r="F470" s="250" t="s">
        <v>150</v>
      </c>
      <c r="G470" s="9" t="s">
        <v>12</v>
      </c>
      <c r="H470" s="7" t="s">
        <v>9</v>
      </c>
      <c r="I470" s="8" t="s">
        <v>13</v>
      </c>
      <c r="J470" s="8" t="s">
        <v>14</v>
      </c>
      <c r="K470" s="9" t="s">
        <v>15</v>
      </c>
      <c r="L470" s="282"/>
    </row>
    <row r="471" spans="1:12" ht="15.75">
      <c r="A471" s="206"/>
      <c r="B471" s="179" t="s">
        <v>96</v>
      </c>
      <c r="C471" s="261">
        <f>ROUND($C$37/3.4528/$C$15,3)</f>
        <v>0.128</v>
      </c>
      <c r="D471" s="211">
        <f>ROUND($D$37/3.4528/$E$15,3)</f>
        <v>0.566</v>
      </c>
      <c r="E471" s="212">
        <f>ROUND($E$37/3.4528/$E$15,3)</f>
        <v>0.274</v>
      </c>
      <c r="F471" s="212">
        <f>ROUND($F$37/3.4528/$F$15,3)</f>
        <v>0.083</v>
      </c>
      <c r="G471" s="263">
        <f>ROUND($G$37/3.4528/$G$15,3)</f>
        <v>0.292</v>
      </c>
      <c r="H471" s="211">
        <f>ROUND($H$37/3.4528/$I$15,3)</f>
        <v>0.566</v>
      </c>
      <c r="I471" s="214">
        <f>ROUND($I$37/3.4528/$I$15,3)</f>
        <v>0.261</v>
      </c>
      <c r="J471" s="214">
        <f>ROUND($J$37/3.4528/$J$15,3)</f>
        <v>0.214</v>
      </c>
      <c r="K471" s="215">
        <f>ROUND($K$37/3.4528/$K$15,3)</f>
        <v>0.092</v>
      </c>
      <c r="L471" s="216">
        <f>C471+D471+H471</f>
        <v>1.2599999999999998</v>
      </c>
    </row>
    <row r="472" spans="1:12" ht="15.75">
      <c r="A472" s="134"/>
      <c r="B472" s="256" t="s">
        <v>97</v>
      </c>
      <c r="C472" s="262">
        <f>ROUND(($C$37/3.4528+(C90+C143+C192+C242+C295+C347+C398+C451)/1000)/($C$15+D74+D127+D177+D226+D279),3)</f>
        <v>0.128</v>
      </c>
      <c r="D472" s="257">
        <f>ROUND(($D$37/3.4528+(D90+D143+D192+D242+D295+D347+D398+D451)/1000)/($E$15+D74+D127+D177+D226+D279),3)</f>
        <v>0.578</v>
      </c>
      <c r="E472" s="258">
        <f>ROUND(($E$37/3.4528+(E90+E143+E192+E242+E295+E347+E398+E451)/1000)/($E$15+D74+D127+D177+D226+D279),3)</f>
        <v>0.281</v>
      </c>
      <c r="F472" s="258">
        <f>ROUND(($F$37/3.4528+(F90+F143+F192+F242+F295+F347+F398+F451)/1000)/($F$15+D74+D127+D177+D226+D279),3)</f>
        <v>0.092</v>
      </c>
      <c r="G472" s="259">
        <f>ROUND(($G$37/3.4528+(G90+G143+G192+G242+G295+G347+G398+G451)/1000)/($G$15+D75+D128+D178+D227+D280),3)</f>
        <v>0.297</v>
      </c>
      <c r="H472" s="257">
        <f>ROUND(($H$37/3.4528+(H90+H143+H192+H242+H295+H347+H398+H451)/1000)/($I$15+D76+D129+D179+D228+D281),3)</f>
        <v>0.588</v>
      </c>
      <c r="I472" s="258">
        <f>ROUND(($I$37/3.4528+(I90+I143+I192+I242+I295+I347+I398+I451)/1000)/($I$15+D76+D129+D179+D228+D281),3)</f>
        <v>0.268</v>
      </c>
      <c r="J472" s="258">
        <f>ROUND(($J$37/3.4528+(J90+J143+J192+J242+J295+J347+J398+J451)/1000)/($J$15+D77+D130+D180+D229+D282),3)</f>
        <v>0.229</v>
      </c>
      <c r="K472" s="259">
        <f>ROUND(($K$37/3.4528+(K90+K143+K192+K242+K295+K347+K398+K451)/1000)/($K$15+D77+D130+D180+D229+D282),3)</f>
        <v>0.091</v>
      </c>
      <c r="L472" s="260">
        <f>C472+D472+H472</f>
        <v>1.294</v>
      </c>
    </row>
    <row r="473" spans="2:12" ht="22.5" customHeight="1" thickBot="1">
      <c r="B473" s="264" t="s">
        <v>163</v>
      </c>
      <c r="C473" s="265">
        <f>C472-C471</f>
        <v>0</v>
      </c>
      <c r="D473" s="266">
        <f aca="true" t="shared" si="14" ref="D473:L473">D472-D471</f>
        <v>0.01200000000000001</v>
      </c>
      <c r="E473" s="267">
        <f t="shared" si="14"/>
        <v>0.007000000000000006</v>
      </c>
      <c r="F473" s="267">
        <f t="shared" si="14"/>
        <v>0.008999999999999994</v>
      </c>
      <c r="G473" s="268">
        <f t="shared" si="14"/>
        <v>0.0050000000000000044</v>
      </c>
      <c r="H473" s="266">
        <f t="shared" si="14"/>
        <v>0.02200000000000002</v>
      </c>
      <c r="I473" s="267">
        <f t="shared" si="14"/>
        <v>0.007000000000000006</v>
      </c>
      <c r="J473" s="267">
        <f t="shared" si="14"/>
        <v>0.015000000000000013</v>
      </c>
      <c r="K473" s="268">
        <f t="shared" si="14"/>
        <v>-0.0010000000000000009</v>
      </c>
      <c r="L473" s="269">
        <f t="shared" si="14"/>
        <v>0.03400000000000025</v>
      </c>
    </row>
    <row r="474" spans="4:12" ht="12.75">
      <c r="D474" s="255"/>
      <c r="E474" s="255"/>
      <c r="F474" s="255"/>
      <c r="G474" s="255"/>
      <c r="H474" s="255"/>
      <c r="I474" s="255"/>
      <c r="J474" s="255"/>
      <c r="K474" s="255"/>
      <c r="L474" s="255"/>
    </row>
  </sheetData>
  <sheetProtection/>
  <mergeCells count="175">
    <mergeCell ref="A304:L304"/>
    <mergeCell ref="B306:B307"/>
    <mergeCell ref="C306:C307"/>
    <mergeCell ref="D306:G306"/>
    <mergeCell ref="H306:K306"/>
    <mergeCell ref="L306:L307"/>
    <mergeCell ref="D282:E282"/>
    <mergeCell ref="A285:L285"/>
    <mergeCell ref="B287:B288"/>
    <mergeCell ref="C287:C288"/>
    <mergeCell ref="D287:G287"/>
    <mergeCell ref="H287:K287"/>
    <mergeCell ref="L287:L288"/>
    <mergeCell ref="B261:L262"/>
    <mergeCell ref="B266:B267"/>
    <mergeCell ref="D278:E278"/>
    <mergeCell ref="D279:E279"/>
    <mergeCell ref="D280:E280"/>
    <mergeCell ref="D281:E281"/>
    <mergeCell ref="A254:L254"/>
    <mergeCell ref="B256:B257"/>
    <mergeCell ref="C256:C257"/>
    <mergeCell ref="D256:G256"/>
    <mergeCell ref="H256:K256"/>
    <mergeCell ref="L256:L257"/>
    <mergeCell ref="D229:E229"/>
    <mergeCell ref="A232:L232"/>
    <mergeCell ref="B234:B235"/>
    <mergeCell ref="C234:C235"/>
    <mergeCell ref="D234:G234"/>
    <mergeCell ref="H234:K234"/>
    <mergeCell ref="L234:L235"/>
    <mergeCell ref="B208:L209"/>
    <mergeCell ref="B213:B214"/>
    <mergeCell ref="D225:E225"/>
    <mergeCell ref="D226:E226"/>
    <mergeCell ref="D227:E227"/>
    <mergeCell ref="D228:E228"/>
    <mergeCell ref="A201:L201"/>
    <mergeCell ref="B203:B204"/>
    <mergeCell ref="C203:C204"/>
    <mergeCell ref="D203:G203"/>
    <mergeCell ref="H203:K203"/>
    <mergeCell ref="L203:L204"/>
    <mergeCell ref="D180:E180"/>
    <mergeCell ref="A182:L182"/>
    <mergeCell ref="B184:B185"/>
    <mergeCell ref="C184:C185"/>
    <mergeCell ref="D184:G184"/>
    <mergeCell ref="H184:K184"/>
    <mergeCell ref="L184:L185"/>
    <mergeCell ref="B160:L161"/>
    <mergeCell ref="B165:B166"/>
    <mergeCell ref="D176:E176"/>
    <mergeCell ref="D177:E177"/>
    <mergeCell ref="D178:E178"/>
    <mergeCell ref="D179:E179"/>
    <mergeCell ref="H82:K82"/>
    <mergeCell ref="L82:L83"/>
    <mergeCell ref="A101:L101"/>
    <mergeCell ref="B103:B104"/>
    <mergeCell ref="C103:C104"/>
    <mergeCell ref="D103:G103"/>
    <mergeCell ref="H103:K103"/>
    <mergeCell ref="L103:L104"/>
    <mergeCell ref="D73:E73"/>
    <mergeCell ref="D74:E74"/>
    <mergeCell ref="D75:E75"/>
    <mergeCell ref="A109:K110"/>
    <mergeCell ref="D76:E76"/>
    <mergeCell ref="D77:E77"/>
    <mergeCell ref="A80:L80"/>
    <mergeCell ref="B82:B83"/>
    <mergeCell ref="C82:C83"/>
    <mergeCell ref="D82:G82"/>
    <mergeCell ref="A152:L152"/>
    <mergeCell ref="B154:B155"/>
    <mergeCell ref="C154:C155"/>
    <mergeCell ref="D154:G154"/>
    <mergeCell ref="H154:K154"/>
    <mergeCell ref="B114:B115"/>
    <mergeCell ref="D126:E126"/>
    <mergeCell ref="D127:E127"/>
    <mergeCell ref="D128:E128"/>
    <mergeCell ref="A133:L133"/>
    <mergeCell ref="D135:G135"/>
    <mergeCell ref="H135:K135"/>
    <mergeCell ref="L135:L136"/>
    <mergeCell ref="A40:L40"/>
    <mergeCell ref="B42:B43"/>
    <mergeCell ref="C42:C43"/>
    <mergeCell ref="D42:G42"/>
    <mergeCell ref="H42:K42"/>
    <mergeCell ref="A56:K57"/>
    <mergeCell ref="B61:B62"/>
    <mergeCell ref="N39:R39"/>
    <mergeCell ref="B11:K11"/>
    <mergeCell ref="A13:A14"/>
    <mergeCell ref="B13:B14"/>
    <mergeCell ref="C13:C14"/>
    <mergeCell ref="D13:G13"/>
    <mergeCell ref="H13:K13"/>
    <mergeCell ref="D129:E129"/>
    <mergeCell ref="D130:E130"/>
    <mergeCell ref="L154:L155"/>
    <mergeCell ref="A5:L5"/>
    <mergeCell ref="B7:K7"/>
    <mergeCell ref="B8:K8"/>
    <mergeCell ref="B9:K9"/>
    <mergeCell ref="B10:K10"/>
    <mergeCell ref="B135:B136"/>
    <mergeCell ref="C135:C136"/>
    <mergeCell ref="B313:L314"/>
    <mergeCell ref="B318:B319"/>
    <mergeCell ref="D330:E330"/>
    <mergeCell ref="D331:E331"/>
    <mergeCell ref="D332:E332"/>
    <mergeCell ref="D333:E333"/>
    <mergeCell ref="D334:E334"/>
    <mergeCell ref="A337:L337"/>
    <mergeCell ref="B339:B340"/>
    <mergeCell ref="C339:C340"/>
    <mergeCell ref="D339:G339"/>
    <mergeCell ref="H339:K339"/>
    <mergeCell ref="L339:L340"/>
    <mergeCell ref="A356:L356"/>
    <mergeCell ref="B358:B359"/>
    <mergeCell ref="C358:C359"/>
    <mergeCell ref="D358:G358"/>
    <mergeCell ref="H358:K358"/>
    <mergeCell ref="L358:L359"/>
    <mergeCell ref="B364:L365"/>
    <mergeCell ref="B369:B370"/>
    <mergeCell ref="D381:E381"/>
    <mergeCell ref="D382:E382"/>
    <mergeCell ref="D383:E383"/>
    <mergeCell ref="D384:E384"/>
    <mergeCell ref="D385:E385"/>
    <mergeCell ref="A388:L388"/>
    <mergeCell ref="B390:B391"/>
    <mergeCell ref="C390:C391"/>
    <mergeCell ref="D390:G390"/>
    <mergeCell ref="H390:K390"/>
    <mergeCell ref="L390:L391"/>
    <mergeCell ref="A407:L407"/>
    <mergeCell ref="B409:B410"/>
    <mergeCell ref="C409:C410"/>
    <mergeCell ref="D409:G409"/>
    <mergeCell ref="H409:K409"/>
    <mergeCell ref="L409:L410"/>
    <mergeCell ref="B417:L418"/>
    <mergeCell ref="B422:B423"/>
    <mergeCell ref="D434:E434"/>
    <mergeCell ref="D435:E435"/>
    <mergeCell ref="D436:E436"/>
    <mergeCell ref="D437:E437"/>
    <mergeCell ref="D438:E438"/>
    <mergeCell ref="A441:L441"/>
    <mergeCell ref="B443:B444"/>
    <mergeCell ref="C443:C444"/>
    <mergeCell ref="D443:G443"/>
    <mergeCell ref="H443:K443"/>
    <mergeCell ref="L443:L444"/>
    <mergeCell ref="A460:L460"/>
    <mergeCell ref="B462:B463"/>
    <mergeCell ref="C462:C463"/>
    <mergeCell ref="D462:G462"/>
    <mergeCell ref="H462:K462"/>
    <mergeCell ref="L462:L463"/>
    <mergeCell ref="A467:L467"/>
    <mergeCell ref="B469:B470"/>
    <mergeCell ref="C469:C470"/>
    <mergeCell ref="D469:G469"/>
    <mergeCell ref="H469:K469"/>
    <mergeCell ref="L469:L470"/>
  </mergeCells>
  <printOptions/>
  <pageMargins left="0.7086614173228347" right="0.7086614173228347" top="0.5905511811023623" bottom="0.5511811023622047" header="0.31496062992125984" footer="0.31496062992125984"/>
  <pageSetup fitToHeight="2" fitToWidth="3" horizontalDpi="600" verticalDpi="600" orientation="landscape" paperSize="9" scale="60" r:id="rId1"/>
  <headerFooter>
    <oddFooter>&amp;C&amp;P</oddFooter>
  </headerFooter>
  <rowBreaks count="2" manualBreakCount="2">
    <brk id="38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EgleA</dc:creator>
  <cp:keywords/>
  <dc:description/>
  <cp:lastModifiedBy>Virginija Palaimiene</cp:lastModifiedBy>
  <cp:lastPrinted>2016-02-22T08:18:53Z</cp:lastPrinted>
  <dcterms:created xsi:type="dcterms:W3CDTF">2015-11-06T08:27:59Z</dcterms:created>
  <dcterms:modified xsi:type="dcterms:W3CDTF">2016-05-02T08:03:49Z</dcterms:modified>
  <cp:category/>
  <cp:version/>
  <cp:contentType/>
  <cp:contentStatus/>
</cp:coreProperties>
</file>