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355" windowHeight="9015" activeTab="0"/>
  </bookViews>
  <sheets>
    <sheet name="1 paj." sheetId="1" r:id="rId1"/>
    <sheet name="1pr.asignav " sheetId="2" r:id="rId2"/>
    <sheet name="2pr. " sheetId="3" r:id="rId3"/>
    <sheet name="3pr." sheetId="4" r:id="rId4"/>
    <sheet name="4 pr. " sheetId="5" r:id="rId5"/>
    <sheet name="5 pr." sheetId="6" r:id="rId6"/>
  </sheets>
  <definedNames>
    <definedName name="dokumentoNr" localSheetId="5">'5 pr.'!#REF!</definedName>
    <definedName name="Excel_BuiltIn_Print_Titles_1">#REF!</definedName>
    <definedName name="_xlnm.Print_Titles" localSheetId="0">'1 paj.'!$10:$11</definedName>
    <definedName name="_xlnm.Print_Titles" localSheetId="1">'1pr.asignav '!$3:$7</definedName>
    <definedName name="_xlnm.Print_Titles" localSheetId="2">'2pr. '!$8:$12</definedName>
    <definedName name="_xlnm.Print_Titles" localSheetId="4">'4 pr. '!$9:$12</definedName>
    <definedName name="_xlnm.Print_Titles" localSheetId="5">'5 pr.'!$8:$9</definedName>
  </definedNames>
  <calcPr fullCalcOnLoad="1" fullPrecision="0"/>
</workbook>
</file>

<file path=xl/sharedStrings.xml><?xml version="1.0" encoding="utf-8"?>
<sst xmlns="http://schemas.openxmlformats.org/spreadsheetml/2006/main" count="507" uniqueCount="368">
  <si>
    <t>Visuomenės sveikatos rėmimo specialioji programa</t>
  </si>
  <si>
    <t>Visuomenės sveikatos rėmimo specialioji programa (savivaldybės biudžeto lėšos)</t>
  </si>
  <si>
    <t>Socialinėms išmokoms ir kompensacijoms mokėti</t>
  </si>
  <si>
    <t>Socialinė parama mokiniams</t>
  </si>
  <si>
    <r>
      <t xml:space="preserve">Valstybės finansinė parama užsienyje mirusio (žuvusio) Lietuvos Respublikos piliečio palaikams pervežti į Lietuvos Respubliką </t>
    </r>
    <r>
      <rPr>
        <sz val="12"/>
        <rFont val="Times New Roman"/>
        <family val="1"/>
      </rPr>
      <t>(lėšos, gautos iš valstybės biudžeto pagal tarpusavio atsiskaitymus)</t>
    </r>
  </si>
  <si>
    <t>valstybės biudžeto specialiųjų tikslinių dotacijų lėšos ir lėšos, gautos iš valstybės biudžeto pagal tarpusavio atsiskaitymus</t>
  </si>
  <si>
    <t>Eil. Nr.</t>
  </si>
  <si>
    <t>Savivaldybės administracija</t>
  </si>
  <si>
    <t>IŠ VISO</t>
  </si>
  <si>
    <t>PAJAMOS</t>
  </si>
  <si>
    <t>(tūkst. Lt)</t>
  </si>
  <si>
    <t>Pavadinimas</t>
  </si>
  <si>
    <t>MOKESČIAI</t>
  </si>
  <si>
    <t>Žemės mokestis</t>
  </si>
  <si>
    <t>Paveldimo turto mokestis</t>
  </si>
  <si>
    <t>Nekilnojamojo turto mokestis</t>
  </si>
  <si>
    <t>Valstybės rinkliavos</t>
  </si>
  <si>
    <t>Vietinės rinkliavos</t>
  </si>
  <si>
    <t>DOTACIJOS</t>
  </si>
  <si>
    <t>Europos Sąjungos finansinės paramos lėšos</t>
  </si>
  <si>
    <t>Einamiesiems tikslams</t>
  </si>
  <si>
    <t>Kapitalui formuoti</t>
  </si>
  <si>
    <t>Mokinio krepšeliui finansuoti</t>
  </si>
  <si>
    <t>Aglomeracijų strateginiams triukšmo žemėlapiams parengti</t>
  </si>
  <si>
    <t>KITOS PAJAMOS</t>
  </si>
  <si>
    <t xml:space="preserve">Palūkanos už depozitus </t>
  </si>
  <si>
    <t>Dividendai</t>
  </si>
  <si>
    <t xml:space="preserve">Nuomos mokestis už valstybinę žemę ir valstybinio vidaus vandenų fondo vandens telkinius </t>
  </si>
  <si>
    <t>Pajamos už prekes ir paslaugas</t>
  </si>
  <si>
    <t>Pajamos už patalpų nuomą</t>
  </si>
  <si>
    <t>Įmokos už išlaikymą švietimo, socialinės apsaugos ir kitose įstaigose</t>
  </si>
  <si>
    <t>Pajamos iš baudų ir konfiskacijos</t>
  </si>
  <si>
    <t>Kitos pajamos</t>
  </si>
  <si>
    <t>SANDORIAI DĖL MATERIALIOJO IR NEMATERIALIOJO TURTO BEI FINANSINIŲ ĮSIPAREIGOJIMŲ PRISIĖMIMAS</t>
  </si>
  <si>
    <t>MATERIALIOJO IR NEMATERIALIOJO TURTO REALIZAVIMO PAJAMOS</t>
  </si>
  <si>
    <t>Ilgalaikio materialiojo turto realizavimo pajamos</t>
  </si>
  <si>
    <t>Žemė</t>
  </si>
  <si>
    <t>Pastatai ir statiniai</t>
  </si>
  <si>
    <t>Apyvartos lėšos biudžeto lėšų stygiui dengti</t>
  </si>
  <si>
    <t>Iš kitų savivaldybių gautos mokinio krepšelio lėšos</t>
  </si>
  <si>
    <t>Lėšos, gautos iš valstybės biudžeto pagal tarpusavio atsiskaitymus</t>
  </si>
  <si>
    <t>Eilu-tės Nr.</t>
  </si>
  <si>
    <t>Asignavimų valdytojas/programos pavadinimas</t>
  </si>
  <si>
    <t xml:space="preserve">Iš viso </t>
  </si>
  <si>
    <t>iš jų:</t>
  </si>
  <si>
    <t>išlaidoms</t>
  </si>
  <si>
    <t>iš jų darbo užmokesčiui</t>
  </si>
  <si>
    <t>Savivaldybės valdymo  programa</t>
  </si>
  <si>
    <t>Miesto urbanistinio planavimo programa</t>
  </si>
  <si>
    <t>Subalansuoto turizmo skatinimo ir vystymo programa</t>
  </si>
  <si>
    <t>Miesto kultūrinio savitumo puoselėjimo bei kultūrinių paslaugų gerinimo programa</t>
  </si>
  <si>
    <t>Susisiekimo sistemos priežiūros ir plėtros programa</t>
  </si>
  <si>
    <t>Aplinkos apsaugos programa</t>
  </si>
  <si>
    <t>Aplinkos apsaugos rėmimo specialioji programa</t>
  </si>
  <si>
    <t>Ugdymo proceso užtikrinimo programa</t>
  </si>
  <si>
    <t>Kūno kultūros ir sporto plėtros programa</t>
  </si>
  <si>
    <t>Socialinės atskirties mažinimo programa</t>
  </si>
  <si>
    <t>Sveikatos apsaugos paslaugų kokybės gerinimo programa</t>
  </si>
  <si>
    <t xml:space="preserve">Klaipėdos miesto savivaldybės tarybos </t>
  </si>
  <si>
    <t>2 priedas</t>
  </si>
  <si>
    <t>Civilinės būklės aktų registravimas</t>
  </si>
  <si>
    <t>Gyventojų registro tvarkymas ir duomenų valstybės registrui teikimas</t>
  </si>
  <si>
    <t>Duomenų teikimas Valstybės suteiktos pagalbos registrui</t>
  </si>
  <si>
    <t>Gyvenamosios vietos deklaravimas</t>
  </si>
  <si>
    <t>Valstybinės kalbos vartojimo ir taisyklingumo kontrolė</t>
  </si>
  <si>
    <t>Archyvinių dokumentų tvarkymas</t>
  </si>
  <si>
    <t xml:space="preserve">Vaikų teisių apsauga </t>
  </si>
  <si>
    <t>Jaunimo teisių apsauga</t>
  </si>
  <si>
    <t>Pirminės teisinės pagalbos teikimas</t>
  </si>
  <si>
    <t xml:space="preserve">Mobilizacijos administravimas </t>
  </si>
  <si>
    <t>Civilinės saugos organizavimas</t>
  </si>
  <si>
    <t>Žemės ūkio funkcijoms vykdyti</t>
  </si>
  <si>
    <t xml:space="preserve">Socialinės paslaugos </t>
  </si>
  <si>
    <t>Valstybinės žemės ir kito valstybės turto valdymas, naudojimas ir disponavimas patikėjimo teise</t>
  </si>
  <si>
    <t>Darbo rinkos politikos rengimas ir įgyvendinimas</t>
  </si>
  <si>
    <t>Klaipėdos miesto savivaldybės tarybos</t>
  </si>
  <si>
    <t>1 priedas</t>
  </si>
  <si>
    <t xml:space="preserve">Patikslin-tas planas </t>
  </si>
  <si>
    <t>Įvykdyta</t>
  </si>
  <si>
    <t>iš jų</t>
  </si>
  <si>
    <t>turtui įsigyti</t>
  </si>
  <si>
    <t>Patikslintas planas</t>
  </si>
  <si>
    <t xml:space="preserve">Patikslintas planas </t>
  </si>
  <si>
    <t>Įvykdyta procentais</t>
  </si>
  <si>
    <t>Eil.Nr.</t>
  </si>
  <si>
    <t>Plano įvykdymas</t>
  </si>
  <si>
    <t>Rezultatas (pasikeitimas +, -)</t>
  </si>
  <si>
    <t>ASIGNAVIMŲ PANAUDOJIMAS</t>
  </si>
  <si>
    <t>Patikslin-tas planas</t>
  </si>
  <si>
    <t>Įvykdy-ta pro-centais</t>
  </si>
  <si>
    <t>Rezultatas (pasikeiti-mas +,-)</t>
  </si>
  <si>
    <t>Patiks-lintas planas</t>
  </si>
  <si>
    <t>Iš viso</t>
  </si>
  <si>
    <t xml:space="preserve">Miesto infrastruktūros objektų priežiūros ir modernizavimo programa </t>
  </si>
  <si>
    <t>2</t>
  </si>
  <si>
    <t>6</t>
  </si>
  <si>
    <t>10</t>
  </si>
  <si>
    <t>Klaipėdos miesto skęstančiųjų gelbėjimo tarnyba</t>
  </si>
  <si>
    <t>Neįgaliųjų  centras „Klaipėdos lakštutė“</t>
  </si>
  <si>
    <t>Klaipėdos miesto sporto centras</t>
  </si>
  <si>
    <t>Klaipėdos kultūrų komunikacijų centras</t>
  </si>
  <si>
    <t>Klaipėdos miesto socialinės paramos centras</t>
  </si>
  <si>
    <t>Klaipėdos miesto globos namai</t>
  </si>
  <si>
    <t>Klaipėdos miesto nakvynės namai</t>
  </si>
  <si>
    <t>Klaipėdos „Gintaro“ sporto centras</t>
  </si>
  <si>
    <t>Klaipėdos futbolo sporto mokykla</t>
  </si>
  <si>
    <t>Klaipėdos kūno kultūros ir rekreacijos centras</t>
  </si>
  <si>
    <t>Klaipėdos miesto savivaldybės viešoji biblioteka</t>
  </si>
  <si>
    <t>Klaipėdos miesto savivaldybės Mažosios Lietuvos istorijos muziejus</t>
  </si>
  <si>
    <t>Klaipėdos miesto savivaldybės kultūros centras Žvejų rūmai</t>
  </si>
  <si>
    <t>Klaipėdos miesto savivaldybės koncertinė įstaiga Klaipėdos koncertų salė</t>
  </si>
  <si>
    <t>Klaipėdos miesto savivaldybės etnokultūros centras</t>
  </si>
  <si>
    <t>Klaipėdos Vytauto Didžiojo gimnazija</t>
  </si>
  <si>
    <t>Klaipėdos „Žaliakalnio“ gimnazija</t>
  </si>
  <si>
    <t>Klaipėdos „Žemynos“ gimnazija</t>
  </si>
  <si>
    <t>Klaipėdos Baltijos gimnazija</t>
  </si>
  <si>
    <t>Klaipėdos „Varpo“ gimnazija</t>
  </si>
  <si>
    <t>Klaipėdos Vydūno vidurinė mokykla</t>
  </si>
  <si>
    <t>Klaipėdos Hermano Zudermano gimnazija</t>
  </si>
  <si>
    <t>Klaipėdos Maksimo Gorkio pagrindinė mokykla</t>
  </si>
  <si>
    <t>Klaipėdos „Vyturio“ pagrindinė mokykla</t>
  </si>
  <si>
    <t>Klaipėdos „Pamario“ vidurinė  mokykla</t>
  </si>
  <si>
    <t>Klaipėdos „Pajūrio“ pagrindinė mokykla</t>
  </si>
  <si>
    <t>Klaipėdos „Saulėtekio“ pagrindinė mokykla</t>
  </si>
  <si>
    <t>Klaipėdos Vitės pagrindinė mokykla</t>
  </si>
  <si>
    <t xml:space="preserve">Klaipėdos „Gilijos“ pradinė mokykla </t>
  </si>
  <si>
    <t>Klaipėdos „Santarvės“ pagrindinė mokykla</t>
  </si>
  <si>
    <t>Klaipėdos Gedminų pagrindinė mokykla</t>
  </si>
  <si>
    <t>Klaipėdos Liudviko Stulpino pagrindinė mokykla</t>
  </si>
  <si>
    <t>Klaipėdos Ievos Simonaitytės  pagrindinė mokykla</t>
  </si>
  <si>
    <t>Klaipėdos Naujakiemio suaugusiųjų vidurinė mokykla</t>
  </si>
  <si>
    <t>Klaipėdos „Šaltinėlio“ mokykla-darželis</t>
  </si>
  <si>
    <t>Klaipėdos lopšelis-darželis „Du gaideliai“</t>
  </si>
  <si>
    <t>Klaipėdos „Nykštuko“ mokykla-darželis</t>
  </si>
  <si>
    <t>Klaipėdos „Varpelio“ mokykla-darželis</t>
  </si>
  <si>
    <t>Klaipėdos „Saulutės“ mokykla-darželis</t>
  </si>
  <si>
    <t>Klaipėdos „Inkarėlio“ mokykla-darželis</t>
  </si>
  <si>
    <t>Klaipėdos Marijos Montessori mokykla-darželis</t>
  </si>
  <si>
    <t>Klaipėdos „Pakalnutės“ mokykla-darželis</t>
  </si>
  <si>
    <t>Klaipėdos lopšelis-darželis „Berželis“</t>
  </si>
  <si>
    <t>Klaipėdos „Versmės“ specialioji mokykla-darželis</t>
  </si>
  <si>
    <t>Klaipėdos lopšelis-darželis „Švyturėlis“</t>
  </si>
  <si>
    <t>Klaipėdos darželis „Gintarėlis“</t>
  </si>
  <si>
    <t>Klaipėdos lopšelis-darželis „Čiauškutė“</t>
  </si>
  <si>
    <t>Klaipėdos specialusis lopšelis-darželis „Pušaitė“</t>
  </si>
  <si>
    <t>Klaipėdos sanatorinis lopšelis-darželis „Eglutė“</t>
  </si>
  <si>
    <t>Klaipėdos sanatorinis lopšelis-darželis „Giliukas“</t>
  </si>
  <si>
    <t>Klaipėdos lopšelis-darželis „Sakalėlis“</t>
  </si>
  <si>
    <t>Klaipėdos lopšelis-darželis „Pagrandukas“</t>
  </si>
  <si>
    <t>Klaipėdos lopšelis-darželis „Žiburėlis“</t>
  </si>
  <si>
    <t>Klaipėdos lopšelis-darželis „Puriena“</t>
  </si>
  <si>
    <t>Klaipėdos lopšelis-darželis „Radastėlė“</t>
  </si>
  <si>
    <t>Klaipėdos lopšelis-darželis „Liepaitė“</t>
  </si>
  <si>
    <t>Klaipėdos lopšelis-darželis „Boružėlė“</t>
  </si>
  <si>
    <t>Klaipėdos lopšelis-darželis „Bitutė“</t>
  </si>
  <si>
    <t>Klaipėdos lopšelis-darželis „Kregždutė“</t>
  </si>
  <si>
    <t>Klaipėdos lopšelis-darželis „Vėrinėlis“</t>
  </si>
  <si>
    <t>Klaipėdos lopšelis-darželis „Putinėlis“</t>
  </si>
  <si>
    <t>Klaipėdos lopšelis-darželis „Želmenėlis“</t>
  </si>
  <si>
    <t>Klaipėdos lopšelis-darželis „Obelėlė“</t>
  </si>
  <si>
    <t>Klaipėdos lopšelis-darželis „Klevelis“</t>
  </si>
  <si>
    <t>Klaipėdos lopšelis-darželis „Žilvitis“</t>
  </si>
  <si>
    <t>Klaipėdos lopšelis-darželis „Rūta“</t>
  </si>
  <si>
    <t>Klaipėdos lopšelis-darželis „Žuvėdra“</t>
  </si>
  <si>
    <t>Klaipėdos lopšelis-darželis „Pingvinukas“</t>
  </si>
  <si>
    <t>Klaipėdos lopšelis-darželis „Traukinukas“</t>
  </si>
  <si>
    <t>Klaipėdos lopšelis-darželis „Svirpliukas“</t>
  </si>
  <si>
    <t>Klaipėdos lopšelis-darželis „Volungėlė“</t>
  </si>
  <si>
    <t>Klaipėdos lopšelis-darželis „Dobiliukas“</t>
  </si>
  <si>
    <t>Klaipėdos lopšelis-darželis „Linelis“</t>
  </si>
  <si>
    <t>Klaipėdos lopšelis-darželis „Žiogelis“</t>
  </si>
  <si>
    <t>Klaipėdos lopšelis-darželis „Aušrinė“</t>
  </si>
  <si>
    <t>Klaipėdos lopšelis-darželis „Atžalynas“</t>
  </si>
  <si>
    <t>Klaipėdos lopšelis-darželis „Žemuogėlė“</t>
  </si>
  <si>
    <t>Klaipėdos lopšelis-darželis „Alksniukas“</t>
  </si>
  <si>
    <t>Klaipėdos lopšelis-darželis „Pumpurėlis“</t>
  </si>
  <si>
    <t>Klaipėdos lopšelis-darželis „Papartėlis“</t>
  </si>
  <si>
    <t>Klaipėdos lopšelis-darželis „Aitvarėlis“</t>
  </si>
  <si>
    <t>Klaipėdos lopšelis-darželis „Bangelė“</t>
  </si>
  <si>
    <t>Klaipėdos lopšelis-darželis „Ąžuoliukas“</t>
  </si>
  <si>
    <t>Klaipėdos Juozo Karoso muzikos mokykla</t>
  </si>
  <si>
    <t>Klaipėdos Jeronimo Kačinsko muzikos mokykla</t>
  </si>
  <si>
    <t>Klaipėdos Adomo Brako dailės mokykla</t>
  </si>
  <si>
    <t>Klaipėdos moksleivių saviraiškos centras</t>
  </si>
  <si>
    <t>Klaipėdos 2-oji specialioji mokykla</t>
  </si>
  <si>
    <t>Klaipėdos 1-oji specialioji mokykla</t>
  </si>
  <si>
    <t>Klaipėdos jaunimo centras</t>
  </si>
  <si>
    <t>Klaipėdos regos ugdymo centras</t>
  </si>
  <si>
    <t>Klaipėdos pedagoginė psichologinė tarnyba</t>
  </si>
  <si>
    <t xml:space="preserve">Klaipėdos vaikų laisvalaikio centras </t>
  </si>
  <si>
    <t>Klaipėdos vaikų globos namai „Smiltelė“</t>
  </si>
  <si>
    <t>Klaipėdos vaikų globos namai „Rytas“</t>
  </si>
  <si>
    <t>Klaipėdos vaikų globos namai „Danė“</t>
  </si>
  <si>
    <t>Klaipėdos priklausomybės ligų centras</t>
  </si>
  <si>
    <t xml:space="preserve">2012 m.       d. sprendimo Nr. T2- </t>
  </si>
  <si>
    <t xml:space="preserve"> KLAIPĖDOS MIESTO SAVIVALDYBĖS 2011 METŲ BIUDŽETO ĮVYKDYMO ATASKAITA</t>
  </si>
  <si>
    <t xml:space="preserve">Gyventojų pajamų mokestis </t>
  </si>
  <si>
    <t>Mokestis už aplinkos teršimą</t>
  </si>
  <si>
    <t>Specialiosios tikslinės dotacijos</t>
  </si>
  <si>
    <t>Valstybinėms (valstybės perduotoms savivaldybėms) funkcijoms atlikti</t>
  </si>
  <si>
    <t>Iš apskričių perduotoms įstaigoms išlaikyti</t>
  </si>
  <si>
    <t xml:space="preserve">Mokesčiai už valstybinius gamtos išteklius </t>
  </si>
  <si>
    <t>Pajamos už leidimų ir kitų dokumentų išdavimą</t>
  </si>
  <si>
    <t>Kitos neišvardintos pajamos</t>
  </si>
  <si>
    <t>Kitos ilgalaikio turto realizavimo pajamos</t>
  </si>
  <si>
    <t>Atsargų realizavimo pajamos</t>
  </si>
  <si>
    <t>Savivaldybės kontrolės ir audito  tarnyba</t>
  </si>
  <si>
    <r>
      <t>Savivaldybės kontrolės ir audito  tarnybos veiklos užtikrinimas</t>
    </r>
    <r>
      <rPr>
        <sz val="12"/>
        <rFont val="Times New Roman"/>
        <family val="1"/>
      </rPr>
      <t xml:space="preserve"> (savivaldybės biudžeto lėšos)</t>
    </r>
  </si>
  <si>
    <t>Savivaldybės tarybos aptarnavimas (savivaldybės biudžeto lėšos)</t>
  </si>
  <si>
    <t>Savivaldybės sekretoriato aptarnavimas (savivaldybės biudžeto lėšos)</t>
  </si>
  <si>
    <t>Savivaldybės administracijos veiklos užtikrinimas ir kitų priemonių vykdymas (savivaldybės biudžeto lėšos)</t>
  </si>
  <si>
    <t>Savivaldybės valdymo  programa (asignavimų valdytojo pajamų įmokos)</t>
  </si>
  <si>
    <r>
      <t xml:space="preserve">Savivaldybės administracijos direktoriaus rezervo programa  </t>
    </r>
    <r>
      <rPr>
        <sz val="12"/>
        <rFont val="Times New Roman"/>
        <family val="1"/>
      </rPr>
      <t xml:space="preserve">(savivaldybės biudžeto lėšos) </t>
    </r>
  </si>
  <si>
    <r>
      <t xml:space="preserve">Europos krepšinio čempionato renginių organizavimo Klaipėdoje 2011 m. programa </t>
    </r>
    <r>
      <rPr>
        <sz val="12"/>
        <rFont val="Times New Roman"/>
        <family val="1"/>
      </rPr>
      <t xml:space="preserve">(savivaldybės biudžeto lėšos) </t>
    </r>
  </si>
  <si>
    <r>
      <t>Jaunimo veiklos ir pilietiškumo skatinimo programa</t>
    </r>
    <r>
      <rPr>
        <sz val="12"/>
        <rFont val="Times New Roman"/>
        <family val="1"/>
      </rPr>
      <t xml:space="preserve"> (savivaldybės biudžeto lėšos)</t>
    </r>
  </si>
  <si>
    <r>
      <t xml:space="preserve">Bendrosios dotacijos kompensacija </t>
    </r>
    <r>
      <rPr>
        <sz val="12"/>
        <rFont val="Times New Roman"/>
        <family val="1"/>
      </rPr>
      <t>(savivaldybės biudžeto lėšos)</t>
    </r>
  </si>
  <si>
    <t>Valstybinių (valstybės perduotų savivaldybėms) funkcijų įgyvendinimas</t>
  </si>
  <si>
    <t>Karo prievolės administravimas</t>
  </si>
  <si>
    <t>Darbo rinkos politikos rengimo ir įgyvendinimo administravimas</t>
  </si>
  <si>
    <t xml:space="preserve">Socialinių paslaugų administravimas </t>
  </si>
  <si>
    <t>Socialinėms išmokoms ir kompensacijoms skaičiuoti ir mokėti administravimas</t>
  </si>
  <si>
    <t>Socialinės paramos mokiniams administravimas</t>
  </si>
  <si>
    <t>Investicijų ir ekonomikos departamentas</t>
  </si>
  <si>
    <r>
      <t>Subalansuoto turizmo skatinimo ir vystymo programa</t>
    </r>
    <r>
      <rPr>
        <sz val="12"/>
        <rFont val="Times New Roman"/>
        <family val="1"/>
      </rPr>
      <t xml:space="preserve"> </t>
    </r>
  </si>
  <si>
    <t>Subalansuoto turizmo skatinimo ir vystymo programa (savivaldybės biudžeto lėšos)</t>
  </si>
  <si>
    <t xml:space="preserve">Subalansuoto turizmo skatinimo ir vystymo programa (paskolų lėšos) </t>
  </si>
  <si>
    <r>
      <t xml:space="preserve">Didžiųjų burlaivių regatos „The Culture 2011 Tall Ships Regatta“ programa </t>
    </r>
    <r>
      <rPr>
        <sz val="12"/>
        <rFont val="Times New Roman"/>
        <family val="1"/>
      </rPr>
      <t>(savivaldybės biudžeto lėšos)</t>
    </r>
  </si>
  <si>
    <r>
      <t xml:space="preserve">Smulkaus ir vidutinio verslo rėmimo programa </t>
    </r>
    <r>
      <rPr>
        <sz val="12"/>
        <rFont val="Times New Roman"/>
        <family val="1"/>
      </rPr>
      <t>(savivaldybės biudžeto lėšos)</t>
    </r>
  </si>
  <si>
    <r>
      <t xml:space="preserve">Miesto urbanistinio planavimo programa </t>
    </r>
    <r>
      <rPr>
        <sz val="12"/>
        <rFont val="Times New Roman"/>
        <family val="1"/>
      </rPr>
      <t xml:space="preserve">(savivaldybės biudžeto lėšos) </t>
    </r>
  </si>
  <si>
    <t xml:space="preserve">Ugdymo proceso užtikrinimo programa </t>
  </si>
  <si>
    <t>Ugdymo proceso užtikrinimo programa (savivaldybės biudžeto lėšos)</t>
  </si>
  <si>
    <t xml:space="preserve">Ugdymo proceso užtikrinimo programa (paskolų lėšos) </t>
  </si>
  <si>
    <r>
      <t>Susisiekimo sistemos priežiūros ir plėtros programa</t>
    </r>
    <r>
      <rPr>
        <sz val="12"/>
        <rFont val="Times New Roman"/>
        <family val="1"/>
      </rPr>
      <t xml:space="preserve"> </t>
    </r>
  </si>
  <si>
    <t>Susisiekimo sistemos priežiūros ir plėtros programa (savivaldybės biudžeto lėšos)</t>
  </si>
  <si>
    <t xml:space="preserve">Susisiekimo sistemos priežiūros ir plėtros programa (paskolų lėšos) </t>
  </si>
  <si>
    <r>
      <t>Miesto infrastruktūros objektų priežiūros ir modernizavimo programa</t>
    </r>
    <r>
      <rPr>
        <sz val="12"/>
        <rFont val="Times New Roman"/>
        <family val="1"/>
      </rPr>
      <t xml:space="preserve"> (paskolų lėšos) </t>
    </r>
  </si>
  <si>
    <t xml:space="preserve">Kūno kultūros ir sporto plėtros programa </t>
  </si>
  <si>
    <t xml:space="preserve">Kūno kultūros ir sporto plėtros programa (paskolų lėšos) </t>
  </si>
  <si>
    <t>Kūno kultūros ir sporto plėtros programa (savivaldybės biudžeto lėšos)</t>
  </si>
  <si>
    <r>
      <t xml:space="preserve">Socialinės atskirties mažinimo programa </t>
    </r>
    <r>
      <rPr>
        <sz val="12"/>
        <rFont val="Times New Roman"/>
        <family val="1"/>
      </rPr>
      <t>(paskolų lėšos)</t>
    </r>
  </si>
  <si>
    <r>
      <t xml:space="preserve">Sveikatos apsaugos paslaugų kokybės gerinimo programa </t>
    </r>
    <r>
      <rPr>
        <sz val="12"/>
        <rFont val="Times New Roman"/>
        <family val="1"/>
      </rPr>
      <t xml:space="preserve">(paskolų lėšos) </t>
    </r>
  </si>
  <si>
    <t xml:space="preserve">Miesto kultūrinio savitumo puoselėjimo bei kultūrinių paslaugų gerinimo programa </t>
  </si>
  <si>
    <t xml:space="preserve">Miesto kultūrinio savitumo puoselėjimo bei kultūrinių paslaugų gerinimo programa (paskolų lėšos) </t>
  </si>
  <si>
    <t xml:space="preserve">Miesto kultūrinio savitumo puoselėjimo bei kultūrinių paslaugų gerinimo programa (savivaldybės biudžeto lėšos) </t>
  </si>
  <si>
    <t xml:space="preserve">Aplinkos apsaugos programa </t>
  </si>
  <si>
    <t>Aplinkos apsaugos programa (savivaldybės biudžeto lėšos)</t>
  </si>
  <si>
    <t>Urbanistinės plėtros departamentas</t>
  </si>
  <si>
    <t>Miesto ūkio departamentas</t>
  </si>
  <si>
    <r>
      <t>Susisiekimo sistemos priežiūros ir plėtros programa</t>
    </r>
    <r>
      <rPr>
        <sz val="12"/>
        <rFont val="Times New Roman"/>
        <family val="1"/>
      </rPr>
      <t xml:space="preserve"> (savivaldybės biudžeto lėšos)</t>
    </r>
  </si>
  <si>
    <t>Miesto infrastruktūros objektų priežiūros ir modernizavimo programa (savivaldybės biudžeto lėšos)</t>
  </si>
  <si>
    <t>Miesto infrastruktūros objektų priežiūros ir modernizavimo programa (asignavimų valdytojo pajamų įmokos)</t>
  </si>
  <si>
    <t xml:space="preserve">Socialinės atskirties mažinimo programa </t>
  </si>
  <si>
    <t>Socialinės atskirties mažinimo programa (savivaldybės biudžeto lėšos)</t>
  </si>
  <si>
    <t>Gyvenamųjų patalpų nuompinigių panaudojimo specialioji programa</t>
  </si>
  <si>
    <r>
      <t xml:space="preserve">Ugdymo proceso užtikrinimo programa </t>
    </r>
    <r>
      <rPr>
        <sz val="12"/>
        <rFont val="Times New Roman"/>
        <family val="1"/>
      </rPr>
      <t>(savivaldybės biudžeto lėšos)</t>
    </r>
  </si>
  <si>
    <t>Aplinkos apsaugos programa (specialiosios tikslinės dotacijos Aglomeracijų strateginiams triukšmo žemėlapiams parengti lėšos)</t>
  </si>
  <si>
    <t>Ugdymo ir kultūros departamentas</t>
  </si>
  <si>
    <t>Ugdymo proceso užtikrinimo programa  (savivaldybės biudžeto lėšos)</t>
  </si>
  <si>
    <t>Ugdymo proceso užtikrinimo programa (specialiosios tikslinės dotacijos mokinio krepšeliui finansuoti lėšos)</t>
  </si>
  <si>
    <t>Ugdymo proceso užtikrinimo programa (specialiosios tikslinės dotacijos iš apskričių perduotoms įstaigoms išlaikyti lėšos)</t>
  </si>
  <si>
    <t>Ugdymo proceso užtikrinimo programa (asignavimų valdytojo pajamų įmokos)</t>
  </si>
  <si>
    <t>Miesto kultūrinio savitumo puoselėjimo bei kultūrinių paslaugų gerinimo programa (savivaldybės biudžeto lėšos)</t>
  </si>
  <si>
    <t>Miesto kultūrinio savitumo puoselėjimo bei kultūrinių paslaugų gerinimo programa (asignavimų valdytojo pajamų įmokos)</t>
  </si>
  <si>
    <t>Kūno kultūros ir sporto plėtros programa (asignavimų valdytojo pajamų įmokos)</t>
  </si>
  <si>
    <t>Socialinių reikalų departamentas</t>
  </si>
  <si>
    <t>Socialinės atskirties mažinimo programa (specialiosios tikslinės dotacijos iš apskričių perduotoms įstaigoms išlaikyti lėšos)</t>
  </si>
  <si>
    <t>Socialinės atskirties mažinimo programa (asignavimų valdytojo pajamų įmokos)</t>
  </si>
  <si>
    <t>Sveikatos apsaugos paslaugų kokybės gerinimo programa (savivaldybės biudžeto lėšos)</t>
  </si>
  <si>
    <t>Sveikatos apsaugos paslaugų kokybės gerinimo programa (specialiosios tikslinės dotacijos iš apskričių perduotoms įstaigoms išlaikyti lėšos)</t>
  </si>
  <si>
    <t>Sveikatos apsaugos paslaugų kokybės gerinimo programa (asignavimų valdytojo pajamų įmokos)</t>
  </si>
  <si>
    <t>Programos pavadinimas</t>
  </si>
  <si>
    <t>Asignavimų valdytojas</t>
  </si>
  <si>
    <t xml:space="preserve">Savivaldybės kontrolės ir audito  tarnybos veiklos užtikrinimas </t>
  </si>
  <si>
    <t>3.</t>
  </si>
  <si>
    <t>Direktoriaus rezervo programa</t>
  </si>
  <si>
    <t>4.</t>
  </si>
  <si>
    <t>Bendrosios dotacijos kompensacija</t>
  </si>
  <si>
    <t>5.</t>
  </si>
  <si>
    <t xml:space="preserve">Europos krepšinio čempionato renginių organizavimo Klaipėdoje 2011 m. programa </t>
  </si>
  <si>
    <t>6.</t>
  </si>
  <si>
    <t>Jaunimo veiklos ir pilietiškumo skatinimo programa</t>
  </si>
  <si>
    <t>7.</t>
  </si>
  <si>
    <t>Iš viso programai</t>
  </si>
  <si>
    <t>8.</t>
  </si>
  <si>
    <t>9.</t>
  </si>
  <si>
    <t>10.</t>
  </si>
  <si>
    <t xml:space="preserve">Didžiųjų burlaivių regatos „The Culture 2011 Tall Ships Regatta“ programa </t>
  </si>
  <si>
    <t>11.</t>
  </si>
  <si>
    <t>Smulkaus ir vidutinio verslo rėmimo programa</t>
  </si>
  <si>
    <t>12.</t>
  </si>
  <si>
    <t>13.</t>
  </si>
  <si>
    <t>14.</t>
  </si>
  <si>
    <t>Miesto infrastruktūros objektų priežiūros ir modernizavimo pograma</t>
  </si>
  <si>
    <t>15.</t>
  </si>
  <si>
    <t>16.</t>
  </si>
  <si>
    <t>17.</t>
  </si>
  <si>
    <t>18.</t>
  </si>
  <si>
    <t>19.</t>
  </si>
  <si>
    <t>20.</t>
  </si>
  <si>
    <t xml:space="preserve">Valstybės finansinė parama užsienyje mirusio (žuvusio) Lietuvos Respublikos piliečio palaikams pervežti į Lietuvos Respubliką </t>
  </si>
  <si>
    <t>21.</t>
  </si>
  <si>
    <t xml:space="preserve">Iš viso: </t>
  </si>
  <si>
    <t>Asignavimų valdytojas / programos pavadinimas</t>
  </si>
  <si>
    <t>Išlaidos turtui įsigyti</t>
  </si>
  <si>
    <t xml:space="preserve">Subalansuoto turizmo skatinimo ir vystymo programa </t>
  </si>
  <si>
    <t xml:space="preserve">Susisiekimo sistemos priežiūros ir plėtros programa </t>
  </si>
  <si>
    <t xml:space="preserve">Sveikatos apsaugos paslaugų kokybės gerinimo programa </t>
  </si>
  <si>
    <t>2012 m.           d. sprendimo Nr. T2-</t>
  </si>
  <si>
    <t>KLAIPĖDOS MIESTO SAVIVALDYBĖS 2011 METŲ BIUDŽETO ASIGNAVIMŲ PANAUDOJIMAS PAGAL PROGRAMAS</t>
  </si>
  <si>
    <t>KLAIPĖDOS MIESTO SAVIVALDYBĖS 2011 M. BIUDŽETO ASIGNAVIMŲ PANAUDOJIMAS INVESTICIJŲ PROJEKTAMS FINANSUOTI PAGAL PROGRAMAS IŠ PASKOLŲ LĖŠŲ</t>
  </si>
  <si>
    <t>2012 m.                d. sprendimo Nr. T2-</t>
  </si>
  <si>
    <t>3 priedas</t>
  </si>
  <si>
    <t xml:space="preserve"> Klaipėdos miesto savivaldybės tarybos</t>
  </si>
  <si>
    <t xml:space="preserve"> 4 priedas</t>
  </si>
  <si>
    <t>Asignavimų valdytojo / įstaigos pavadinimas</t>
  </si>
  <si>
    <t>4</t>
  </si>
  <si>
    <t>Klaipėdos „Ąžuolyno“ gimnazija</t>
  </si>
  <si>
    <t>Klaipėdos Simono Dacho  progimnazija</t>
  </si>
  <si>
    <t>Klaipėdos Prano Mašioto  progimnazija</t>
  </si>
  <si>
    <t>Klaipėdos „Versmės“ progimnazija</t>
  </si>
  <si>
    <t>Klaipėdos „Smeltės“ progimnazija</t>
  </si>
  <si>
    <t>Klaipėdos Andrejaus  Rubliovo pagrindinė mokykla</t>
  </si>
  <si>
    <t>Klaipėdos Martyno Mažvydo  progimnazija</t>
  </si>
  <si>
    <t>Klaipėdos Tauralaukio progimnazija</t>
  </si>
  <si>
    <t>Klaipėdos „Gabijos“ progimnazija</t>
  </si>
  <si>
    <t>Klaipėdos Sendvario pagrindinė mokykla</t>
  </si>
  <si>
    <t>Klaipėdos Salio Šemerio suaugusiųjų gimnazija</t>
  </si>
  <si>
    <t>Klaipėdos  lopšelis-darželis „Vyturėlis“</t>
  </si>
  <si>
    <t>Klaipėdos lopšelis-darželis„Šermukšnėlė“</t>
  </si>
  <si>
    <t>Klaipėdos pedagogų švietimo ir kultūros centras</t>
  </si>
  <si>
    <t xml:space="preserve">Įmokos už išlaikymą švietimo, socialinės apsaugos ir kitose įstaigose </t>
  </si>
  <si>
    <t xml:space="preserve">Pajamos už prekes ir paslaugas </t>
  </si>
  <si>
    <t xml:space="preserve">Pajamos už patalpų nuomą </t>
  </si>
  <si>
    <t xml:space="preserve"> 2012 m.                  d. sprendimo Nr. T2-</t>
  </si>
  <si>
    <t>2011 METŲ BIUDŽETINIŲ ĮSTAIGŲ PAJAMŲ ĮMOKŲ Į SAVIVALDYBĖS BIUDŽETĄ PAGAL ASIGNAVIMŲ VALDYTOJUS VYKDYMO ATASKAITA</t>
  </si>
  <si>
    <t>8</t>
  </si>
  <si>
    <t xml:space="preserve">Klaipėdos miesto savivaldybės </t>
  </si>
  <si>
    <t>5  priedas</t>
  </si>
  <si>
    <t>KLAIPĖDOS MIESTO SAVIVALDYBĖS ADMINISTRACIJOS DIREKTORIAUS REZERVO LĖŠŲ PANAUDOJIMO 2011 M. ATASKAITA</t>
  </si>
  <si>
    <t>(litais)</t>
  </si>
  <si>
    <t>Lėšų panaudojimo paskirtis</t>
  </si>
  <si>
    <t>Rezultatas (pasikei-timas +,-)</t>
  </si>
  <si>
    <t>Pagal Savivaldybės administracijos direktoriaus 2011 m. balandžio 4 d. įsakymą Nr. AD1-642 panaudota žalai (nuostoliams), padarytai Valstybinės vaistų kontrolės tarnybos prie Lietuvos Respublikos sveikatos apsaugos ministerijos patikėjimo teise valdomam, valstybei nuosavybės teise priklausančiam turtui (Taikos pr. 81A (bendras plotas 135,14 kv. m unikalus Nr. 2197-3006-1010:0005), atlyginti pagal sutartį</t>
  </si>
  <si>
    <t>Pagal Savivaldybės administracijos direktoriaus 2011 m. balandžio 11 d. įsakymą Nr. AD1-684 panaudota apmokėti už švietimo įstaigų (Klaipėdos „Ąžuolyno“ gimnazijos, Klaipėdos „Gilijos“ pradinės mokyklos, Klaipėdos Vydūno vidurinės mokyklos, Klaipėdos Hermano Zudermano gimnazijos, Klaipėdos lopšelių-darželių „Eglutė“, „Boružėlė“, „Želmenėlis“, „Vėrinėlis“, „Svirpliukas“, Klaipėdos regos ugdymo centro ir Klaipėdos Adomo Brako dailės mokyklos) stogų remonto darbus pagal sutartis, darbų atlikimo priėmimo–perdavimo aktus ir PVM sąskaitas faktūras</t>
  </si>
  <si>
    <t>Pagal Savivaldybės administracijos direktoriaus 2011 m. balandžio 22 d. įsakymą Nr. AD1-782 
panaudota ekstremalios situacijos padariniams likviduoti mieste partneryje Kudži, Japonijoje</t>
  </si>
  <si>
    <t>Pagal Savivaldybės administracijos direktoriaus 2011 m. liepos 25 d. įsakymą Nr. AD1-1502 panaudota iš viso:</t>
  </si>
  <si>
    <t>Apmokėtos išlaidos, reikalingos 2011 metų vasario    8-9 dienomis kilusios audros padariniams Klaipėdos miesto gyvenamųjų namų kiemuose, gatvėse ir parkuose pašalinti</t>
  </si>
  <si>
    <t>Apmokėta už žuvimi užterštų Smiltynės paplūdimio išvalymo darbus</t>
  </si>
  <si>
    <t>Apmokėtos UAB „City Servise“ palūkanos ir žyminis mokestis pagal 2010 m. gruodžio 21 d. įsiteisėjusį Klaipėdos miesto apygardos teismo 2010 m. kovo 9 d. sprendimą civilinėje byloje Nr. 2A-756/2010 pagal ieškovės ieškinį Klaipėdos miesto savivaldybės administracijai dėl procesinių palūkanų priteisimo</t>
  </si>
  <si>
    <t>Apmokėtos išlaidos už trūkusios žemų parametrų trasos remonto, Galinio Pylimo gatvėje 3-3B, darbus</t>
  </si>
  <si>
    <t>Panaudota pavogtiems lietaus  nuotekų šulinių dangčiams įsigyti</t>
  </si>
  <si>
    <t>Panaudota permokėtoms valstybės biudžeto asignavimų lėšoms, kurios buvo skirtos valstybinei Darbo rinkos politikos rengimo ir įgyvendinimo funkcijai atlikti, grąžinti pagal Lietuvos Respublikos valstybės kontrolės Klaipėdos miesto savivaldybės 2010 metų finansinio (teisėtumo) audito ataskaitos projekte pateiktas išvadas</t>
  </si>
  <si>
    <t>Pagal Savivaldybės administracijos direktoriaus 2011 m. rugsėjo 19 d. įsakymą Nr. AD1-1877 panaudota iš dalies Klaipėdos kultūros magistro Rymanto Černiausko laidojimo išlaidoms kompensuoti</t>
  </si>
  <si>
    <t>Pagal Savivaldybės administracijos direktoriaus 2011 m. gruodžio 28 d. įsakymą Nr. AD1-2640 panaudota 2011 metų lapkričio 28 dieną kilusios audros padarinių Klaipėdos mieste likvidavimo darbų išlaidoms apmokėti</t>
  </si>
  <si>
    <t xml:space="preserve">tarybos 2012 m.                     d. </t>
  </si>
  <si>
    <t>sprendimo Nr. T2-</t>
  </si>
  <si>
    <t>iškelta į infrastr progr</t>
  </si>
  <si>
    <t>iš kur atkelta</t>
  </si>
  <si>
    <t>Rezulta-tas (pasikei-timas +,-)</t>
  </si>
  <si>
    <t>Rezultatas (pasikeiti-mas +, -)</t>
  </si>
  <si>
    <t>Klaipėdos „Aukuro“ gimnazija</t>
  </si>
  <si>
    <t>12</t>
  </si>
  <si>
    <t>14</t>
  </si>
  <si>
    <t>Rezulta-tas (pasikeiti-mas +, -)</t>
  </si>
  <si>
    <t>Apmokėtos šalto vandens automatinių vožtuvų, veikiančių įjungus pastato apsaugos signalizaciją, keitimo lopšeliuose darželiuose „Pušaitė“, „Čiauškutė“, „Švyturėlis“, „Bangelė“, „Žuvėdra“, „Bitutė“, „Atžalynas“, „Kregždutė“, „Vyturėlis“, „Žilvitis“, „Rūta“, „Radastėlė“, pastate Debreceno g. 41, Pedagogų švietimo ir kultūros centre, Juozo Karoso muzikos mokykloje ir klube „Saulutė“ darbų išlaidos</t>
  </si>
  <si>
    <t>Apmokėtos avarinio remonto Socialinės paramos skyriaus patalpose, Laukininkų g. 19 A, darbų išlaidos</t>
  </si>
  <si>
    <t>Apmokėtos avarinio remonto Klaipėdos miesto savivaldybės administracijos pastato patalpose, Liepų g. 11, darbų išlaidos</t>
  </si>
  <si>
    <t>Apmokėtos ekspertizės, kurios metu pagal  Klaipėdos apygardos teismo  2011-05-27 nutartį būtų nustatoma paimamų žemės sklypų, esančių Lypkių kaime, rinkos vertė, išlaidos</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</si>
</sst>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 numFmtId="165" formatCode=";;"/>
    <numFmt numFmtId="166" formatCode="0.000"/>
    <numFmt numFmtId="167" formatCode="0.0000"/>
    <numFmt numFmtId="168" formatCode="0&quot;.&quot;"/>
    <numFmt numFmtId="169" formatCode="0.00000"/>
    <numFmt numFmtId="170" formatCode="0.000000"/>
    <numFmt numFmtId="171" formatCode="0.0000000"/>
    <numFmt numFmtId="172" formatCode="0.00000000"/>
    <numFmt numFmtId="173" formatCode="0.000000000"/>
    <numFmt numFmtId="174" formatCode="0.0000000000"/>
    <numFmt numFmtId="175" formatCode="0.00000000000"/>
    <numFmt numFmtId="176" formatCode="0.0%"/>
    <numFmt numFmtId="177" formatCode="&quot;Lt&quot;#,##0_);\(&quot;Lt&quot;#,##0\)"/>
    <numFmt numFmtId="178" formatCode="&quot;Lt&quot;#,##0_);[Red]\(&quot;Lt&quot;#,##0\)"/>
    <numFmt numFmtId="179" formatCode="&quot;Lt&quot;#,##0.00_);\(&quot;Lt&quot;#,##0.00\)"/>
    <numFmt numFmtId="180" formatCode="&quot;Lt&quot;#,##0.00_);[Red]\(&quot;Lt&quot;#,##0.00\)"/>
    <numFmt numFmtId="181" formatCode="_(&quot;Lt&quot;* #,##0_);_(&quot;Lt&quot;* \(#,##0\);_(&quot;Lt&quot;* &quot;-&quot;_);_(@_)"/>
    <numFmt numFmtId="182" formatCode="_(* #,##0_);_(* \(#,##0\);_(* &quot;-&quot;_);_(@_)"/>
    <numFmt numFmtId="183" formatCode="_(&quot;Lt&quot;* #,##0.00_);_(&quot;Lt&quot;* \(#,##0.00\);_(&quot;Lt&quot;* &quot;-&quot;??_);_(@_)"/>
    <numFmt numFmtId="184" formatCode="_(* #,##0.00_);_(* \(#,##0.00\);_(* &quot;-&quot;??_);_(@_)"/>
    <numFmt numFmtId="185" formatCode="#0;\-#0;"/>
    <numFmt numFmtId="186" formatCode="&quot;Taip&quot;;&quot;Taip&quot;;&quot;Ne&quot;"/>
    <numFmt numFmtId="187" formatCode="&quot;Teisinga&quot;;&quot;Teisinga&quot;;&quot;Klaidinga&quot;"/>
    <numFmt numFmtId="188" formatCode="[$€-2]\ ###,000_);[Red]\([$€-2]\ ###,000\)"/>
    <numFmt numFmtId="189" formatCode="#,##0.0"/>
    <numFmt numFmtId="190" formatCode="yyyy\-mm\-dd;@"/>
    <numFmt numFmtId="191" formatCode="_-* #,##0.00&quot; Lt&quot;_-;\-* #,##0.00&quot; Lt&quot;_-;_-* \-??&quot; Lt&quot;_-;_-@_-"/>
    <numFmt numFmtId="192" formatCode="m/d/yyyy\ h:mm"/>
    <numFmt numFmtId="193" formatCode="m/d/yyyy"/>
    <numFmt numFmtId="194" formatCode="#,##0.0\ &quot;Lt&quot;"/>
    <numFmt numFmtId="195" formatCode="[$-427]yyyy\ &quot;m.&quot;\ mmmm\ d\ &quot;d.&quot;"/>
    <numFmt numFmtId="196" formatCode="&quot;Yes&quot;;&quot;Yes&quot;;&quot;No&quot;"/>
    <numFmt numFmtId="197" formatCode="&quot;True&quot;;&quot;True&quot;;&quot;False&quot;"/>
    <numFmt numFmtId="198" formatCode="&quot;On&quot;;&quot;On&quot;;&quot;Off&quot;"/>
    <numFmt numFmtId="199" formatCode="[$€-2]\ #,##0.00_);[Red]\([$€-2]\ #,##0.00\)"/>
    <numFmt numFmtId="200" formatCode="General\."/>
    <numFmt numFmtId="201" formatCode="#,##0_ ;[Red]\-#,##0\ "/>
    <numFmt numFmtId="202" formatCode="0_ ;[Red]\-0\ "/>
    <numFmt numFmtId="203" formatCode="0.0_ ;[Red]\-0.0\ "/>
    <numFmt numFmtId="204" formatCode="0.00_ ;[Red]\-0.00\ "/>
    <numFmt numFmtId="205" formatCode="[$-10427]#,##0.00;\(#,##0.00\)"/>
    <numFmt numFmtId="206" formatCode="0.0_ ;\-0.0\ "/>
  </numFmts>
  <fonts count="50">
    <font>
      <sz val="10"/>
      <name val="Arial"/>
      <family val="0"/>
    </font>
    <font>
      <sz val="12"/>
      <name val="Times New Roman"/>
      <family val="1"/>
    </font>
    <font>
      <b/>
      <sz val="12"/>
      <name val="Times New Roman"/>
      <family val="1"/>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1"/>
      <name val="Times New Roman"/>
      <family val="1"/>
    </font>
    <font>
      <sz val="12"/>
      <color indexed="8"/>
      <name val="Times New Roman"/>
      <family val="1"/>
    </font>
    <font>
      <b/>
      <sz val="12"/>
      <color indexed="8"/>
      <name val="Times New Roman"/>
      <family val="1"/>
    </font>
    <font>
      <b/>
      <sz val="10"/>
      <name val="Arial"/>
      <family val="2"/>
    </font>
    <font>
      <sz val="12"/>
      <name val="Arial"/>
      <family val="2"/>
    </font>
    <font>
      <b/>
      <sz val="11"/>
      <color indexed="8"/>
      <name val="Times New Roman"/>
      <family val="1"/>
    </font>
    <font>
      <sz val="10"/>
      <name val="Times New Roman"/>
      <family val="1"/>
    </font>
    <font>
      <u val="single"/>
      <sz val="10"/>
      <color indexed="36"/>
      <name val="Times New Roman Baltic"/>
      <family val="0"/>
    </font>
    <font>
      <u val="single"/>
      <sz val="10"/>
      <color indexed="12"/>
      <name val="Times New Roman Baltic"/>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0" borderId="3" applyNumberFormat="0" applyFill="0" applyAlignment="0" applyProtection="0"/>
    <xf numFmtId="0" fontId="36" fillId="0" borderId="0" applyNumberForma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5" fillId="2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7" borderId="0" applyNumberFormat="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6" fillId="3" borderId="0" applyNumberFormat="0" applyBorder="0" applyAlignment="0" applyProtection="0"/>
    <xf numFmtId="0" fontId="39" fillId="38" borderId="0" applyNumberFormat="0" applyBorder="0" applyAlignment="0" applyProtection="0"/>
    <xf numFmtId="0" fontId="7" fillId="39" borderId="4" applyNumberFormat="0" applyAlignment="0" applyProtection="0"/>
    <xf numFmtId="0" fontId="8" fillId="40" borderId="5" applyNumberFormat="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40" fillId="41" borderId="0" applyNumberFormat="0" applyBorder="0" applyAlignment="0" applyProtection="0"/>
    <xf numFmtId="0" fontId="11" fillId="4"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16" fillId="7" borderId="4" applyNumberFormat="0" applyAlignment="0" applyProtection="0"/>
    <xf numFmtId="0" fontId="41" fillId="42" borderId="9" applyNumberFormat="0" applyAlignment="0" applyProtection="0"/>
    <xf numFmtId="0" fontId="0" fillId="0" borderId="0">
      <alignment/>
      <protection/>
    </xf>
    <xf numFmtId="0" fontId="42" fillId="0" borderId="0" applyNumberFormat="0" applyFill="0" applyBorder="0" applyAlignment="0" applyProtection="0"/>
    <xf numFmtId="0" fontId="43" fillId="43" borderId="10"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11" applyNumberFormat="0" applyFill="0" applyAlignment="0" applyProtection="0"/>
    <xf numFmtId="0" fontId="18" fillId="44" borderId="0" applyNumberFormat="0" applyBorder="0" applyAlignment="0" applyProtection="0"/>
    <xf numFmtId="0" fontId="44" fillId="45"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46" borderId="12" applyNumberFormat="0" applyFont="0" applyAlignment="0" applyProtection="0"/>
    <xf numFmtId="0" fontId="0" fillId="46" borderId="12" applyNumberFormat="0" applyFont="0" applyAlignment="0" applyProtection="0"/>
    <xf numFmtId="0" fontId="19" fillId="39" borderId="13" applyNumberFormat="0" applyAlignment="0" applyProtection="0"/>
    <xf numFmtId="0" fontId="0" fillId="0" borderId="0">
      <alignment/>
      <protection/>
    </xf>
    <xf numFmtId="0" fontId="0" fillId="0" borderId="0">
      <alignment/>
      <protection/>
    </xf>
    <xf numFmtId="0" fontId="37" fillId="47"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0" fillId="53" borderId="14" applyNumberFormat="0" applyFon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42" borderId="10" applyNumberFormat="0" applyAlignment="0" applyProtection="0"/>
    <xf numFmtId="0" fontId="47" fillId="0" borderId="15" applyNumberFormat="0" applyFill="0" applyAlignment="0" applyProtection="0"/>
    <xf numFmtId="0" fontId="48" fillId="0" borderId="16" applyNumberFormat="0" applyFill="0" applyAlignment="0" applyProtection="0"/>
    <xf numFmtId="0" fontId="49" fillId="54" borderId="17" applyNumberFormat="0" applyAlignment="0" applyProtection="0"/>
    <xf numFmtId="0" fontId="20" fillId="0" borderId="0" applyNumberFormat="0" applyFill="0" applyBorder="0" applyAlignment="0" applyProtection="0"/>
    <xf numFmtId="0" fontId="21" fillId="0" borderId="1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cellStyleXfs>
  <cellXfs count="17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9" xfId="0" applyFont="1" applyBorder="1" applyAlignment="1">
      <alignment horizontal="center"/>
    </xf>
    <xf numFmtId="0" fontId="2" fillId="0" borderId="0" xfId="0" applyFont="1" applyAlignment="1">
      <alignment/>
    </xf>
    <xf numFmtId="0" fontId="1" fillId="0" borderId="19" xfId="0" applyFont="1" applyBorder="1" applyAlignment="1">
      <alignment horizontal="center" vertical="center" wrapText="1"/>
    </xf>
    <xf numFmtId="0" fontId="2" fillId="0" borderId="19" xfId="0" applyFont="1" applyBorder="1" applyAlignment="1">
      <alignment wrapText="1"/>
    </xf>
    <xf numFmtId="164" fontId="2" fillId="0" borderId="19" xfId="0" applyNumberFormat="1" applyFont="1" applyBorder="1" applyAlignment="1">
      <alignment wrapText="1"/>
    </xf>
    <xf numFmtId="0" fontId="1" fillId="0" borderId="19" xfId="0" applyFont="1" applyBorder="1" applyAlignment="1">
      <alignment wrapText="1"/>
    </xf>
    <xf numFmtId="0" fontId="2" fillId="0" borderId="19" xfId="0" applyFont="1" applyFill="1" applyBorder="1" applyAlignment="1">
      <alignment wrapText="1"/>
    </xf>
    <xf numFmtId="0" fontId="1" fillId="0" borderId="19" xfId="0" applyFont="1" applyFill="1" applyBorder="1" applyAlignment="1">
      <alignment wrapText="1"/>
    </xf>
    <xf numFmtId="164" fontId="1" fillId="0" borderId="19" xfId="0" applyNumberFormat="1" applyFont="1" applyBorder="1" applyAlignment="1">
      <alignment wrapText="1"/>
    </xf>
    <xf numFmtId="0" fontId="23" fillId="0" borderId="0" xfId="0" applyFont="1" applyFill="1" applyAlignment="1">
      <alignment/>
    </xf>
    <xf numFmtId="0" fontId="24" fillId="0" borderId="0" xfId="0" applyFont="1" applyFill="1" applyAlignment="1">
      <alignment/>
    </xf>
    <xf numFmtId="22" fontId="24" fillId="0" borderId="0" xfId="0" applyNumberFormat="1" applyFont="1" applyFill="1" applyAlignment="1">
      <alignment wrapText="1"/>
    </xf>
    <xf numFmtId="0" fontId="23" fillId="0" borderId="0" xfId="0" applyFont="1" applyFill="1" applyAlignment="1">
      <alignment horizontal="center"/>
    </xf>
    <xf numFmtId="0" fontId="1" fillId="0" borderId="19" xfId="0" applyFont="1" applyFill="1" applyBorder="1" applyAlignment="1">
      <alignment horizontal="center"/>
    </xf>
    <xf numFmtId="0" fontId="1" fillId="0" borderId="0" xfId="0" applyFont="1" applyAlignment="1">
      <alignment/>
    </xf>
    <xf numFmtId="0" fontId="1" fillId="0" borderId="0" xfId="94" applyFont="1">
      <alignment/>
      <protection/>
    </xf>
    <xf numFmtId="0" fontId="1" fillId="0" borderId="19" xfId="0" applyFont="1" applyFill="1" applyBorder="1" applyAlignment="1">
      <alignment horizontal="center" wrapText="1"/>
    </xf>
    <xf numFmtId="0" fontId="1" fillId="0" borderId="0" xfId="0" applyFont="1" applyFill="1" applyAlignment="1">
      <alignment/>
    </xf>
    <xf numFmtId="0" fontId="2" fillId="0" borderId="0" xfId="0" applyFont="1" applyFill="1" applyAlignment="1">
      <alignment/>
    </xf>
    <xf numFmtId="22" fontId="2" fillId="0" borderId="0" xfId="0" applyNumberFormat="1" applyFont="1" applyFill="1" applyBorder="1" applyAlignment="1">
      <alignment wrapText="1"/>
    </xf>
    <xf numFmtId="0" fontId="1" fillId="0" borderId="0" xfId="0" applyFont="1" applyAlignment="1">
      <alignment horizontal="left" vertical="justify"/>
    </xf>
    <xf numFmtId="0" fontId="1" fillId="0" borderId="0" xfId="0" applyFont="1" applyAlignment="1">
      <alignment horizontal="right" vertical="justify"/>
    </xf>
    <xf numFmtId="0" fontId="1" fillId="0" borderId="19" xfId="0" applyFont="1" applyBorder="1" applyAlignment="1">
      <alignment vertical="distributed" wrapText="1"/>
    </xf>
    <xf numFmtId="0" fontId="1" fillId="0" borderId="19" xfId="0" applyFont="1" applyBorder="1" applyAlignment="1">
      <alignment horizontal="center" vertical="center"/>
    </xf>
    <xf numFmtId="0" fontId="1" fillId="0" borderId="19" xfId="0" applyFont="1" applyBorder="1" applyAlignment="1">
      <alignment horizontal="center" wrapText="1"/>
    </xf>
    <xf numFmtId="0" fontId="1" fillId="0" borderId="20" xfId="0" applyFont="1" applyBorder="1" applyAlignment="1">
      <alignment horizontal="center"/>
    </xf>
    <xf numFmtId="0" fontId="2" fillId="0" borderId="19" xfId="0" applyFont="1" applyBorder="1" applyAlignment="1">
      <alignment/>
    </xf>
    <xf numFmtId="164" fontId="2" fillId="0" borderId="19" xfId="0" applyNumberFormat="1" applyFont="1" applyBorder="1" applyAlignment="1">
      <alignment horizontal="right" wrapText="1"/>
    </xf>
    <xf numFmtId="164" fontId="2" fillId="0" borderId="19" xfId="0" applyNumberFormat="1" applyFont="1" applyBorder="1" applyAlignment="1">
      <alignment/>
    </xf>
    <xf numFmtId="0" fontId="1" fillId="0" borderId="19" xfId="0" applyFont="1" applyBorder="1" applyAlignment="1">
      <alignment/>
    </xf>
    <xf numFmtId="164" fontId="1" fillId="55" borderId="19" xfId="0" applyNumberFormat="1" applyFont="1" applyFill="1" applyBorder="1" applyAlignment="1">
      <alignment horizontal="right" wrapText="1"/>
    </xf>
    <xf numFmtId="164" fontId="1" fillId="0" borderId="19" xfId="0" applyNumberFormat="1" applyFont="1" applyBorder="1" applyAlignment="1">
      <alignment/>
    </xf>
    <xf numFmtId="164" fontId="1" fillId="0" borderId="19" xfId="0" applyNumberFormat="1" applyFont="1" applyBorder="1" applyAlignment="1">
      <alignment horizontal="right" wrapText="1"/>
    </xf>
    <xf numFmtId="164" fontId="1" fillId="0" borderId="19" xfId="0" applyNumberFormat="1" applyFont="1" applyFill="1" applyBorder="1" applyAlignment="1">
      <alignment horizontal="right" wrapText="1"/>
    </xf>
    <xf numFmtId="164" fontId="26" fillId="0" borderId="19" xfId="0" applyNumberFormat="1" applyFont="1" applyBorder="1" applyAlignment="1">
      <alignment/>
    </xf>
    <xf numFmtId="164" fontId="2" fillId="0" borderId="19" xfId="0" applyNumberFormat="1" applyFont="1" applyFill="1" applyBorder="1" applyAlignment="1">
      <alignment horizontal="right" wrapText="1"/>
    </xf>
    <xf numFmtId="0" fontId="1" fillId="0" borderId="0" xfId="0" applyFont="1" applyBorder="1" applyAlignment="1">
      <alignment/>
    </xf>
    <xf numFmtId="164" fontId="1" fillId="0" borderId="0" xfId="0" applyNumberFormat="1" applyFont="1" applyAlignment="1">
      <alignment/>
    </xf>
    <xf numFmtId="200" fontId="1" fillId="0" borderId="19" xfId="0" applyNumberFormat="1" applyFont="1" applyBorder="1" applyAlignment="1">
      <alignment horizontal="center"/>
    </xf>
    <xf numFmtId="0" fontId="1" fillId="0" borderId="0" xfId="79" applyFont="1">
      <alignment/>
      <protection/>
    </xf>
    <xf numFmtId="0" fontId="1" fillId="0" borderId="0" xfId="79" applyFont="1" applyBorder="1" applyAlignment="1">
      <alignment/>
      <protection/>
    </xf>
    <xf numFmtId="0" fontId="0" fillId="0" borderId="0" xfId="79">
      <alignment/>
      <protection/>
    </xf>
    <xf numFmtId="0" fontId="1" fillId="0" borderId="0" xfId="79" applyFont="1" applyBorder="1">
      <alignment/>
      <protection/>
    </xf>
    <xf numFmtId="0" fontId="28" fillId="0" borderId="0" xfId="79" applyFont="1" applyBorder="1">
      <alignment/>
      <protection/>
    </xf>
    <xf numFmtId="0" fontId="2" fillId="0" borderId="0" xfId="79" applyFont="1" applyAlignment="1">
      <alignment wrapText="1"/>
      <protection/>
    </xf>
    <xf numFmtId="0" fontId="2" fillId="0" borderId="0" xfId="79" applyFont="1" applyAlignment="1">
      <alignment/>
      <protection/>
    </xf>
    <xf numFmtId="0" fontId="2" fillId="0" borderId="0" xfId="79" applyFont="1">
      <alignment/>
      <protection/>
    </xf>
    <xf numFmtId="0" fontId="1" fillId="0" borderId="19" xfId="79" applyFont="1" applyFill="1" applyBorder="1" applyAlignment="1">
      <alignment wrapText="1"/>
      <protection/>
    </xf>
    <xf numFmtId="0" fontId="1" fillId="0" borderId="19" xfId="79" applyFont="1" applyBorder="1" applyAlignment="1">
      <alignment horizontal="center"/>
      <protection/>
    </xf>
    <xf numFmtId="0" fontId="1" fillId="0" borderId="19" xfId="79" applyFont="1" applyBorder="1" applyAlignment="1">
      <alignment horizontal="center" wrapText="1"/>
      <protection/>
    </xf>
    <xf numFmtId="200" fontId="1" fillId="0" borderId="19" xfId="79" applyNumberFormat="1" applyFont="1" applyBorder="1" applyAlignment="1">
      <alignment horizontal="right"/>
      <protection/>
    </xf>
    <xf numFmtId="0" fontId="1" fillId="0" borderId="19" xfId="79" applyFont="1" applyFill="1" applyBorder="1" applyAlignment="1">
      <alignment horizontal="left" wrapText="1"/>
      <protection/>
    </xf>
    <xf numFmtId="0" fontId="1" fillId="0" borderId="19" xfId="79" applyFont="1" applyFill="1" applyBorder="1" applyAlignment="1">
      <alignment horizontal="center" wrapText="1"/>
      <protection/>
    </xf>
    <xf numFmtId="0" fontId="1" fillId="55" borderId="19" xfId="79" applyFont="1" applyFill="1" applyBorder="1" applyAlignment="1">
      <alignment wrapText="1"/>
      <protection/>
    </xf>
    <xf numFmtId="0" fontId="1" fillId="55" borderId="19" xfId="79" applyFont="1" applyFill="1" applyBorder="1" applyAlignment="1">
      <alignment horizontal="center" wrapText="1"/>
      <protection/>
    </xf>
    <xf numFmtId="0" fontId="1" fillId="0" borderId="19" xfId="79" applyFont="1" applyBorder="1" applyAlignment="1">
      <alignment horizontal="right"/>
      <protection/>
    </xf>
    <xf numFmtId="0" fontId="1" fillId="55" borderId="19" xfId="79" applyFont="1" applyFill="1" applyBorder="1" applyAlignment="1">
      <alignment horizontal="left" wrapText="1"/>
      <protection/>
    </xf>
    <xf numFmtId="164" fontId="1" fillId="55" borderId="19" xfId="79" applyNumberFormat="1" applyFont="1" applyFill="1" applyBorder="1" applyAlignment="1">
      <alignment horizontal="left" wrapText="1"/>
      <protection/>
    </xf>
    <xf numFmtId="0" fontId="1" fillId="55" borderId="19" xfId="79" applyFont="1" applyFill="1" applyBorder="1" applyAlignment="1">
      <alignment horizontal="center" vertical="top" wrapText="1"/>
      <protection/>
    </xf>
    <xf numFmtId="0" fontId="1" fillId="55" borderId="21" xfId="79" applyFont="1" applyFill="1" applyBorder="1" applyAlignment="1">
      <alignment horizontal="center" vertical="center" wrapText="1"/>
      <protection/>
    </xf>
    <xf numFmtId="0" fontId="27" fillId="0" borderId="0" xfId="79" applyFont="1">
      <alignment/>
      <protection/>
    </xf>
    <xf numFmtId="0" fontId="2" fillId="55" borderId="19" xfId="79" applyFont="1" applyFill="1" applyBorder="1" applyAlignment="1">
      <alignment horizontal="left" wrapText="1"/>
      <protection/>
    </xf>
    <xf numFmtId="0" fontId="0" fillId="0" borderId="22" xfId="79" applyBorder="1">
      <alignment/>
      <protection/>
    </xf>
    <xf numFmtId="164" fontId="0" fillId="0" borderId="0" xfId="79" applyNumberFormat="1">
      <alignment/>
      <protection/>
    </xf>
    <xf numFmtId="0" fontId="2" fillId="0" borderId="0" xfId="79" applyFont="1" applyAlignment="1">
      <alignment horizontal="left"/>
      <protection/>
    </xf>
    <xf numFmtId="200" fontId="1" fillId="0" borderId="19" xfId="79" applyNumberFormat="1" applyFont="1" applyFill="1" applyBorder="1" applyAlignment="1">
      <alignment horizontal="center"/>
      <protection/>
    </xf>
    <xf numFmtId="164" fontId="2" fillId="0" borderId="19" xfId="79" applyNumberFormat="1" applyFont="1" applyFill="1" applyBorder="1" applyAlignment="1">
      <alignment horizontal="left" wrapText="1"/>
      <protection/>
    </xf>
    <xf numFmtId="164" fontId="1" fillId="0" borderId="19" xfId="79" applyNumberFormat="1" applyFont="1" applyFill="1" applyBorder="1">
      <alignment/>
      <protection/>
    </xf>
    <xf numFmtId="0" fontId="2" fillId="0" borderId="19" xfId="79" applyFont="1" applyFill="1" applyBorder="1" applyAlignment="1">
      <alignment horizontal="left" wrapText="1"/>
      <protection/>
    </xf>
    <xf numFmtId="0" fontId="28" fillId="0" borderId="0" xfId="79" applyFont="1" applyAlignment="1">
      <alignment horizontal="center"/>
      <protection/>
    </xf>
    <xf numFmtId="164" fontId="2" fillId="0" borderId="19" xfId="79" applyNumberFormat="1" applyFont="1" applyFill="1" applyBorder="1" applyAlignment="1">
      <alignment/>
      <protection/>
    </xf>
    <xf numFmtId="164" fontId="1" fillId="0" borderId="19" xfId="79" applyNumberFormat="1" applyFont="1" applyFill="1" applyBorder="1" applyAlignment="1">
      <alignment/>
      <protection/>
    </xf>
    <xf numFmtId="0" fontId="29" fillId="0" borderId="0" xfId="79" applyFont="1">
      <alignment/>
      <protection/>
    </xf>
    <xf numFmtId="49" fontId="1" fillId="0" borderId="19" xfId="90" applyNumberFormat="1" applyFont="1" applyBorder="1" applyAlignment="1" applyProtection="1">
      <alignment horizontal="center" wrapText="1"/>
      <protection locked="0"/>
    </xf>
    <xf numFmtId="200" fontId="1" fillId="0" borderId="19" xfId="90" applyNumberFormat="1" applyFont="1" applyBorder="1" applyAlignment="1" applyProtection="1">
      <alignment horizontal="center" vertical="center"/>
      <protection hidden="1"/>
    </xf>
    <xf numFmtId="49" fontId="2" fillId="0" borderId="19" xfId="90" applyNumberFormat="1" applyFont="1" applyBorder="1" applyAlignment="1" applyProtection="1">
      <alignment horizontal="left" wrapText="1"/>
      <protection hidden="1"/>
    </xf>
    <xf numFmtId="164" fontId="2" fillId="0" borderId="19" xfId="90" applyNumberFormat="1" applyFont="1" applyBorder="1" applyAlignment="1" applyProtection="1">
      <alignment horizontal="right" wrapText="1"/>
      <protection hidden="1"/>
    </xf>
    <xf numFmtId="164" fontId="2" fillId="0" borderId="19" xfId="79" applyNumberFormat="1" applyFont="1" applyFill="1" applyBorder="1" applyAlignment="1">
      <alignment horizontal="right"/>
      <protection/>
    </xf>
    <xf numFmtId="49" fontId="1" fillId="0" borderId="19" xfId="90" applyNumberFormat="1" applyFont="1" applyBorder="1" applyAlignment="1" applyProtection="1">
      <alignment horizontal="left" wrapText="1"/>
      <protection hidden="1"/>
    </xf>
    <xf numFmtId="164" fontId="1" fillId="0" borderId="19" xfId="79" applyNumberFormat="1" applyFont="1" applyFill="1" applyBorder="1" applyAlignment="1">
      <alignment horizontal="right"/>
      <protection/>
    </xf>
    <xf numFmtId="0" fontId="1" fillId="0" borderId="19" xfId="79" applyFont="1" applyBorder="1" applyAlignment="1">
      <alignment horizontal="left" wrapText="1"/>
      <protection/>
    </xf>
    <xf numFmtId="49" fontId="1" fillId="0" borderId="19" xfId="79" applyNumberFormat="1" applyFont="1" applyFill="1" applyBorder="1" applyAlignment="1">
      <alignment horizontal="left" wrapText="1"/>
      <protection/>
    </xf>
    <xf numFmtId="49" fontId="2" fillId="0" borderId="19" xfId="90" applyNumberFormat="1" applyFont="1" applyFill="1" applyBorder="1" applyAlignment="1" applyProtection="1">
      <alignment horizontal="left" wrapText="1"/>
      <protection hidden="1"/>
    </xf>
    <xf numFmtId="0" fontId="30" fillId="0" borderId="0" xfId="79" applyFont="1">
      <alignment/>
      <protection/>
    </xf>
    <xf numFmtId="0" fontId="30" fillId="0" borderId="0" xfId="79" applyFont="1" applyBorder="1" applyAlignment="1">
      <alignment wrapText="1"/>
      <protection/>
    </xf>
    <xf numFmtId="0" fontId="30" fillId="0" borderId="0" xfId="79" applyFont="1" applyBorder="1">
      <alignment/>
      <protection/>
    </xf>
    <xf numFmtId="0" fontId="30" fillId="0" borderId="22" xfId="79" applyFont="1" applyBorder="1" applyAlignment="1">
      <alignment wrapText="1"/>
      <protection/>
    </xf>
    <xf numFmtId="164" fontId="0" fillId="0" borderId="22" xfId="79" applyNumberFormat="1" applyBorder="1">
      <alignment/>
      <protection/>
    </xf>
    <xf numFmtId="164" fontId="0" fillId="0" borderId="0" xfId="79" applyNumberFormat="1" applyBorder="1">
      <alignment/>
      <protection/>
    </xf>
    <xf numFmtId="164" fontId="2" fillId="0" borderId="19" xfId="79" applyNumberFormat="1" applyFont="1" applyBorder="1" applyAlignment="1">
      <alignment horizontal="right"/>
      <protection/>
    </xf>
    <xf numFmtId="164" fontId="1" fillId="0" borderId="19" xfId="79" applyNumberFormat="1" applyFont="1" applyBorder="1" applyAlignment="1">
      <alignment horizontal="right"/>
      <protection/>
    </xf>
    <xf numFmtId="164" fontId="2" fillId="0" borderId="19" xfId="79" applyNumberFormat="1" applyFont="1" applyFill="1" applyBorder="1" applyAlignment="1">
      <alignment horizontal="right" wrapText="1"/>
      <protection/>
    </xf>
    <xf numFmtId="0" fontId="1" fillId="0" borderId="0" xfId="95" applyFont="1">
      <alignment/>
      <protection/>
    </xf>
    <xf numFmtId="0" fontId="1" fillId="0" borderId="0" xfId="88" applyFont="1">
      <alignment/>
      <protection/>
    </xf>
    <xf numFmtId="0" fontId="1" fillId="0" borderId="0" xfId="88" applyFont="1" applyAlignment="1">
      <alignment horizontal="right"/>
      <protection/>
    </xf>
    <xf numFmtId="0" fontId="2" fillId="0" borderId="0" xfId="95" applyFont="1">
      <alignment/>
      <protection/>
    </xf>
    <xf numFmtId="0" fontId="1" fillId="0" borderId="0" xfId="95" applyFont="1" applyAlignment="1">
      <alignment horizontal="right"/>
      <protection/>
    </xf>
    <xf numFmtId="0" fontId="1" fillId="0" borderId="0" xfId="95" applyFont="1" applyAlignment="1">
      <alignment horizontal="center"/>
      <protection/>
    </xf>
    <xf numFmtId="0" fontId="1" fillId="0" borderId="19" xfId="95" applyFont="1" applyBorder="1" applyAlignment="1">
      <alignment horizontal="center" vertical="center" wrapText="1"/>
      <protection/>
    </xf>
    <xf numFmtId="0" fontId="1" fillId="0" borderId="19" xfId="95" applyFont="1" applyBorder="1" applyAlignment="1">
      <alignment horizontal="center" vertical="center"/>
      <protection/>
    </xf>
    <xf numFmtId="0" fontId="1" fillId="0" borderId="19" xfId="95" applyFont="1" applyBorder="1" applyAlignment="1">
      <alignment horizontal="center"/>
      <protection/>
    </xf>
    <xf numFmtId="200" fontId="1" fillId="0" borderId="19" xfId="95" applyNumberFormat="1" applyFont="1" applyBorder="1" applyAlignment="1">
      <alignment horizontal="center" vertical="center" wrapText="1"/>
      <protection/>
    </xf>
    <xf numFmtId="0" fontId="2" fillId="0" borderId="19" xfId="95" applyFont="1" applyBorder="1" applyAlignment="1">
      <alignment horizontal="left" vertical="center" wrapText="1"/>
      <protection/>
    </xf>
    <xf numFmtId="2" fontId="2" fillId="0" borderId="19" xfId="95" applyNumberFormat="1" applyFont="1" applyBorder="1" applyAlignment="1">
      <alignment/>
      <protection/>
    </xf>
    <xf numFmtId="0" fontId="1" fillId="0" borderId="0" xfId="95" applyFont="1" applyAlignment="1">
      <alignment wrapText="1"/>
      <protection/>
    </xf>
    <xf numFmtId="0" fontId="1" fillId="0" borderId="19" xfId="95" applyFont="1" applyBorder="1" applyAlignment="1">
      <alignment horizontal="left" vertical="center" wrapText="1"/>
      <protection/>
    </xf>
    <xf numFmtId="2" fontId="1" fillId="0" borderId="19" xfId="95" applyNumberFormat="1" applyFont="1" applyBorder="1" applyAlignment="1">
      <alignment/>
      <protection/>
    </xf>
    <xf numFmtId="0" fontId="1" fillId="0" borderId="19" xfId="95" applyFont="1" applyBorder="1" applyAlignment="1">
      <alignment vertical="center" wrapText="1"/>
      <protection/>
    </xf>
    <xf numFmtId="0" fontId="1" fillId="0" borderId="0" xfId="79" applyFont="1" applyAlignment="1">
      <alignment horizontal="left"/>
      <protection/>
    </xf>
    <xf numFmtId="2" fontId="1" fillId="0" borderId="0" xfId="95" applyNumberFormat="1" applyFont="1" applyAlignment="1">
      <alignment wrapText="1"/>
      <protection/>
    </xf>
    <xf numFmtId="2" fontId="1" fillId="0" borderId="19" xfId="79" applyNumberFormat="1" applyFont="1" applyBorder="1" applyAlignment="1">
      <alignment/>
      <protection/>
    </xf>
    <xf numFmtId="0" fontId="2" fillId="0" borderId="19" xfId="79" applyFont="1" applyFill="1" applyBorder="1" applyAlignment="1">
      <alignment horizontal="justify" wrapText="1"/>
      <protection/>
    </xf>
    <xf numFmtId="2" fontId="2" fillId="0" borderId="19" xfId="79" applyNumberFormat="1" applyFont="1" applyBorder="1">
      <alignment/>
      <protection/>
    </xf>
    <xf numFmtId="2" fontId="2" fillId="0" borderId="19" xfId="79" applyNumberFormat="1" applyFont="1" applyBorder="1" applyAlignment="1">
      <alignment/>
      <protection/>
    </xf>
    <xf numFmtId="0" fontId="28" fillId="0" borderId="0" xfId="79" applyFont="1">
      <alignment/>
      <protection/>
    </xf>
    <xf numFmtId="0" fontId="28" fillId="0" borderId="0" xfId="79" applyFont="1" applyAlignment="1">
      <alignment horizontal="right"/>
      <protection/>
    </xf>
    <xf numFmtId="2" fontId="28" fillId="0" borderId="0" xfId="79" applyNumberFormat="1" applyFont="1" applyAlignment="1">
      <alignment horizontal="right"/>
      <protection/>
    </xf>
    <xf numFmtId="2" fontId="3" fillId="0" borderId="0" xfId="79" applyNumberFormat="1" applyFont="1" applyAlignment="1">
      <alignment horizontal="right"/>
      <protection/>
    </xf>
    <xf numFmtId="164" fontId="1" fillId="56" borderId="19" xfId="0" applyNumberFormat="1" applyFont="1" applyFill="1" applyBorder="1" applyAlignment="1">
      <alignment/>
    </xf>
    <xf numFmtId="0" fontId="1" fillId="56" borderId="19" xfId="0" applyFont="1" applyFill="1" applyBorder="1" applyAlignment="1">
      <alignment wrapText="1"/>
    </xf>
    <xf numFmtId="164" fontId="23" fillId="0" borderId="0" xfId="0" applyNumberFormat="1" applyFont="1" applyFill="1" applyAlignment="1">
      <alignment/>
    </xf>
    <xf numFmtId="164" fontId="2" fillId="0" borderId="19" xfId="79" applyNumberFormat="1" applyFont="1" applyBorder="1">
      <alignment/>
      <protection/>
    </xf>
    <xf numFmtId="164" fontId="1" fillId="0" borderId="19" xfId="79" applyNumberFormat="1" applyFont="1" applyBorder="1">
      <alignment/>
      <protection/>
    </xf>
    <xf numFmtId="164" fontId="1" fillId="56" borderId="19" xfId="79" applyNumberFormat="1" applyFont="1" applyFill="1" applyBorder="1">
      <alignment/>
      <protection/>
    </xf>
    <xf numFmtId="164" fontId="1" fillId="56" borderId="19" xfId="79" applyNumberFormat="1" applyFont="1" applyFill="1" applyBorder="1" applyAlignment="1">
      <alignment/>
      <protection/>
    </xf>
    <xf numFmtId="164" fontId="2" fillId="56" borderId="19" xfId="79" applyNumberFormat="1" applyFont="1" applyFill="1" applyBorder="1">
      <alignment/>
      <protection/>
    </xf>
    <xf numFmtId="200" fontId="1" fillId="56" borderId="19" xfId="0" applyNumberFormat="1" applyFont="1" applyFill="1" applyBorder="1" applyAlignment="1">
      <alignment horizontal="center"/>
    </xf>
    <xf numFmtId="0" fontId="2" fillId="56" borderId="19" xfId="0" applyFont="1" applyFill="1" applyBorder="1" applyAlignment="1">
      <alignment horizontal="left" wrapText="1"/>
    </xf>
    <xf numFmtId="164" fontId="2" fillId="56" borderId="19" xfId="0" applyNumberFormat="1" applyFont="1" applyFill="1" applyBorder="1" applyAlignment="1">
      <alignment/>
    </xf>
    <xf numFmtId="0" fontId="1" fillId="56" borderId="19" xfId="0" applyFont="1" applyFill="1" applyBorder="1" applyAlignment="1">
      <alignment horizontal="center" wrapText="1"/>
    </xf>
    <xf numFmtId="0" fontId="1" fillId="56" borderId="19" xfId="0" applyFont="1" applyFill="1" applyBorder="1" applyAlignment="1">
      <alignment horizontal="left" wrapText="1"/>
    </xf>
    <xf numFmtId="164" fontId="2" fillId="56" borderId="19" xfId="0" applyNumberFormat="1" applyFont="1" applyFill="1" applyBorder="1" applyAlignment="1">
      <alignment horizontal="left" wrapText="1"/>
    </xf>
    <xf numFmtId="0" fontId="2" fillId="56" borderId="19" xfId="0" applyFont="1" applyFill="1" applyBorder="1" applyAlignment="1">
      <alignment horizontal="left" vertical="top" wrapText="1"/>
    </xf>
    <xf numFmtId="0" fontId="1" fillId="56" borderId="19" xfId="0" applyFont="1" applyFill="1" applyBorder="1" applyAlignment="1">
      <alignment horizontal="center" vertical="top" wrapText="1"/>
    </xf>
    <xf numFmtId="0" fontId="2" fillId="56" borderId="19" xfId="0" applyFont="1" applyFill="1" applyBorder="1" applyAlignment="1">
      <alignment wrapText="1"/>
    </xf>
    <xf numFmtId="0" fontId="2" fillId="56" borderId="19" xfId="0" applyFont="1" applyFill="1" applyBorder="1" applyAlignment="1">
      <alignment vertical="top" wrapText="1"/>
    </xf>
    <xf numFmtId="164" fontId="25" fillId="56" borderId="19" xfId="0" applyNumberFormat="1" applyFont="1" applyFill="1" applyBorder="1" applyAlignment="1">
      <alignment horizontal="left" wrapText="1"/>
    </xf>
    <xf numFmtId="164" fontId="26" fillId="56" borderId="19" xfId="0" applyNumberFormat="1" applyFont="1" applyFill="1" applyBorder="1" applyAlignment="1">
      <alignment horizontal="left" wrapText="1"/>
    </xf>
    <xf numFmtId="164" fontId="2" fillId="0" borderId="19" xfId="90" applyNumberFormat="1" applyFont="1" applyBorder="1" applyAlignment="1" applyProtection="1">
      <alignment wrapText="1"/>
      <protection hidden="1"/>
    </xf>
    <xf numFmtId="164" fontId="1" fillId="0" borderId="19" xfId="90" applyNumberFormat="1" applyFont="1" applyBorder="1" applyAlignment="1" applyProtection="1">
      <alignment wrapText="1"/>
      <protection hidden="1"/>
    </xf>
    <xf numFmtId="0" fontId="1" fillId="0" borderId="19" xfId="79" applyFont="1" applyBorder="1">
      <alignment/>
      <protection/>
    </xf>
    <xf numFmtId="0" fontId="23" fillId="0" borderId="22" xfId="0" applyFont="1" applyFill="1" applyBorder="1" applyAlignment="1">
      <alignment/>
    </xf>
    <xf numFmtId="164" fontId="30" fillId="0" borderId="19" xfId="89" applyNumberFormat="1" applyFont="1" applyBorder="1" applyAlignment="1" applyProtection="1">
      <alignment horizontal="center" vertical="center" wrapText="1"/>
      <protection hidden="1"/>
    </xf>
    <xf numFmtId="0" fontId="30" fillId="0" borderId="19" xfId="0" applyFont="1" applyBorder="1" applyAlignment="1">
      <alignment horizontal="center" vertical="center" wrapText="1"/>
    </xf>
    <xf numFmtId="0" fontId="28" fillId="0" borderId="23" xfId="79" applyFont="1" applyBorder="1">
      <alignment/>
      <protection/>
    </xf>
    <xf numFmtId="0" fontId="1" fillId="0" borderId="0" xfId="0" applyFont="1" applyAlignment="1">
      <alignment horizontal="left"/>
    </xf>
    <xf numFmtId="0" fontId="2" fillId="0" borderId="0" xfId="0" applyFont="1" applyAlignment="1">
      <alignment horizontal="center"/>
    </xf>
    <xf numFmtId="0" fontId="1" fillId="0" borderId="19" xfId="0" applyFont="1" applyFill="1" applyBorder="1" applyAlignment="1">
      <alignment horizontal="center" wrapText="1"/>
    </xf>
    <xf numFmtId="0" fontId="1" fillId="0" borderId="19" xfId="0" applyFont="1" applyFill="1" applyBorder="1" applyAlignment="1">
      <alignment horizontal="left" wrapText="1"/>
    </xf>
    <xf numFmtId="0" fontId="1" fillId="0" borderId="19" xfId="0" applyFont="1" applyFill="1" applyBorder="1" applyAlignment="1">
      <alignment horizontal="center"/>
    </xf>
    <xf numFmtId="0" fontId="2" fillId="0" borderId="0" xfId="79" applyFont="1" applyAlignment="1">
      <alignment horizontal="center" wrapText="1"/>
      <protection/>
    </xf>
    <xf numFmtId="0" fontId="1" fillId="0" borderId="24" xfId="79" applyFont="1" applyFill="1" applyBorder="1" applyAlignment="1">
      <alignment horizontal="center" vertical="center" wrapText="1"/>
      <protection/>
    </xf>
    <xf numFmtId="0" fontId="1" fillId="0" borderId="25" xfId="79" applyFont="1" applyFill="1" applyBorder="1" applyAlignment="1">
      <alignment horizontal="center" vertical="center" wrapText="1"/>
      <protection/>
    </xf>
    <xf numFmtId="0" fontId="1" fillId="0" borderId="21" xfId="79" applyFont="1" applyFill="1" applyBorder="1" applyAlignment="1">
      <alignment horizontal="center" vertical="center" wrapText="1"/>
      <protection/>
    </xf>
    <xf numFmtId="0" fontId="1" fillId="0" borderId="19" xfId="79" applyFont="1" applyBorder="1" applyAlignment="1">
      <alignment horizontal="right"/>
      <protection/>
    </xf>
    <xf numFmtId="0" fontId="1" fillId="55" borderId="19" xfId="79" applyFont="1" applyFill="1" applyBorder="1" applyAlignment="1">
      <alignment horizontal="center" vertical="center" wrapText="1"/>
      <protection/>
    </xf>
    <xf numFmtId="0" fontId="1" fillId="55" borderId="24" xfId="79" applyFont="1" applyFill="1" applyBorder="1" applyAlignment="1">
      <alignment horizontal="center" vertical="center" wrapText="1"/>
      <protection/>
    </xf>
    <xf numFmtId="0" fontId="1" fillId="55" borderId="25" xfId="79" applyFont="1" applyFill="1" applyBorder="1" applyAlignment="1">
      <alignment horizontal="center" vertical="center" wrapText="1"/>
      <protection/>
    </xf>
    <xf numFmtId="0" fontId="1" fillId="55" borderId="21" xfId="79" applyFont="1" applyFill="1" applyBorder="1" applyAlignment="1">
      <alignment horizontal="center" vertical="center" wrapText="1"/>
      <protection/>
    </xf>
    <xf numFmtId="0" fontId="1" fillId="0" borderId="24" xfId="79" applyFont="1" applyBorder="1" applyAlignment="1">
      <alignment horizontal="center" wrapText="1"/>
      <protection/>
    </xf>
    <xf numFmtId="0" fontId="1" fillId="0" borderId="25" xfId="79" applyFont="1" applyBorder="1" applyAlignment="1">
      <alignment horizontal="center" wrapText="1"/>
      <protection/>
    </xf>
    <xf numFmtId="0" fontId="1" fillId="0" borderId="21" xfId="79" applyFont="1" applyBorder="1" applyAlignment="1">
      <alignment horizontal="center" wrapText="1"/>
      <protection/>
    </xf>
    <xf numFmtId="0" fontId="1" fillId="0" borderId="24" xfId="79" applyFont="1" applyFill="1" applyBorder="1" applyAlignment="1">
      <alignment horizontal="center" wrapText="1"/>
      <protection/>
    </xf>
    <xf numFmtId="0" fontId="1" fillId="0" borderId="25" xfId="79" applyFont="1" applyFill="1" applyBorder="1" applyAlignment="1">
      <alignment horizontal="center" wrapText="1"/>
      <protection/>
    </xf>
    <xf numFmtId="0" fontId="1" fillId="0" borderId="21" xfId="79" applyFont="1" applyFill="1" applyBorder="1" applyAlignment="1">
      <alignment horizontal="center" wrapText="1"/>
      <protection/>
    </xf>
    <xf numFmtId="0" fontId="1" fillId="0" borderId="19" xfId="79" applyFont="1" applyBorder="1" applyAlignment="1">
      <alignment horizontal="center" wrapText="1"/>
      <protection/>
    </xf>
    <xf numFmtId="0" fontId="0" fillId="0" borderId="19" xfId="79" applyBorder="1" applyAlignment="1">
      <alignment horizontal="center"/>
      <protection/>
    </xf>
    <xf numFmtId="164" fontId="1" fillId="0" borderId="19" xfId="90" applyNumberFormat="1" applyFont="1" applyFill="1" applyBorder="1" applyAlignment="1" applyProtection="1">
      <alignment horizontal="center" vertical="justify" wrapText="1"/>
      <protection hidden="1"/>
    </xf>
    <xf numFmtId="164" fontId="1" fillId="0" borderId="19" xfId="90" applyNumberFormat="1" applyFont="1" applyFill="1" applyBorder="1" applyAlignment="1" applyProtection="1">
      <alignment horizontal="center" vertical="center" wrapText="1"/>
      <protection hidden="1"/>
    </xf>
    <xf numFmtId="0" fontId="1" fillId="0" borderId="19" xfId="79" applyFont="1" applyBorder="1" applyAlignment="1">
      <alignment horizontal="center" vertical="center" wrapText="1"/>
      <protection/>
    </xf>
    <xf numFmtId="49" fontId="1" fillId="0" borderId="19" xfId="90" applyNumberFormat="1" applyFont="1" applyBorder="1" applyAlignment="1" applyProtection="1">
      <alignment horizontal="center" vertical="center" wrapText="1"/>
      <protection hidden="1"/>
    </xf>
    <xf numFmtId="0" fontId="2" fillId="0" borderId="0" xfId="88" applyFont="1" applyAlignment="1">
      <alignment horizontal="center" wrapText="1"/>
      <protection/>
    </xf>
  </cellXfs>
  <cellStyles count="100">
    <cellStyle name="Normal" xfId="0"/>
    <cellStyle name="1 antraštė" xfId="15"/>
    <cellStyle name="2 antraštė" xfId="16"/>
    <cellStyle name="20% - Accent1" xfId="17"/>
    <cellStyle name="20% - Accent2" xfId="18"/>
    <cellStyle name="20% - Accent3" xfId="19"/>
    <cellStyle name="20% - Accent4" xfId="20"/>
    <cellStyle name="20% - Accent5" xfId="21"/>
    <cellStyle name="20% - Accent6" xfId="22"/>
    <cellStyle name="20% – paryškinimas 1" xfId="23"/>
    <cellStyle name="20% – paryškinimas 2" xfId="24"/>
    <cellStyle name="20% – paryškinimas 3" xfId="25"/>
    <cellStyle name="20% – paryškinimas 4" xfId="26"/>
    <cellStyle name="20% – paryškinimas 5" xfId="27"/>
    <cellStyle name="20% – paryškinimas 6" xfId="28"/>
    <cellStyle name="3 antraštė" xfId="29"/>
    <cellStyle name="4 antraštė" xfId="30"/>
    <cellStyle name="40% - Accent1" xfId="31"/>
    <cellStyle name="40% - Accent2" xfId="32"/>
    <cellStyle name="40% - Accent3" xfId="33"/>
    <cellStyle name="40% - Accent4" xfId="34"/>
    <cellStyle name="40% - Accent5" xfId="35"/>
    <cellStyle name="40% - Accent6" xfId="36"/>
    <cellStyle name="40% – paryškinimas 1" xfId="37"/>
    <cellStyle name="40% – paryškinimas 2" xfId="38"/>
    <cellStyle name="40% – paryškinimas 3" xfId="39"/>
    <cellStyle name="40% – paryškinimas 4" xfId="40"/>
    <cellStyle name="40% – paryškinimas 5" xfId="41"/>
    <cellStyle name="40% – paryškinimas 6" xfId="42"/>
    <cellStyle name="60% - Accent1" xfId="43"/>
    <cellStyle name="60% - Accent2" xfId="44"/>
    <cellStyle name="60% - Accent3" xfId="45"/>
    <cellStyle name="60% - Accent4" xfId="46"/>
    <cellStyle name="60% - Accent5" xfId="47"/>
    <cellStyle name="60% - Accent6" xfId="48"/>
    <cellStyle name="60% – paryškinimas 1" xfId="49"/>
    <cellStyle name="60% – paryškinimas 2" xfId="50"/>
    <cellStyle name="60% – paryškinimas 3" xfId="51"/>
    <cellStyle name="60% – paryškinimas 4" xfId="52"/>
    <cellStyle name="60% – paryškinimas 5" xfId="53"/>
    <cellStyle name="60% – paryškinimas 6" xfId="54"/>
    <cellStyle name="Accent1" xfId="55"/>
    <cellStyle name="Accent2" xfId="56"/>
    <cellStyle name="Accent3" xfId="57"/>
    <cellStyle name="Accent4" xfId="58"/>
    <cellStyle name="Accent5" xfId="59"/>
    <cellStyle name="Accent6" xfId="60"/>
    <cellStyle name="Aiškinamasis tekstas" xfId="61"/>
    <cellStyle name="Followed Hyperlink" xfId="62"/>
    <cellStyle name="Bad" xfId="63"/>
    <cellStyle name="Blogas" xfId="64"/>
    <cellStyle name="Calculation" xfId="65"/>
    <cellStyle name="Check Cell" xfId="66"/>
    <cellStyle name="Explanatory Text" xfId="67"/>
    <cellStyle name="Followed Hyperlink" xfId="68"/>
    <cellStyle name="Geras" xfId="69"/>
    <cellStyle name="Good" xfId="70"/>
    <cellStyle name="Heading 1" xfId="71"/>
    <cellStyle name="Heading 2" xfId="72"/>
    <cellStyle name="Heading 3" xfId="73"/>
    <cellStyle name="Heading 4" xfId="74"/>
    <cellStyle name="Hyperlink" xfId="75"/>
    <cellStyle name="Hyperlink" xfId="76"/>
    <cellStyle name="Input" xfId="77"/>
    <cellStyle name="Išvestis" xfId="78"/>
    <cellStyle name="Įprastas 2" xfId="79"/>
    <cellStyle name="Įspėjimo tekstas" xfId="80"/>
    <cellStyle name="Įvestis" xfId="81"/>
    <cellStyle name="Comma" xfId="82"/>
    <cellStyle name="Comma [0]" xfId="83"/>
    <cellStyle name="Linked Cell" xfId="84"/>
    <cellStyle name="Neutral" xfId="85"/>
    <cellStyle name="Neutralus" xfId="86"/>
    <cellStyle name="Normal_1 priedas" xfId="87"/>
    <cellStyle name="Normal_adm_dir_rezervas_2005 2" xfId="88"/>
    <cellStyle name="Normal_SAVAPYSsssss" xfId="89"/>
    <cellStyle name="Normal_SAVAPYSsssss 2" xfId="90"/>
    <cellStyle name="Note" xfId="91"/>
    <cellStyle name="Note 2" xfId="92"/>
    <cellStyle name="Output" xfId="93"/>
    <cellStyle name="Paprastas_2006 metu ivykd lentel" xfId="94"/>
    <cellStyle name="Paprastas_Dir.rez. atask.2008m" xfId="95"/>
    <cellStyle name="Paryškinimas 1" xfId="96"/>
    <cellStyle name="Paryškinimas 2" xfId="97"/>
    <cellStyle name="Paryškinimas 3" xfId="98"/>
    <cellStyle name="Paryškinimas 4" xfId="99"/>
    <cellStyle name="Paryškinimas 5" xfId="100"/>
    <cellStyle name="Paryškinimas 6" xfId="101"/>
    <cellStyle name="Pastaba" xfId="102"/>
    <cellStyle name="Pavadinimas" xfId="103"/>
    <cellStyle name="Percent" xfId="104"/>
    <cellStyle name="Skaičiavimas" xfId="105"/>
    <cellStyle name="Suma" xfId="106"/>
    <cellStyle name="Susietas langelis" xfId="107"/>
    <cellStyle name="Tikrinimo langelis" xfId="108"/>
    <cellStyle name="Title" xfId="109"/>
    <cellStyle name="Total" xfId="110"/>
    <cellStyle name="Currency" xfId="111"/>
    <cellStyle name="Currency [0]" xfId="112"/>
    <cellStyle name="Warning Text"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54"/>
  <sheetViews>
    <sheetView showZeros="0" tabSelected="1" zoomScalePageLayoutView="0" workbookViewId="0" topLeftCell="A28">
      <selection activeCell="C52" sqref="C52"/>
    </sheetView>
  </sheetViews>
  <sheetFormatPr defaultColWidth="9.140625" defaultRowHeight="12.75"/>
  <cols>
    <col min="1" max="1" width="6.8515625" style="1" customWidth="1"/>
    <col min="2" max="2" width="70.00390625" style="1" customWidth="1"/>
    <col min="3" max="3" width="17.00390625" style="1" customWidth="1"/>
    <col min="4" max="4" width="16.00390625" style="1" customWidth="1"/>
    <col min="5" max="5" width="17.57421875" style="1" customWidth="1"/>
    <col min="6" max="6" width="13.140625" style="1" customWidth="1"/>
    <col min="7" max="16384" width="9.140625" style="1" customWidth="1"/>
  </cols>
  <sheetData>
    <row r="1" spans="2:3" ht="15.75">
      <c r="B1" s="23"/>
      <c r="C1" s="24"/>
    </row>
    <row r="2" spans="2:6" ht="15.75">
      <c r="B2" s="23"/>
      <c r="C2" s="24"/>
      <c r="D2" s="148" t="s">
        <v>58</v>
      </c>
      <c r="E2" s="148"/>
      <c r="F2" s="148"/>
    </row>
    <row r="3" spans="2:4" ht="15.75">
      <c r="B3" s="23"/>
      <c r="C3" s="24"/>
      <c r="D3" s="18" t="s">
        <v>194</v>
      </c>
    </row>
    <row r="4" spans="2:4" ht="15.75">
      <c r="B4" s="23"/>
      <c r="C4" s="24"/>
      <c r="D4" s="1" t="s">
        <v>76</v>
      </c>
    </row>
    <row r="5" spans="2:3" ht="15.75">
      <c r="B5" s="23"/>
      <c r="C5" s="24"/>
    </row>
    <row r="6" ht="15.75" customHeight="1"/>
    <row r="7" spans="1:6" ht="15.75">
      <c r="A7" s="149" t="s">
        <v>195</v>
      </c>
      <c r="B7" s="149"/>
      <c r="C7" s="149"/>
      <c r="D7" s="149"/>
      <c r="E7" s="149"/>
      <c r="F7" s="149"/>
    </row>
    <row r="8" spans="1:3" ht="18" customHeight="1">
      <c r="A8" s="17"/>
      <c r="B8" s="4"/>
      <c r="C8" s="17"/>
    </row>
    <row r="9" spans="2:6" ht="16.5" customHeight="1">
      <c r="B9" s="2" t="s">
        <v>9</v>
      </c>
      <c r="C9" s="2"/>
      <c r="F9" s="1" t="s">
        <v>10</v>
      </c>
    </row>
    <row r="10" spans="1:6" ht="42" customHeight="1">
      <c r="A10" s="25" t="s">
        <v>84</v>
      </c>
      <c r="B10" s="26" t="s">
        <v>11</v>
      </c>
      <c r="C10" s="27" t="s">
        <v>81</v>
      </c>
      <c r="D10" s="27" t="s">
        <v>85</v>
      </c>
      <c r="E10" s="5" t="s">
        <v>86</v>
      </c>
      <c r="F10" s="27" t="s">
        <v>83</v>
      </c>
    </row>
    <row r="11" spans="1:6" ht="15.75" customHeight="1">
      <c r="A11" s="3">
        <v>1</v>
      </c>
      <c r="B11" s="28">
        <v>2</v>
      </c>
      <c r="C11" s="3">
        <v>3</v>
      </c>
      <c r="D11" s="3">
        <v>4</v>
      </c>
      <c r="E11" s="3">
        <v>5</v>
      </c>
      <c r="F11" s="3">
        <v>6</v>
      </c>
    </row>
    <row r="12" spans="1:6" ht="15" customHeight="1">
      <c r="A12" s="41">
        <v>1</v>
      </c>
      <c r="B12" s="6" t="s">
        <v>9</v>
      </c>
      <c r="C12" s="30">
        <f>C13+C21+C30</f>
        <v>381565.6</v>
      </c>
      <c r="D12" s="30">
        <f>D13+D21+D30</f>
        <v>376321.9</v>
      </c>
      <c r="E12" s="31">
        <f aca="true" t="shared" si="0" ref="E12:E51">D12-C12</f>
        <v>-5243.7</v>
      </c>
      <c r="F12" s="7">
        <f aca="true" t="shared" si="1" ref="F12:F25">(D12/C12)*100</f>
        <v>98.6</v>
      </c>
    </row>
    <row r="13" spans="1:6" ht="15" customHeight="1">
      <c r="A13" s="41">
        <v>2</v>
      </c>
      <c r="B13" s="6" t="s">
        <v>12</v>
      </c>
      <c r="C13" s="30">
        <f>SUM(C14:C20)</f>
        <v>183758.8</v>
      </c>
      <c r="D13" s="30">
        <f>SUM(D14:D20)</f>
        <v>181255.4</v>
      </c>
      <c r="E13" s="31">
        <f t="shared" si="0"/>
        <v>-2503.4</v>
      </c>
      <c r="F13" s="7">
        <f t="shared" si="1"/>
        <v>98.6</v>
      </c>
    </row>
    <row r="14" spans="1:6" ht="15" customHeight="1">
      <c r="A14" s="41">
        <v>3</v>
      </c>
      <c r="B14" s="8" t="s">
        <v>196</v>
      </c>
      <c r="C14" s="33">
        <v>135187</v>
      </c>
      <c r="D14" s="34">
        <v>133802.2</v>
      </c>
      <c r="E14" s="34">
        <f t="shared" si="0"/>
        <v>-1384.8</v>
      </c>
      <c r="F14" s="11">
        <f t="shared" si="1"/>
        <v>99</v>
      </c>
    </row>
    <row r="15" spans="1:6" ht="15" customHeight="1">
      <c r="A15" s="41">
        <v>4</v>
      </c>
      <c r="B15" s="8" t="s">
        <v>13</v>
      </c>
      <c r="C15" s="33">
        <v>1010</v>
      </c>
      <c r="D15" s="34">
        <v>1458.8</v>
      </c>
      <c r="E15" s="34">
        <f t="shared" si="0"/>
        <v>448.8</v>
      </c>
      <c r="F15" s="11">
        <f t="shared" si="1"/>
        <v>144.4</v>
      </c>
    </row>
    <row r="16" spans="1:6" ht="15" customHeight="1">
      <c r="A16" s="41">
        <v>5</v>
      </c>
      <c r="B16" s="8" t="s">
        <v>14</v>
      </c>
      <c r="C16" s="33">
        <v>260</v>
      </c>
      <c r="D16" s="34">
        <v>205.7</v>
      </c>
      <c r="E16" s="34">
        <f t="shared" si="0"/>
        <v>-54.3</v>
      </c>
      <c r="F16" s="11">
        <f t="shared" si="1"/>
        <v>79.1</v>
      </c>
    </row>
    <row r="17" spans="1:6" ht="15" customHeight="1">
      <c r="A17" s="41">
        <v>6</v>
      </c>
      <c r="B17" s="8" t="s">
        <v>15</v>
      </c>
      <c r="C17" s="33">
        <v>25800</v>
      </c>
      <c r="D17" s="34">
        <v>23743.2</v>
      </c>
      <c r="E17" s="34">
        <f t="shared" si="0"/>
        <v>-2056.8</v>
      </c>
      <c r="F17" s="11">
        <f t="shared" si="1"/>
        <v>92</v>
      </c>
    </row>
    <row r="18" spans="1:6" ht="15" customHeight="1">
      <c r="A18" s="41">
        <v>7</v>
      </c>
      <c r="B18" s="8" t="s">
        <v>197</v>
      </c>
      <c r="C18" s="33">
        <v>1472</v>
      </c>
      <c r="D18" s="34">
        <v>1448.7</v>
      </c>
      <c r="E18" s="34">
        <f t="shared" si="0"/>
        <v>-23.3</v>
      </c>
      <c r="F18" s="11">
        <f t="shared" si="1"/>
        <v>98.4</v>
      </c>
    </row>
    <row r="19" spans="1:6" ht="15" customHeight="1">
      <c r="A19" s="41">
        <v>8</v>
      </c>
      <c r="B19" s="8" t="s">
        <v>16</v>
      </c>
      <c r="C19" s="33">
        <v>473.3</v>
      </c>
      <c r="D19" s="34">
        <v>467.2</v>
      </c>
      <c r="E19" s="34">
        <f t="shared" si="0"/>
        <v>-6.1</v>
      </c>
      <c r="F19" s="11">
        <f t="shared" si="1"/>
        <v>98.7</v>
      </c>
    </row>
    <row r="20" spans="1:6" ht="15" customHeight="1">
      <c r="A20" s="41">
        <v>9</v>
      </c>
      <c r="B20" s="8" t="s">
        <v>17</v>
      </c>
      <c r="C20" s="33">
        <v>19556.5</v>
      </c>
      <c r="D20" s="34">
        <v>20129.6</v>
      </c>
      <c r="E20" s="34">
        <f t="shared" si="0"/>
        <v>573.1</v>
      </c>
      <c r="F20" s="11">
        <f t="shared" si="1"/>
        <v>102.9</v>
      </c>
    </row>
    <row r="21" spans="1:6" ht="15" customHeight="1">
      <c r="A21" s="41">
        <v>10</v>
      </c>
      <c r="B21" s="6" t="s">
        <v>18</v>
      </c>
      <c r="C21" s="30">
        <f>+C25+C22</f>
        <v>159392.4</v>
      </c>
      <c r="D21" s="30">
        <f>+D25+D22</f>
        <v>157231.6</v>
      </c>
      <c r="E21" s="30">
        <f>+E25+E22</f>
        <v>-2160.8</v>
      </c>
      <c r="F21" s="7">
        <f t="shared" si="1"/>
        <v>98.6</v>
      </c>
    </row>
    <row r="22" spans="1:6" ht="15" customHeight="1">
      <c r="A22" s="41">
        <v>11</v>
      </c>
      <c r="B22" s="9" t="s">
        <v>19</v>
      </c>
      <c r="C22" s="30">
        <f>SUM(C23:C24)</f>
        <v>250</v>
      </c>
      <c r="D22" s="30">
        <f>SUM(D23:D24)</f>
        <v>478.7</v>
      </c>
      <c r="E22" s="31">
        <f t="shared" si="0"/>
        <v>228.7</v>
      </c>
      <c r="F22" s="7">
        <f t="shared" si="1"/>
        <v>191.5</v>
      </c>
    </row>
    <row r="23" spans="1:6" ht="15" customHeight="1">
      <c r="A23" s="41">
        <v>12</v>
      </c>
      <c r="B23" s="10" t="s">
        <v>20</v>
      </c>
      <c r="C23" s="35">
        <v>250</v>
      </c>
      <c r="D23" s="34">
        <v>318.1</v>
      </c>
      <c r="E23" s="34">
        <f t="shared" si="0"/>
        <v>68.1</v>
      </c>
      <c r="F23" s="11">
        <f t="shared" si="1"/>
        <v>127.2</v>
      </c>
    </row>
    <row r="24" spans="1:6" ht="15" customHeight="1">
      <c r="A24" s="41">
        <v>13</v>
      </c>
      <c r="B24" s="10" t="s">
        <v>21</v>
      </c>
      <c r="C24" s="35">
        <v>0</v>
      </c>
      <c r="D24" s="34">
        <v>160.6</v>
      </c>
      <c r="E24" s="34">
        <f t="shared" si="0"/>
        <v>160.6</v>
      </c>
      <c r="F24" s="11"/>
    </row>
    <row r="25" spans="1:6" ht="15" customHeight="1">
      <c r="A25" s="41">
        <v>14</v>
      </c>
      <c r="B25" s="6" t="s">
        <v>198</v>
      </c>
      <c r="C25" s="30">
        <f>SUM(C26:C29)</f>
        <v>159142.4</v>
      </c>
      <c r="D25" s="30">
        <f>SUM(D26:D29)</f>
        <v>156752.9</v>
      </c>
      <c r="E25" s="30">
        <f>SUM(E26:E29)</f>
        <v>-2389.5</v>
      </c>
      <c r="F25" s="7">
        <f t="shared" si="1"/>
        <v>98.5</v>
      </c>
    </row>
    <row r="26" spans="1:6" ht="16.5" customHeight="1">
      <c r="A26" s="41">
        <v>15</v>
      </c>
      <c r="B26" s="8" t="s">
        <v>199</v>
      </c>
      <c r="C26" s="35">
        <v>39886.3</v>
      </c>
      <c r="D26" s="34">
        <v>37640.8</v>
      </c>
      <c r="E26" s="34">
        <f t="shared" si="0"/>
        <v>-2245.5</v>
      </c>
      <c r="F26" s="11">
        <f aca="true" t="shared" si="2" ref="F26:F34">(D26/C26)*100</f>
        <v>94.4</v>
      </c>
    </row>
    <row r="27" spans="1:6" ht="17.25" customHeight="1">
      <c r="A27" s="41">
        <v>16</v>
      </c>
      <c r="B27" s="8" t="s">
        <v>22</v>
      </c>
      <c r="C27" s="35">
        <v>107485.1</v>
      </c>
      <c r="D27" s="34">
        <v>107373.8</v>
      </c>
      <c r="E27" s="34">
        <f t="shared" si="0"/>
        <v>-111.3</v>
      </c>
      <c r="F27" s="11">
        <f t="shared" si="2"/>
        <v>99.9</v>
      </c>
    </row>
    <row r="28" spans="1:6" ht="17.25" customHeight="1">
      <c r="A28" s="41">
        <v>17</v>
      </c>
      <c r="B28" s="8" t="s">
        <v>23</v>
      </c>
      <c r="C28" s="36">
        <v>90</v>
      </c>
      <c r="D28" s="34">
        <v>90</v>
      </c>
      <c r="E28" s="34">
        <f t="shared" si="0"/>
        <v>0</v>
      </c>
      <c r="F28" s="11">
        <f t="shared" si="2"/>
        <v>100</v>
      </c>
    </row>
    <row r="29" spans="1:6" ht="19.5" customHeight="1">
      <c r="A29" s="41">
        <v>18</v>
      </c>
      <c r="B29" s="8" t="s">
        <v>200</v>
      </c>
      <c r="C29" s="35">
        <v>11681</v>
      </c>
      <c r="D29" s="34">
        <f>11738.3-90</f>
        <v>11648.3</v>
      </c>
      <c r="E29" s="34">
        <f t="shared" si="0"/>
        <v>-32.7</v>
      </c>
      <c r="F29" s="11">
        <f t="shared" si="2"/>
        <v>99.7</v>
      </c>
    </row>
    <row r="30" spans="1:6" ht="15.75" customHeight="1">
      <c r="A30" s="41">
        <v>19</v>
      </c>
      <c r="B30" s="6" t="s">
        <v>24</v>
      </c>
      <c r="C30" s="30">
        <f>SUM(C31:C41)</f>
        <v>38414.4</v>
      </c>
      <c r="D30" s="30">
        <f>SUM(D31:D41)</f>
        <v>37834.9</v>
      </c>
      <c r="E30" s="31">
        <f t="shared" si="0"/>
        <v>-579.5</v>
      </c>
      <c r="F30" s="7">
        <f t="shared" si="2"/>
        <v>98.5</v>
      </c>
    </row>
    <row r="31" spans="1:6" ht="16.5" customHeight="1">
      <c r="A31" s="41">
        <v>20</v>
      </c>
      <c r="B31" s="8" t="s">
        <v>25</v>
      </c>
      <c r="C31" s="34">
        <v>450</v>
      </c>
      <c r="D31" s="34">
        <v>509.6</v>
      </c>
      <c r="E31" s="34">
        <f t="shared" si="0"/>
        <v>59.6</v>
      </c>
      <c r="F31" s="11">
        <f t="shared" si="2"/>
        <v>113.2</v>
      </c>
    </row>
    <row r="32" spans="1:6" ht="17.25" customHeight="1">
      <c r="A32" s="41">
        <v>21</v>
      </c>
      <c r="B32" s="8" t="s">
        <v>26</v>
      </c>
      <c r="C32" s="34">
        <v>4807</v>
      </c>
      <c r="D32" s="34">
        <v>6138.2</v>
      </c>
      <c r="E32" s="34">
        <f t="shared" si="0"/>
        <v>1331.2</v>
      </c>
      <c r="F32" s="11">
        <f t="shared" si="2"/>
        <v>127.7</v>
      </c>
    </row>
    <row r="33" spans="1:6" ht="33.75" customHeight="1">
      <c r="A33" s="41">
        <v>22</v>
      </c>
      <c r="B33" s="8" t="s">
        <v>27</v>
      </c>
      <c r="C33" s="34">
        <v>8000</v>
      </c>
      <c r="D33" s="34">
        <v>7355.6</v>
      </c>
      <c r="E33" s="34">
        <f t="shared" si="0"/>
        <v>-644.4</v>
      </c>
      <c r="F33" s="11">
        <f t="shared" si="2"/>
        <v>91.9</v>
      </c>
    </row>
    <row r="34" spans="1:6" ht="18.75" customHeight="1">
      <c r="A34" s="41">
        <v>23</v>
      </c>
      <c r="B34" s="8" t="s">
        <v>201</v>
      </c>
      <c r="C34" s="34">
        <v>80</v>
      </c>
      <c r="D34" s="34">
        <v>88.8</v>
      </c>
      <c r="E34" s="34">
        <f t="shared" si="0"/>
        <v>8.8</v>
      </c>
      <c r="F34" s="11">
        <f t="shared" si="2"/>
        <v>111</v>
      </c>
    </row>
    <row r="35" spans="1:6" ht="16.5" customHeight="1">
      <c r="A35" s="41">
        <v>24</v>
      </c>
      <c r="B35" s="8" t="s">
        <v>28</v>
      </c>
      <c r="C35" s="32">
        <v>4531.7</v>
      </c>
      <c r="D35" s="34">
        <v>4309.6</v>
      </c>
      <c r="E35" s="34">
        <f t="shared" si="0"/>
        <v>-222.1</v>
      </c>
      <c r="F35" s="11">
        <f aca="true" t="shared" si="3" ref="F35:F49">(D35/C35)*100</f>
        <v>95.1</v>
      </c>
    </row>
    <row r="36" spans="1:6" ht="18" customHeight="1">
      <c r="A36" s="41">
        <v>25</v>
      </c>
      <c r="B36" s="8" t="s">
        <v>29</v>
      </c>
      <c r="C36" s="34">
        <v>2441</v>
      </c>
      <c r="D36" s="34">
        <v>2623.6</v>
      </c>
      <c r="E36" s="34">
        <f t="shared" si="0"/>
        <v>182.6</v>
      </c>
      <c r="F36" s="11">
        <f t="shared" si="3"/>
        <v>107.5</v>
      </c>
    </row>
    <row r="37" spans="1:6" ht="16.5" customHeight="1">
      <c r="A37" s="41">
        <v>26</v>
      </c>
      <c r="B37" s="8" t="s">
        <v>30</v>
      </c>
      <c r="C37" s="32">
        <v>13403.5</v>
      </c>
      <c r="D37" s="34">
        <v>11559.9</v>
      </c>
      <c r="E37" s="34">
        <f t="shared" si="0"/>
        <v>-1843.6</v>
      </c>
      <c r="F37" s="11">
        <f t="shared" si="3"/>
        <v>86.2</v>
      </c>
    </row>
    <row r="38" spans="1:6" ht="16.5" customHeight="1">
      <c r="A38" s="41">
        <v>27</v>
      </c>
      <c r="B38" s="8" t="s">
        <v>31</v>
      </c>
      <c r="C38" s="34">
        <v>4500</v>
      </c>
      <c r="D38" s="34">
        <v>4635.4</v>
      </c>
      <c r="E38" s="34">
        <f t="shared" si="0"/>
        <v>135.4</v>
      </c>
      <c r="F38" s="11">
        <f t="shared" si="3"/>
        <v>103</v>
      </c>
    </row>
    <row r="39" spans="1:6" ht="17.25" customHeight="1">
      <c r="A39" s="41">
        <v>28</v>
      </c>
      <c r="B39" s="8" t="s">
        <v>202</v>
      </c>
      <c r="C39" s="34">
        <v>50</v>
      </c>
      <c r="D39" s="34">
        <v>18.7</v>
      </c>
      <c r="E39" s="34">
        <f t="shared" si="0"/>
        <v>-31.3</v>
      </c>
      <c r="F39" s="11">
        <f t="shared" si="3"/>
        <v>37.4</v>
      </c>
    </row>
    <row r="40" spans="1:6" ht="15.75" customHeight="1">
      <c r="A40" s="41">
        <v>29</v>
      </c>
      <c r="B40" s="10" t="s">
        <v>32</v>
      </c>
      <c r="C40" s="32">
        <v>51.2</v>
      </c>
      <c r="D40" s="34">
        <v>114.3</v>
      </c>
      <c r="E40" s="34">
        <f t="shared" si="0"/>
        <v>63.1</v>
      </c>
      <c r="F40" s="11">
        <f t="shared" si="3"/>
        <v>223.2</v>
      </c>
    </row>
    <row r="41" spans="1:6" ht="15.75" customHeight="1">
      <c r="A41" s="41">
        <v>30</v>
      </c>
      <c r="B41" s="8" t="s">
        <v>203</v>
      </c>
      <c r="C41" s="34">
        <v>100</v>
      </c>
      <c r="D41" s="34">
        <v>481.2</v>
      </c>
      <c r="E41" s="34">
        <f t="shared" si="0"/>
        <v>381.2</v>
      </c>
      <c r="F41" s="11">
        <f t="shared" si="3"/>
        <v>481.2</v>
      </c>
    </row>
    <row r="42" spans="1:6" ht="33" customHeight="1">
      <c r="A42" s="41">
        <v>31</v>
      </c>
      <c r="B42" s="6" t="s">
        <v>33</v>
      </c>
      <c r="C42" s="30">
        <f>C43</f>
        <v>2115</v>
      </c>
      <c r="D42" s="30">
        <f>D43</f>
        <v>2546.4</v>
      </c>
      <c r="E42" s="31">
        <f t="shared" si="0"/>
        <v>431.4</v>
      </c>
      <c r="F42" s="7">
        <f t="shared" si="3"/>
        <v>120.4</v>
      </c>
    </row>
    <row r="43" spans="1:6" ht="36.75" customHeight="1">
      <c r="A43" s="41">
        <v>32</v>
      </c>
      <c r="B43" s="6" t="s">
        <v>34</v>
      </c>
      <c r="C43" s="30">
        <f>+C44+C48</f>
        <v>2115</v>
      </c>
      <c r="D43" s="30">
        <f>+D44+D48</f>
        <v>2546.4</v>
      </c>
      <c r="E43" s="30">
        <f>+E44+E48</f>
        <v>431.4</v>
      </c>
      <c r="F43" s="7">
        <f t="shared" si="3"/>
        <v>120.4</v>
      </c>
    </row>
    <row r="44" spans="1:6" ht="17.25" customHeight="1">
      <c r="A44" s="41">
        <v>33</v>
      </c>
      <c r="B44" s="6" t="s">
        <v>35</v>
      </c>
      <c r="C44" s="30">
        <f>SUM(C45:C47)</f>
        <v>2115</v>
      </c>
      <c r="D44" s="30">
        <f>SUM(D45:D47)</f>
        <v>2536.9</v>
      </c>
      <c r="E44" s="30">
        <f>SUM(E45:E47)</f>
        <v>421.9</v>
      </c>
      <c r="F44" s="7">
        <f t="shared" si="3"/>
        <v>119.9</v>
      </c>
    </row>
    <row r="45" spans="1:6" ht="19.5" customHeight="1">
      <c r="A45" s="41">
        <v>34</v>
      </c>
      <c r="B45" s="8" t="s">
        <v>36</v>
      </c>
      <c r="C45" s="34">
        <v>2000</v>
      </c>
      <c r="D45" s="34">
        <v>2246.8</v>
      </c>
      <c r="E45" s="34">
        <f t="shared" si="0"/>
        <v>246.8</v>
      </c>
      <c r="F45" s="11">
        <f t="shared" si="3"/>
        <v>112.3</v>
      </c>
    </row>
    <row r="46" spans="1:6" ht="18.75" customHeight="1">
      <c r="A46" s="41">
        <v>35</v>
      </c>
      <c r="B46" s="8" t="s">
        <v>37</v>
      </c>
      <c r="C46" s="34">
        <v>115</v>
      </c>
      <c r="D46" s="34">
        <v>278.1</v>
      </c>
      <c r="E46" s="34">
        <f t="shared" si="0"/>
        <v>163.1</v>
      </c>
      <c r="F46" s="11">
        <f t="shared" si="3"/>
        <v>241.8</v>
      </c>
    </row>
    <row r="47" spans="1:6" ht="18.75" customHeight="1">
      <c r="A47" s="41">
        <v>36</v>
      </c>
      <c r="B47" s="8" t="s">
        <v>204</v>
      </c>
      <c r="C47" s="34"/>
      <c r="D47" s="34">
        <v>12</v>
      </c>
      <c r="E47" s="34">
        <f t="shared" si="0"/>
        <v>12</v>
      </c>
      <c r="F47" s="11"/>
    </row>
    <row r="48" spans="1:6" ht="18.75" customHeight="1">
      <c r="A48" s="41">
        <v>37</v>
      </c>
      <c r="B48" s="8" t="s">
        <v>205</v>
      </c>
      <c r="C48" s="34"/>
      <c r="D48" s="34">
        <v>9.5</v>
      </c>
      <c r="E48" s="34">
        <f t="shared" si="0"/>
        <v>9.5</v>
      </c>
      <c r="F48" s="11"/>
    </row>
    <row r="49" spans="1:6" ht="18.75" customHeight="1">
      <c r="A49" s="41">
        <v>38</v>
      </c>
      <c r="B49" s="6" t="s">
        <v>38</v>
      </c>
      <c r="C49" s="31">
        <v>13943.1</v>
      </c>
      <c r="D49" s="31">
        <v>13943.1</v>
      </c>
      <c r="E49" s="31">
        <f t="shared" si="0"/>
        <v>0</v>
      </c>
      <c r="F49" s="7">
        <f t="shared" si="3"/>
        <v>100</v>
      </c>
    </row>
    <row r="50" spans="1:6" ht="17.25" customHeight="1">
      <c r="A50" s="41">
        <v>39</v>
      </c>
      <c r="B50" s="9" t="s">
        <v>39</v>
      </c>
      <c r="C50" s="31">
        <v>265.2</v>
      </c>
      <c r="D50" s="31">
        <v>155</v>
      </c>
      <c r="E50" s="31">
        <f t="shared" si="0"/>
        <v>-110.2</v>
      </c>
      <c r="F50" s="7">
        <f>(D50/C50)*100</f>
        <v>58.4</v>
      </c>
    </row>
    <row r="51" spans="1:6" ht="18.75" customHeight="1">
      <c r="A51" s="41">
        <v>40</v>
      </c>
      <c r="B51" s="6" t="s">
        <v>40</v>
      </c>
      <c r="C51" s="31">
        <v>74.98</v>
      </c>
      <c r="D51" s="37">
        <v>75</v>
      </c>
      <c r="E51" s="31">
        <f t="shared" si="0"/>
        <v>0</v>
      </c>
      <c r="F51" s="7">
        <f>(D51/C51)*100</f>
        <v>100</v>
      </c>
    </row>
    <row r="52" spans="1:6" ht="21" customHeight="1">
      <c r="A52" s="41">
        <v>41</v>
      </c>
      <c r="B52" s="29" t="s">
        <v>8</v>
      </c>
      <c r="C52" s="38">
        <f>C12+C42+C50+C51+C49</f>
        <v>397963.9</v>
      </c>
      <c r="D52" s="38">
        <f>D12+D42+D50+D51+D49</f>
        <v>393041.4</v>
      </c>
      <c r="E52" s="38">
        <f>E12+E42+E50+E51+E49</f>
        <v>-4922.5</v>
      </c>
      <c r="F52" s="7">
        <f>(D52/C52)*100</f>
        <v>98.8</v>
      </c>
    </row>
    <row r="53" spans="2:6" ht="15.75">
      <c r="B53" s="39"/>
      <c r="C53" s="40"/>
      <c r="D53" s="40"/>
      <c r="E53" s="40"/>
      <c r="F53" s="40"/>
    </row>
    <row r="54" spans="2:3" ht="15.75" customHeight="1">
      <c r="B54" s="39"/>
      <c r="C54" s="39"/>
    </row>
  </sheetData>
  <sheetProtection/>
  <mergeCells count="2">
    <mergeCell ref="D2:F2"/>
    <mergeCell ref="A7:F7"/>
  </mergeCells>
  <printOptions/>
  <pageMargins left="0.984251968503937" right="0.35433070866141736" top="0.7874015748031497" bottom="0.3937007874015748"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P135"/>
  <sheetViews>
    <sheetView showZeros="0" zoomScalePageLayoutView="0" workbookViewId="0" topLeftCell="A1">
      <pane xSplit="2" ySplit="7" topLeftCell="C125" activePane="bottomRight" state="frozen"/>
      <selection pane="topLeft" activeCell="A1" sqref="A1"/>
      <selection pane="topRight" activeCell="C1" sqref="C1"/>
      <selection pane="bottomLeft" activeCell="A8" sqref="A8"/>
      <selection pane="bottomRight" activeCell="K61" sqref="K61:L62"/>
    </sheetView>
  </sheetViews>
  <sheetFormatPr defaultColWidth="9.140625" defaultRowHeight="12.75"/>
  <cols>
    <col min="1" max="1" width="5.421875" style="12" customWidth="1"/>
    <col min="2" max="2" width="49.7109375" style="12" customWidth="1"/>
    <col min="3" max="3" width="9.57421875" style="12" customWidth="1"/>
    <col min="4" max="4" width="9.421875" style="12" customWidth="1"/>
    <col min="5" max="5" width="10.421875" style="12" customWidth="1"/>
    <col min="6" max="6" width="8.28125" style="12" customWidth="1"/>
    <col min="7" max="7" width="9.57421875" style="12" customWidth="1"/>
    <col min="8" max="8" width="9.421875" style="12" customWidth="1"/>
    <col min="9" max="9" width="9.7109375" style="12" customWidth="1"/>
    <col min="10" max="10" width="9.8515625" style="12" customWidth="1"/>
    <col min="11" max="12" width="8.421875" style="12" customWidth="1"/>
    <col min="13" max="20" width="0" style="12" hidden="1" customWidth="1"/>
    <col min="21" max="16384" width="9.140625" style="12" customWidth="1"/>
  </cols>
  <sheetData>
    <row r="1" spans="1:2" ht="15">
      <c r="A1" s="13"/>
      <c r="B1" s="14"/>
    </row>
    <row r="2" spans="1:12" ht="18.75" customHeight="1">
      <c r="A2" s="21"/>
      <c r="B2" s="22" t="s">
        <v>87</v>
      </c>
      <c r="C2" s="20"/>
      <c r="D2" s="20"/>
      <c r="E2" s="20"/>
      <c r="F2" s="20"/>
      <c r="G2" s="20"/>
      <c r="H2" s="20"/>
      <c r="I2" s="20"/>
      <c r="J2" s="20" t="s">
        <v>10</v>
      </c>
      <c r="K2" s="20"/>
      <c r="L2" s="20"/>
    </row>
    <row r="3" spans="1:12" ht="18.75" customHeight="1">
      <c r="A3" s="150" t="s">
        <v>41</v>
      </c>
      <c r="B3" s="150" t="s">
        <v>42</v>
      </c>
      <c r="C3" s="150" t="s">
        <v>77</v>
      </c>
      <c r="D3" s="150" t="s">
        <v>78</v>
      </c>
      <c r="E3" s="150" t="s">
        <v>90</v>
      </c>
      <c r="F3" s="151" t="s">
        <v>89</v>
      </c>
      <c r="G3" s="152" t="s">
        <v>79</v>
      </c>
      <c r="H3" s="152"/>
      <c r="I3" s="152"/>
      <c r="J3" s="152"/>
      <c r="K3" s="152"/>
      <c r="L3" s="152"/>
    </row>
    <row r="4" spans="1:12" ht="18.75" customHeight="1">
      <c r="A4" s="150"/>
      <c r="B4" s="150"/>
      <c r="C4" s="150"/>
      <c r="D4" s="150"/>
      <c r="E4" s="150"/>
      <c r="F4" s="151"/>
      <c r="G4" s="150" t="s">
        <v>45</v>
      </c>
      <c r="H4" s="150"/>
      <c r="I4" s="150"/>
      <c r="J4" s="150"/>
      <c r="K4" s="150" t="s">
        <v>80</v>
      </c>
      <c r="L4" s="150"/>
    </row>
    <row r="5" spans="1:12" ht="30.75" customHeight="1">
      <c r="A5" s="150"/>
      <c r="B5" s="150"/>
      <c r="C5" s="150"/>
      <c r="D5" s="150"/>
      <c r="E5" s="150"/>
      <c r="F5" s="151"/>
      <c r="G5" s="150" t="s">
        <v>88</v>
      </c>
      <c r="H5" s="150" t="s">
        <v>78</v>
      </c>
      <c r="I5" s="150" t="s">
        <v>46</v>
      </c>
      <c r="J5" s="150"/>
      <c r="K5" s="150" t="s">
        <v>91</v>
      </c>
      <c r="L5" s="150" t="s">
        <v>78</v>
      </c>
    </row>
    <row r="6" spans="1:12" ht="32.25" customHeight="1">
      <c r="A6" s="150"/>
      <c r="B6" s="150"/>
      <c r="C6" s="150"/>
      <c r="D6" s="150"/>
      <c r="E6" s="150"/>
      <c r="F6" s="151"/>
      <c r="G6" s="150"/>
      <c r="H6" s="150"/>
      <c r="I6" s="10" t="s">
        <v>88</v>
      </c>
      <c r="J6" s="10" t="s">
        <v>78</v>
      </c>
      <c r="K6" s="150"/>
      <c r="L6" s="150"/>
    </row>
    <row r="7" spans="1:12" s="15" customFormat="1" ht="15.75" customHeight="1">
      <c r="A7" s="16">
        <v>1</v>
      </c>
      <c r="B7" s="19">
        <v>2</v>
      </c>
      <c r="C7" s="16">
        <v>3</v>
      </c>
      <c r="D7" s="19">
        <v>4</v>
      </c>
      <c r="E7" s="16">
        <v>5</v>
      </c>
      <c r="F7" s="19">
        <v>6</v>
      </c>
      <c r="G7" s="16">
        <v>7</v>
      </c>
      <c r="H7" s="19">
        <v>8</v>
      </c>
      <c r="I7" s="16">
        <v>9</v>
      </c>
      <c r="J7" s="19">
        <v>10</v>
      </c>
      <c r="K7" s="16">
        <v>11</v>
      </c>
      <c r="L7" s="19">
        <v>12</v>
      </c>
    </row>
    <row r="8" spans="1:12" ht="34.5" customHeight="1">
      <c r="A8" s="129">
        <v>1</v>
      </c>
      <c r="B8" s="130" t="s">
        <v>206</v>
      </c>
      <c r="C8" s="131">
        <f>+C9</f>
        <v>321.8</v>
      </c>
      <c r="D8" s="131">
        <f>+D9</f>
        <v>280.2</v>
      </c>
      <c r="E8" s="131">
        <f>+E9</f>
        <v>-41.6</v>
      </c>
      <c r="F8" s="131">
        <f>+D8/C8*100</f>
        <v>87.1</v>
      </c>
      <c r="G8" s="131">
        <f aca="true" t="shared" si="0" ref="G8:L8">+G9</f>
        <v>311.3</v>
      </c>
      <c r="H8" s="131">
        <f t="shared" si="0"/>
        <v>271.2</v>
      </c>
      <c r="I8" s="131">
        <f t="shared" si="0"/>
        <v>215.3</v>
      </c>
      <c r="J8" s="131">
        <f t="shared" si="0"/>
        <v>187.3</v>
      </c>
      <c r="K8" s="131">
        <f t="shared" si="0"/>
        <v>10.5</v>
      </c>
      <c r="L8" s="131">
        <f t="shared" si="0"/>
        <v>9</v>
      </c>
    </row>
    <row r="9" spans="1:13" ht="31.5">
      <c r="A9" s="129">
        <v>2</v>
      </c>
      <c r="B9" s="130" t="s">
        <v>207</v>
      </c>
      <c r="C9" s="121">
        <f aca="true" t="shared" si="1" ref="C9:C72">+G9+K9</f>
        <v>321.8</v>
      </c>
      <c r="D9" s="121">
        <f aca="true" t="shared" si="2" ref="D9:D72">+H9+L9</f>
        <v>280.2</v>
      </c>
      <c r="E9" s="121">
        <f aca="true" t="shared" si="3" ref="E9:E72">+D9-C9</f>
        <v>-41.6</v>
      </c>
      <c r="F9" s="121">
        <f aca="true" t="shared" si="4" ref="F9:F71">+D9/C9*100</f>
        <v>87.1</v>
      </c>
      <c r="G9" s="121">
        <f>321.8-10.5</f>
        <v>311.3</v>
      </c>
      <c r="H9" s="121">
        <v>271.2</v>
      </c>
      <c r="I9" s="121">
        <v>215.3</v>
      </c>
      <c r="J9" s="121">
        <v>187.3</v>
      </c>
      <c r="K9" s="121">
        <v>10.5</v>
      </c>
      <c r="L9" s="121">
        <v>9</v>
      </c>
      <c r="M9" s="12">
        <v>10.5</v>
      </c>
    </row>
    <row r="10" spans="1:12" ht="15.75">
      <c r="A10" s="129">
        <v>3</v>
      </c>
      <c r="B10" s="130" t="s">
        <v>7</v>
      </c>
      <c r="C10" s="131">
        <f>+C11+C17+C18+C19+C20+C21</f>
        <v>43933.3</v>
      </c>
      <c r="D10" s="131">
        <f>+D11+D17+D18+D19+D20+D21</f>
        <v>38975.1</v>
      </c>
      <c r="E10" s="131">
        <f>+E11+E17+E18+E19+E20+E21</f>
        <v>-4958.2</v>
      </c>
      <c r="F10" s="131">
        <f t="shared" si="4"/>
        <v>88.7</v>
      </c>
      <c r="G10" s="131">
        <f aca="true" t="shared" si="5" ref="G10:L10">+G11+G17+G18+G19+G20+G21</f>
        <v>38399.2</v>
      </c>
      <c r="H10" s="131">
        <f t="shared" si="5"/>
        <v>33448.9</v>
      </c>
      <c r="I10" s="131">
        <f t="shared" si="5"/>
        <v>10505.4</v>
      </c>
      <c r="J10" s="131">
        <f t="shared" si="5"/>
        <v>10164.2</v>
      </c>
      <c r="K10" s="131">
        <f t="shared" si="5"/>
        <v>5534.1</v>
      </c>
      <c r="L10" s="131">
        <f t="shared" si="5"/>
        <v>5526.2</v>
      </c>
    </row>
    <row r="11" spans="1:12" ht="15.75">
      <c r="A11" s="129">
        <v>4</v>
      </c>
      <c r="B11" s="130" t="s">
        <v>47</v>
      </c>
      <c r="C11" s="131">
        <f>+C13+C14+C15+C16</f>
        <v>23169.9</v>
      </c>
      <c r="D11" s="131">
        <f aca="true" t="shared" si="6" ref="D11:L11">+D13+D14+D15+D16</f>
        <v>22077.7</v>
      </c>
      <c r="E11" s="131">
        <f t="shared" si="6"/>
        <v>-1092.2</v>
      </c>
      <c r="F11" s="131">
        <f t="shared" si="4"/>
        <v>95.3</v>
      </c>
      <c r="G11" s="131">
        <f t="shared" si="6"/>
        <v>17704.8</v>
      </c>
      <c r="H11" s="131">
        <f t="shared" si="6"/>
        <v>16614.7</v>
      </c>
      <c r="I11" s="131">
        <f t="shared" si="6"/>
        <v>8403.9</v>
      </c>
      <c r="J11" s="131">
        <f t="shared" si="6"/>
        <v>8124.6</v>
      </c>
      <c r="K11" s="131">
        <f t="shared" si="6"/>
        <v>5465.1</v>
      </c>
      <c r="L11" s="131">
        <f t="shared" si="6"/>
        <v>5463</v>
      </c>
    </row>
    <row r="12" spans="1:12" ht="15.75">
      <c r="A12" s="129">
        <v>5</v>
      </c>
      <c r="B12" s="132" t="s">
        <v>44</v>
      </c>
      <c r="C12" s="131">
        <f t="shared" si="1"/>
        <v>0</v>
      </c>
      <c r="D12" s="131">
        <f t="shared" si="2"/>
        <v>0</v>
      </c>
      <c r="E12" s="131">
        <f t="shared" si="3"/>
        <v>0</v>
      </c>
      <c r="F12" s="131"/>
      <c r="G12" s="121"/>
      <c r="H12" s="121"/>
      <c r="I12" s="121">
        <v>0</v>
      </c>
      <c r="J12" s="121"/>
      <c r="K12" s="121">
        <v>0</v>
      </c>
      <c r="L12" s="121"/>
    </row>
    <row r="13" spans="1:12" ht="31.5">
      <c r="A13" s="129">
        <v>6</v>
      </c>
      <c r="B13" s="133" t="s">
        <v>208</v>
      </c>
      <c r="C13" s="121">
        <f t="shared" si="1"/>
        <v>617.6</v>
      </c>
      <c r="D13" s="121">
        <f t="shared" si="2"/>
        <v>538.4</v>
      </c>
      <c r="E13" s="121">
        <f t="shared" si="3"/>
        <v>-79.2</v>
      </c>
      <c r="F13" s="121">
        <f t="shared" si="4"/>
        <v>87.2</v>
      </c>
      <c r="G13" s="121">
        <v>617.6</v>
      </c>
      <c r="H13" s="121">
        <v>538.4</v>
      </c>
      <c r="I13" s="121">
        <v>200.1</v>
      </c>
      <c r="J13" s="121">
        <v>199</v>
      </c>
      <c r="K13" s="121">
        <v>0</v>
      </c>
      <c r="L13" s="121"/>
    </row>
    <row r="14" spans="1:12" ht="31.5">
      <c r="A14" s="129">
        <v>7</v>
      </c>
      <c r="B14" s="133" t="s">
        <v>209</v>
      </c>
      <c r="C14" s="121">
        <f t="shared" si="1"/>
        <v>249.2</v>
      </c>
      <c r="D14" s="121">
        <f t="shared" si="2"/>
        <v>239.6</v>
      </c>
      <c r="E14" s="121">
        <f t="shared" si="3"/>
        <v>-9.6</v>
      </c>
      <c r="F14" s="121">
        <f t="shared" si="4"/>
        <v>96.1</v>
      </c>
      <c r="G14" s="121">
        <v>249.2</v>
      </c>
      <c r="H14" s="121">
        <v>239.6</v>
      </c>
      <c r="I14" s="121">
        <v>174.5</v>
      </c>
      <c r="J14" s="121">
        <v>170.4</v>
      </c>
      <c r="K14" s="121">
        <v>0</v>
      </c>
      <c r="L14" s="121"/>
    </row>
    <row r="15" spans="1:12" ht="31.5">
      <c r="A15" s="129">
        <v>8</v>
      </c>
      <c r="B15" s="133" t="s">
        <v>210</v>
      </c>
      <c r="C15" s="121">
        <f t="shared" si="1"/>
        <v>22262.7</v>
      </c>
      <c r="D15" s="121">
        <f t="shared" si="2"/>
        <v>21248</v>
      </c>
      <c r="E15" s="121">
        <f t="shared" si="3"/>
        <v>-1014.7</v>
      </c>
      <c r="F15" s="121">
        <f t="shared" si="4"/>
        <v>95.4</v>
      </c>
      <c r="G15" s="121">
        <v>16797.6</v>
      </c>
      <c r="H15" s="121">
        <v>15785</v>
      </c>
      <c r="I15" s="121">
        <v>8029.3</v>
      </c>
      <c r="J15" s="121">
        <v>7755.2</v>
      </c>
      <c r="K15" s="121">
        <v>5465.1</v>
      </c>
      <c r="L15" s="121">
        <v>5463</v>
      </c>
    </row>
    <row r="16" spans="1:12" s="13" customFormat="1" ht="31.5">
      <c r="A16" s="129">
        <v>9</v>
      </c>
      <c r="B16" s="133" t="s">
        <v>211</v>
      </c>
      <c r="C16" s="121">
        <f t="shared" si="1"/>
        <v>40.4</v>
      </c>
      <c r="D16" s="121">
        <f t="shared" si="2"/>
        <v>51.7</v>
      </c>
      <c r="E16" s="121">
        <f t="shared" si="3"/>
        <v>11.3</v>
      </c>
      <c r="F16" s="121">
        <f t="shared" si="4"/>
        <v>128</v>
      </c>
      <c r="G16" s="121">
        <v>40.4</v>
      </c>
      <c r="H16" s="121">
        <f>40.3+11.4</f>
        <v>51.7</v>
      </c>
      <c r="I16" s="121">
        <v>0</v>
      </c>
      <c r="J16" s="121"/>
      <c r="K16" s="121">
        <v>0</v>
      </c>
      <c r="L16" s="121"/>
    </row>
    <row r="17" spans="1:12" s="13" customFormat="1" ht="31.5">
      <c r="A17" s="129">
        <v>10</v>
      </c>
      <c r="B17" s="130" t="s">
        <v>212</v>
      </c>
      <c r="C17" s="131">
        <f t="shared" si="1"/>
        <v>460</v>
      </c>
      <c r="D17" s="131">
        <f t="shared" si="2"/>
        <v>442.4</v>
      </c>
      <c r="E17" s="131">
        <f t="shared" si="3"/>
        <v>-17.6</v>
      </c>
      <c r="F17" s="131">
        <f t="shared" si="4"/>
        <v>96.2</v>
      </c>
      <c r="G17" s="131">
        <v>460</v>
      </c>
      <c r="H17" s="131">
        <v>442.4</v>
      </c>
      <c r="I17" s="131">
        <v>0</v>
      </c>
      <c r="J17" s="131"/>
      <c r="K17" s="131">
        <v>0</v>
      </c>
      <c r="L17" s="131"/>
    </row>
    <row r="18" spans="1:12" s="13" customFormat="1" ht="47.25">
      <c r="A18" s="129">
        <v>11</v>
      </c>
      <c r="B18" s="130" t="s">
        <v>213</v>
      </c>
      <c r="C18" s="131">
        <f t="shared" si="1"/>
        <v>2473.9</v>
      </c>
      <c r="D18" s="131">
        <f t="shared" si="2"/>
        <v>2473.8</v>
      </c>
      <c r="E18" s="131">
        <f t="shared" si="3"/>
        <v>-0.1</v>
      </c>
      <c r="F18" s="131">
        <f t="shared" si="4"/>
        <v>100</v>
      </c>
      <c r="G18" s="131">
        <v>2464.9</v>
      </c>
      <c r="H18" s="131">
        <v>2464.8</v>
      </c>
      <c r="I18" s="131">
        <v>130.6</v>
      </c>
      <c r="J18" s="131">
        <v>130.6</v>
      </c>
      <c r="K18" s="131">
        <v>9</v>
      </c>
      <c r="L18" s="131">
        <v>9</v>
      </c>
    </row>
    <row r="19" spans="1:12" ht="31.5">
      <c r="A19" s="129">
        <v>12</v>
      </c>
      <c r="B19" s="134" t="s">
        <v>214</v>
      </c>
      <c r="C19" s="131">
        <f t="shared" si="1"/>
        <v>140</v>
      </c>
      <c r="D19" s="131">
        <f t="shared" si="2"/>
        <v>135.2</v>
      </c>
      <c r="E19" s="131">
        <f t="shared" si="3"/>
        <v>-4.8</v>
      </c>
      <c r="F19" s="131">
        <f t="shared" si="4"/>
        <v>96.6</v>
      </c>
      <c r="G19" s="131">
        <v>140</v>
      </c>
      <c r="H19" s="131">
        <v>135.2</v>
      </c>
      <c r="I19" s="131">
        <v>0</v>
      </c>
      <c r="J19" s="131"/>
      <c r="K19" s="131">
        <v>0</v>
      </c>
      <c r="L19" s="131"/>
    </row>
    <row r="20" spans="1:12" ht="31.5">
      <c r="A20" s="129">
        <v>13</v>
      </c>
      <c r="B20" s="130" t="s">
        <v>215</v>
      </c>
      <c r="C20" s="131">
        <f t="shared" si="1"/>
        <v>14471</v>
      </c>
      <c r="D20" s="131">
        <f t="shared" si="2"/>
        <v>10854</v>
      </c>
      <c r="E20" s="131">
        <f t="shared" si="3"/>
        <v>-3617</v>
      </c>
      <c r="F20" s="131">
        <f t="shared" si="4"/>
        <v>75</v>
      </c>
      <c r="G20" s="131">
        <v>14471</v>
      </c>
      <c r="H20" s="131">
        <v>10854</v>
      </c>
      <c r="I20" s="131">
        <v>0</v>
      </c>
      <c r="J20" s="131"/>
      <c r="K20" s="131">
        <v>0</v>
      </c>
      <c r="L20" s="131"/>
    </row>
    <row r="21" spans="1:12" s="13" customFormat="1" ht="31.5">
      <c r="A21" s="129">
        <v>14</v>
      </c>
      <c r="B21" s="135" t="s">
        <v>216</v>
      </c>
      <c r="C21" s="131">
        <f>SUM(C23:C39)</f>
        <v>3218.5</v>
      </c>
      <c r="D21" s="131">
        <f aca="true" t="shared" si="7" ref="D21:L21">SUM(D23:D39)</f>
        <v>2992</v>
      </c>
      <c r="E21" s="131">
        <f t="shared" si="7"/>
        <v>-226.5</v>
      </c>
      <c r="F21" s="131">
        <f t="shared" si="4"/>
        <v>93</v>
      </c>
      <c r="G21" s="131">
        <f t="shared" si="7"/>
        <v>3158.5</v>
      </c>
      <c r="H21" s="131">
        <f t="shared" si="7"/>
        <v>2937.8</v>
      </c>
      <c r="I21" s="131">
        <f t="shared" si="7"/>
        <v>1970.9</v>
      </c>
      <c r="J21" s="131">
        <f t="shared" si="7"/>
        <v>1909</v>
      </c>
      <c r="K21" s="131">
        <f t="shared" si="7"/>
        <v>60</v>
      </c>
      <c r="L21" s="131">
        <f t="shared" si="7"/>
        <v>54.2</v>
      </c>
    </row>
    <row r="22" spans="1:12" s="13" customFormat="1" ht="15.75">
      <c r="A22" s="129">
        <v>15</v>
      </c>
      <c r="B22" s="136" t="s">
        <v>44</v>
      </c>
      <c r="C22" s="131">
        <f t="shared" si="1"/>
        <v>0</v>
      </c>
      <c r="D22" s="131"/>
      <c r="E22" s="131">
        <f t="shared" si="3"/>
        <v>0</v>
      </c>
      <c r="F22" s="131"/>
      <c r="G22" s="131"/>
      <c r="H22" s="131"/>
      <c r="I22" s="131"/>
      <c r="J22" s="131"/>
      <c r="K22" s="131"/>
      <c r="L22" s="131"/>
    </row>
    <row r="23" spans="1:12" ht="15.75">
      <c r="A23" s="129">
        <v>16</v>
      </c>
      <c r="B23" s="133" t="s">
        <v>63</v>
      </c>
      <c r="C23" s="121">
        <f t="shared" si="1"/>
        <v>57.5</v>
      </c>
      <c r="D23" s="121">
        <f t="shared" si="2"/>
        <v>54.1</v>
      </c>
      <c r="E23" s="121">
        <f t="shared" si="3"/>
        <v>-3.4</v>
      </c>
      <c r="F23" s="121">
        <f t="shared" si="4"/>
        <v>94.1</v>
      </c>
      <c r="G23" s="121">
        <v>57.5</v>
      </c>
      <c r="H23" s="121">
        <v>54.1</v>
      </c>
      <c r="I23" s="121">
        <v>34.4</v>
      </c>
      <c r="J23" s="121">
        <v>33</v>
      </c>
      <c r="K23" s="121">
        <v>0</v>
      </c>
      <c r="L23" s="121"/>
    </row>
    <row r="24" spans="1:12" ht="15.75">
      <c r="A24" s="129">
        <v>17</v>
      </c>
      <c r="B24" s="133" t="s">
        <v>65</v>
      </c>
      <c r="C24" s="121">
        <f t="shared" si="1"/>
        <v>225.2</v>
      </c>
      <c r="D24" s="121">
        <f t="shared" si="2"/>
        <v>201</v>
      </c>
      <c r="E24" s="121">
        <f t="shared" si="3"/>
        <v>-24.2</v>
      </c>
      <c r="F24" s="121">
        <f t="shared" si="4"/>
        <v>89.3</v>
      </c>
      <c r="G24" s="121">
        <v>225.2</v>
      </c>
      <c r="H24" s="121">
        <v>201</v>
      </c>
      <c r="I24" s="121">
        <v>138.8</v>
      </c>
      <c r="J24" s="121">
        <v>123.3</v>
      </c>
      <c r="K24" s="121">
        <v>0</v>
      </c>
      <c r="L24" s="121"/>
    </row>
    <row r="25" spans="1:12" s="13" customFormat="1" ht="15.75">
      <c r="A25" s="129">
        <v>18</v>
      </c>
      <c r="B25" s="133" t="s">
        <v>66</v>
      </c>
      <c r="C25" s="121">
        <f t="shared" si="1"/>
        <v>556</v>
      </c>
      <c r="D25" s="121">
        <f t="shared" si="2"/>
        <v>547.8</v>
      </c>
      <c r="E25" s="121">
        <f t="shared" si="3"/>
        <v>-8.2</v>
      </c>
      <c r="F25" s="121">
        <f t="shared" si="4"/>
        <v>98.5</v>
      </c>
      <c r="G25" s="121">
        <v>556</v>
      </c>
      <c r="H25" s="121">
        <v>547.8</v>
      </c>
      <c r="I25" s="121">
        <v>384.5</v>
      </c>
      <c r="J25" s="121">
        <v>383</v>
      </c>
      <c r="K25" s="121">
        <v>0</v>
      </c>
      <c r="L25" s="121"/>
    </row>
    <row r="26" spans="1:12" ht="15.75">
      <c r="A26" s="129">
        <v>19</v>
      </c>
      <c r="B26" s="133" t="s">
        <v>67</v>
      </c>
      <c r="C26" s="121">
        <f t="shared" si="1"/>
        <v>45.1</v>
      </c>
      <c r="D26" s="121">
        <f t="shared" si="2"/>
        <v>44.5</v>
      </c>
      <c r="E26" s="121">
        <f t="shared" si="3"/>
        <v>-0.6</v>
      </c>
      <c r="F26" s="121">
        <f t="shared" si="4"/>
        <v>98.7</v>
      </c>
      <c r="G26" s="121">
        <v>45.1</v>
      </c>
      <c r="H26" s="121">
        <v>44.5</v>
      </c>
      <c r="I26" s="121">
        <v>34.1</v>
      </c>
      <c r="J26" s="121">
        <v>34.1</v>
      </c>
      <c r="K26" s="121">
        <v>0</v>
      </c>
      <c r="L26" s="121"/>
    </row>
    <row r="27" spans="1:12" ht="15.75">
      <c r="A27" s="129">
        <v>20</v>
      </c>
      <c r="B27" s="133" t="s">
        <v>68</v>
      </c>
      <c r="C27" s="121">
        <f t="shared" si="1"/>
        <v>81.2</v>
      </c>
      <c r="D27" s="121">
        <f t="shared" si="2"/>
        <v>47.1</v>
      </c>
      <c r="E27" s="121">
        <f t="shared" si="3"/>
        <v>-34.1</v>
      </c>
      <c r="F27" s="121">
        <f t="shared" si="4"/>
        <v>58</v>
      </c>
      <c r="G27" s="121">
        <v>81.2</v>
      </c>
      <c r="H27" s="121">
        <v>47.1</v>
      </c>
      <c r="I27" s="121">
        <v>33.9</v>
      </c>
      <c r="J27" s="121">
        <v>31.5</v>
      </c>
      <c r="K27" s="121">
        <v>0</v>
      </c>
      <c r="L27" s="121"/>
    </row>
    <row r="28" spans="1:12" ht="31.5">
      <c r="A28" s="129">
        <v>21</v>
      </c>
      <c r="B28" s="133" t="s">
        <v>73</v>
      </c>
      <c r="C28" s="121">
        <f t="shared" si="1"/>
        <v>53.4</v>
      </c>
      <c r="D28" s="121">
        <f t="shared" si="2"/>
        <v>52.8</v>
      </c>
      <c r="E28" s="121">
        <f t="shared" si="3"/>
        <v>-0.6</v>
      </c>
      <c r="F28" s="121">
        <f t="shared" si="4"/>
        <v>98.9</v>
      </c>
      <c r="G28" s="121">
        <v>53.4</v>
      </c>
      <c r="H28" s="121">
        <v>52.8</v>
      </c>
      <c r="I28" s="121">
        <v>41</v>
      </c>
      <c r="J28" s="121">
        <v>40.4</v>
      </c>
      <c r="K28" s="121">
        <v>0</v>
      </c>
      <c r="L28" s="121"/>
    </row>
    <row r="29" spans="1:12" s="13" customFormat="1" ht="31.5">
      <c r="A29" s="129">
        <v>22</v>
      </c>
      <c r="B29" s="133" t="s">
        <v>62</v>
      </c>
      <c r="C29" s="121">
        <f t="shared" si="1"/>
        <v>3</v>
      </c>
      <c r="D29" s="121">
        <f t="shared" si="2"/>
        <v>3</v>
      </c>
      <c r="E29" s="121">
        <f t="shared" si="3"/>
        <v>0</v>
      </c>
      <c r="F29" s="121">
        <f t="shared" si="4"/>
        <v>100</v>
      </c>
      <c r="G29" s="121">
        <v>3</v>
      </c>
      <c r="H29" s="121">
        <v>3</v>
      </c>
      <c r="I29" s="121">
        <v>2.3</v>
      </c>
      <c r="J29" s="121">
        <v>2.3</v>
      </c>
      <c r="K29" s="121">
        <v>0</v>
      </c>
      <c r="L29" s="121"/>
    </row>
    <row r="30" spans="1:12" s="13" customFormat="1" ht="15.75">
      <c r="A30" s="129">
        <v>23</v>
      </c>
      <c r="B30" s="133" t="s">
        <v>60</v>
      </c>
      <c r="C30" s="121">
        <f t="shared" si="1"/>
        <v>294.1</v>
      </c>
      <c r="D30" s="121">
        <f t="shared" si="2"/>
        <v>290.1</v>
      </c>
      <c r="E30" s="121">
        <f t="shared" si="3"/>
        <v>-4</v>
      </c>
      <c r="F30" s="121">
        <f t="shared" si="4"/>
        <v>98.6</v>
      </c>
      <c r="G30" s="121">
        <v>294.1</v>
      </c>
      <c r="H30" s="121">
        <v>290.1</v>
      </c>
      <c r="I30" s="121">
        <v>224.2</v>
      </c>
      <c r="J30" s="121">
        <v>221.4</v>
      </c>
      <c r="K30" s="121">
        <v>0</v>
      </c>
      <c r="L30" s="121"/>
    </row>
    <row r="31" spans="1:12" ht="31.5">
      <c r="A31" s="129">
        <v>24</v>
      </c>
      <c r="B31" s="133" t="s">
        <v>61</v>
      </c>
      <c r="C31" s="121">
        <f t="shared" si="1"/>
        <v>9.8</v>
      </c>
      <c r="D31" s="121">
        <f t="shared" si="2"/>
        <v>4</v>
      </c>
      <c r="E31" s="121">
        <f t="shared" si="3"/>
        <v>-5.8</v>
      </c>
      <c r="F31" s="121">
        <f t="shared" si="4"/>
        <v>40.8</v>
      </c>
      <c r="G31" s="121">
        <v>9.8</v>
      </c>
      <c r="H31" s="121">
        <v>4</v>
      </c>
      <c r="I31" s="121">
        <v>0</v>
      </c>
      <c r="J31" s="121"/>
      <c r="K31" s="121">
        <v>0</v>
      </c>
      <c r="L31" s="121"/>
    </row>
    <row r="32" spans="1:12" ht="15.75">
      <c r="A32" s="129">
        <v>25</v>
      </c>
      <c r="B32" s="133" t="s">
        <v>64</v>
      </c>
      <c r="C32" s="121">
        <f t="shared" si="1"/>
        <v>45.5</v>
      </c>
      <c r="D32" s="121">
        <f t="shared" si="2"/>
        <v>43.2</v>
      </c>
      <c r="E32" s="121">
        <f t="shared" si="3"/>
        <v>-2.3</v>
      </c>
      <c r="F32" s="121">
        <f t="shared" si="4"/>
        <v>94.9</v>
      </c>
      <c r="G32" s="121">
        <v>45.5</v>
      </c>
      <c r="H32" s="121">
        <v>43.2</v>
      </c>
      <c r="I32" s="121">
        <v>27.2</v>
      </c>
      <c r="J32" s="121">
        <v>26.4</v>
      </c>
      <c r="K32" s="121">
        <v>0</v>
      </c>
      <c r="L32" s="121"/>
    </row>
    <row r="33" spans="1:12" ht="15.75">
      <c r="A33" s="129">
        <v>26</v>
      </c>
      <c r="B33" s="133" t="s">
        <v>217</v>
      </c>
      <c r="C33" s="121">
        <f t="shared" si="1"/>
        <v>61.2</v>
      </c>
      <c r="D33" s="121">
        <f t="shared" si="2"/>
        <v>21.4</v>
      </c>
      <c r="E33" s="121">
        <f t="shared" si="3"/>
        <v>-39.8</v>
      </c>
      <c r="F33" s="121">
        <f t="shared" si="4"/>
        <v>35</v>
      </c>
      <c r="G33" s="121">
        <v>61.2</v>
      </c>
      <c r="H33" s="121">
        <v>21.4</v>
      </c>
      <c r="I33" s="121">
        <v>17.5</v>
      </c>
      <c r="J33" s="121">
        <v>9.4</v>
      </c>
      <c r="K33" s="121">
        <v>0</v>
      </c>
      <c r="L33" s="121"/>
    </row>
    <row r="34" spans="1:12" s="13" customFormat="1" ht="15.75">
      <c r="A34" s="129">
        <v>27</v>
      </c>
      <c r="B34" s="133" t="s">
        <v>69</v>
      </c>
      <c r="C34" s="121">
        <f t="shared" si="1"/>
        <v>44.9</v>
      </c>
      <c r="D34" s="121">
        <f t="shared" si="2"/>
        <v>41.7</v>
      </c>
      <c r="E34" s="121">
        <f t="shared" si="3"/>
        <v>-3.2</v>
      </c>
      <c r="F34" s="121">
        <f t="shared" si="4"/>
        <v>92.9</v>
      </c>
      <c r="G34" s="121">
        <v>44.9</v>
      </c>
      <c r="H34" s="121">
        <v>41.7</v>
      </c>
      <c r="I34" s="121">
        <v>29.5</v>
      </c>
      <c r="J34" s="121">
        <v>28.3</v>
      </c>
      <c r="K34" s="121">
        <v>0</v>
      </c>
      <c r="L34" s="121"/>
    </row>
    <row r="35" spans="1:12" ht="15.75">
      <c r="A35" s="129">
        <v>28</v>
      </c>
      <c r="B35" s="133" t="s">
        <v>70</v>
      </c>
      <c r="C35" s="121">
        <f t="shared" si="1"/>
        <v>320</v>
      </c>
      <c r="D35" s="121">
        <f t="shared" si="2"/>
        <v>306.7</v>
      </c>
      <c r="E35" s="121">
        <f t="shared" si="3"/>
        <v>-13.3</v>
      </c>
      <c r="F35" s="121">
        <f t="shared" si="4"/>
        <v>95.8</v>
      </c>
      <c r="G35" s="121">
        <v>320</v>
      </c>
      <c r="H35" s="121">
        <v>306.7</v>
      </c>
      <c r="I35" s="121">
        <v>188</v>
      </c>
      <c r="J35" s="121">
        <v>182.1</v>
      </c>
      <c r="K35" s="121">
        <v>0</v>
      </c>
      <c r="L35" s="121"/>
    </row>
    <row r="36" spans="1:12" ht="31.5">
      <c r="A36" s="129">
        <v>29</v>
      </c>
      <c r="B36" s="133" t="s">
        <v>218</v>
      </c>
      <c r="C36" s="121">
        <f t="shared" si="1"/>
        <v>25.1</v>
      </c>
      <c r="D36" s="121">
        <f t="shared" si="2"/>
        <v>20.4</v>
      </c>
      <c r="E36" s="121">
        <f t="shared" si="3"/>
        <v>-4.7</v>
      </c>
      <c r="F36" s="121">
        <f t="shared" si="4"/>
        <v>81.3</v>
      </c>
      <c r="G36" s="121">
        <v>25.1</v>
      </c>
      <c r="H36" s="121">
        <v>20.4</v>
      </c>
      <c r="I36" s="121">
        <v>15.9</v>
      </c>
      <c r="J36" s="121">
        <v>15.6</v>
      </c>
      <c r="K36" s="121">
        <v>0</v>
      </c>
      <c r="L36" s="121"/>
    </row>
    <row r="37" spans="1:12" s="13" customFormat="1" ht="30.75" customHeight="1">
      <c r="A37" s="129">
        <v>30</v>
      </c>
      <c r="B37" s="133" t="s">
        <v>219</v>
      </c>
      <c r="C37" s="121">
        <f t="shared" si="1"/>
        <v>76.5</v>
      </c>
      <c r="D37" s="121">
        <f t="shared" si="2"/>
        <v>46.6</v>
      </c>
      <c r="E37" s="121">
        <f t="shared" si="3"/>
        <v>-29.9</v>
      </c>
      <c r="F37" s="121">
        <f t="shared" si="4"/>
        <v>60.9</v>
      </c>
      <c r="G37" s="121">
        <v>76.5</v>
      </c>
      <c r="H37" s="121">
        <v>46.6</v>
      </c>
      <c r="I37" s="121">
        <v>28.5</v>
      </c>
      <c r="J37" s="121">
        <v>23.2</v>
      </c>
      <c r="K37" s="121">
        <v>0</v>
      </c>
      <c r="L37" s="121"/>
    </row>
    <row r="38" spans="1:12" ht="31.5">
      <c r="A38" s="129">
        <v>31</v>
      </c>
      <c r="B38" s="133" t="s">
        <v>220</v>
      </c>
      <c r="C38" s="121">
        <f t="shared" si="1"/>
        <v>1165.5</v>
      </c>
      <c r="D38" s="121">
        <f t="shared" si="2"/>
        <v>1132.5</v>
      </c>
      <c r="E38" s="121">
        <f t="shared" si="3"/>
        <v>-33</v>
      </c>
      <c r="F38" s="121">
        <f t="shared" si="4"/>
        <v>97.2</v>
      </c>
      <c r="G38" s="121">
        <v>1105.5</v>
      </c>
      <c r="H38" s="121">
        <v>1078.3</v>
      </c>
      <c r="I38" s="121">
        <v>663.3</v>
      </c>
      <c r="J38" s="121">
        <v>655.1</v>
      </c>
      <c r="K38" s="121">
        <v>60</v>
      </c>
      <c r="L38" s="121">
        <v>54.2</v>
      </c>
    </row>
    <row r="39" spans="1:12" ht="15.75">
      <c r="A39" s="129">
        <v>32</v>
      </c>
      <c r="B39" s="133" t="s">
        <v>221</v>
      </c>
      <c r="C39" s="121">
        <f t="shared" si="1"/>
        <v>154.5</v>
      </c>
      <c r="D39" s="121">
        <f t="shared" si="2"/>
        <v>135.1</v>
      </c>
      <c r="E39" s="121">
        <f t="shared" si="3"/>
        <v>-19.4</v>
      </c>
      <c r="F39" s="121">
        <f t="shared" si="4"/>
        <v>87.4</v>
      </c>
      <c r="G39" s="121">
        <v>154.5</v>
      </c>
      <c r="H39" s="121">
        <v>135.1</v>
      </c>
      <c r="I39" s="121">
        <v>107.8</v>
      </c>
      <c r="J39" s="121">
        <v>99.9</v>
      </c>
      <c r="K39" s="121">
        <v>0</v>
      </c>
      <c r="L39" s="121"/>
    </row>
    <row r="40" spans="1:12" s="13" customFormat="1" ht="15.75">
      <c r="A40" s="129">
        <v>33</v>
      </c>
      <c r="B40" s="134" t="s">
        <v>222</v>
      </c>
      <c r="C40" s="131">
        <f>+C41+C45+C46+C47+C48+C52++C56+C57+C61+C62+C63+C67+C71</f>
        <v>35400.9</v>
      </c>
      <c r="D40" s="131">
        <f>+D41+D45+D46+D47+D48+D52++D56+D57+D61+D62+D63+D67+D71</f>
        <v>30640</v>
      </c>
      <c r="E40" s="131">
        <f>+E41+E45+E46+E47+E48+E52++E56+E57+E61+E62+E63+E67+E71</f>
        <v>-4760.9</v>
      </c>
      <c r="F40" s="131">
        <f t="shared" si="4"/>
        <v>86.6</v>
      </c>
      <c r="G40" s="131">
        <f aca="true" t="shared" si="8" ref="G40:L40">+G41+G45+G46+G47+G48+G52++G56+G57+G61+G62+G63+G67+G71</f>
        <v>3533.9</v>
      </c>
      <c r="H40" s="131">
        <f t="shared" si="8"/>
        <v>2938.6</v>
      </c>
      <c r="I40" s="131">
        <f t="shared" si="8"/>
        <v>39.3</v>
      </c>
      <c r="J40" s="131">
        <f t="shared" si="8"/>
        <v>17.8</v>
      </c>
      <c r="K40" s="131">
        <f t="shared" si="8"/>
        <v>31867</v>
      </c>
      <c r="L40" s="131">
        <f t="shared" si="8"/>
        <v>27701.4</v>
      </c>
    </row>
    <row r="41" spans="1:12" ht="31.5">
      <c r="A41" s="129">
        <v>34</v>
      </c>
      <c r="B41" s="137" t="s">
        <v>223</v>
      </c>
      <c r="C41" s="131">
        <f>+C43+C44</f>
        <v>2408.4</v>
      </c>
      <c r="D41" s="131">
        <f aca="true" t="shared" si="9" ref="D41:L41">+D43+D44</f>
        <v>2389.3</v>
      </c>
      <c r="E41" s="131">
        <f t="shared" si="9"/>
        <v>-19.1</v>
      </c>
      <c r="F41" s="131">
        <f t="shared" si="4"/>
        <v>99.2</v>
      </c>
      <c r="G41" s="131">
        <f t="shared" si="9"/>
        <v>524.4</v>
      </c>
      <c r="H41" s="131">
        <f t="shared" si="9"/>
        <v>524.2</v>
      </c>
      <c r="I41" s="131">
        <f t="shared" si="9"/>
        <v>0</v>
      </c>
      <c r="J41" s="131">
        <f t="shared" si="9"/>
        <v>0</v>
      </c>
      <c r="K41" s="131">
        <f t="shared" si="9"/>
        <v>1884</v>
      </c>
      <c r="L41" s="131">
        <f t="shared" si="9"/>
        <v>1865.1</v>
      </c>
    </row>
    <row r="42" spans="1:12" ht="15.75">
      <c r="A42" s="129">
        <v>35</v>
      </c>
      <c r="B42" s="132" t="s">
        <v>44</v>
      </c>
      <c r="C42" s="131">
        <f t="shared" si="1"/>
        <v>0</v>
      </c>
      <c r="D42" s="131"/>
      <c r="E42" s="131">
        <f t="shared" si="3"/>
        <v>0</v>
      </c>
      <c r="F42" s="131"/>
      <c r="G42" s="121"/>
      <c r="H42" s="121"/>
      <c r="I42" s="121"/>
      <c r="J42" s="121"/>
      <c r="K42" s="121"/>
      <c r="L42" s="121"/>
    </row>
    <row r="43" spans="1:12" s="13" customFormat="1" ht="31.5">
      <c r="A43" s="129">
        <v>36</v>
      </c>
      <c r="B43" s="122" t="s">
        <v>224</v>
      </c>
      <c r="C43" s="121">
        <f t="shared" si="1"/>
        <v>575.4</v>
      </c>
      <c r="D43" s="121">
        <f t="shared" si="2"/>
        <v>575.2</v>
      </c>
      <c r="E43" s="121">
        <f t="shared" si="3"/>
        <v>-0.2</v>
      </c>
      <c r="F43" s="121">
        <f t="shared" si="4"/>
        <v>100</v>
      </c>
      <c r="G43" s="121">
        <v>524.4</v>
      </c>
      <c r="H43" s="121">
        <v>524.2</v>
      </c>
      <c r="I43" s="121">
        <v>0</v>
      </c>
      <c r="J43" s="121"/>
      <c r="K43" s="121">
        <v>51</v>
      </c>
      <c r="L43" s="121">
        <v>51</v>
      </c>
    </row>
    <row r="44" spans="1:12" s="13" customFormat="1" ht="31.5">
      <c r="A44" s="129">
        <v>37</v>
      </c>
      <c r="B44" s="122" t="s">
        <v>225</v>
      </c>
      <c r="C44" s="121">
        <f t="shared" si="1"/>
        <v>1833</v>
      </c>
      <c r="D44" s="121">
        <f t="shared" si="2"/>
        <v>1814.1</v>
      </c>
      <c r="E44" s="121">
        <f t="shared" si="3"/>
        <v>-18.9</v>
      </c>
      <c r="F44" s="121">
        <f t="shared" si="4"/>
        <v>99</v>
      </c>
      <c r="G44" s="121">
        <v>0</v>
      </c>
      <c r="H44" s="121"/>
      <c r="I44" s="121">
        <v>0</v>
      </c>
      <c r="J44" s="121"/>
      <c r="K44" s="121">
        <v>1833</v>
      </c>
      <c r="L44" s="121">
        <v>1814.1</v>
      </c>
    </row>
    <row r="45" spans="1:12" ht="47.25">
      <c r="A45" s="129">
        <v>38</v>
      </c>
      <c r="B45" s="138" t="s">
        <v>226</v>
      </c>
      <c r="C45" s="131">
        <f t="shared" si="1"/>
        <v>929.4</v>
      </c>
      <c r="D45" s="131">
        <f t="shared" si="2"/>
        <v>929.4</v>
      </c>
      <c r="E45" s="131">
        <f t="shared" si="3"/>
        <v>0</v>
      </c>
      <c r="F45" s="131">
        <f t="shared" si="4"/>
        <v>100</v>
      </c>
      <c r="G45" s="131">
        <v>929.4</v>
      </c>
      <c r="H45" s="131">
        <v>929.4</v>
      </c>
      <c r="I45" s="131">
        <v>0</v>
      </c>
      <c r="J45" s="131"/>
      <c r="K45" s="131">
        <v>0</v>
      </c>
      <c r="L45" s="131"/>
    </row>
    <row r="46" spans="1:12" ht="31.5">
      <c r="A46" s="129">
        <v>39</v>
      </c>
      <c r="B46" s="130" t="s">
        <v>227</v>
      </c>
      <c r="C46" s="131">
        <f t="shared" si="1"/>
        <v>189.9</v>
      </c>
      <c r="D46" s="131">
        <f t="shared" si="2"/>
        <v>189.8</v>
      </c>
      <c r="E46" s="131">
        <f t="shared" si="3"/>
        <v>-0.1</v>
      </c>
      <c r="F46" s="131">
        <f t="shared" si="4"/>
        <v>99.9</v>
      </c>
      <c r="G46" s="131">
        <v>161.9</v>
      </c>
      <c r="H46" s="131">
        <v>161.8</v>
      </c>
      <c r="I46" s="131">
        <v>0</v>
      </c>
      <c r="J46" s="131"/>
      <c r="K46" s="131">
        <v>28</v>
      </c>
      <c r="L46" s="131">
        <v>28</v>
      </c>
    </row>
    <row r="47" spans="1:12" ht="31.5">
      <c r="A47" s="129">
        <v>40</v>
      </c>
      <c r="B47" s="130" t="s">
        <v>228</v>
      </c>
      <c r="C47" s="131">
        <f t="shared" si="1"/>
        <v>79.2</v>
      </c>
      <c r="D47" s="131">
        <f t="shared" si="2"/>
        <v>79.1</v>
      </c>
      <c r="E47" s="131">
        <f t="shared" si="3"/>
        <v>-0.1</v>
      </c>
      <c r="F47" s="131">
        <f t="shared" si="4"/>
        <v>99.9</v>
      </c>
      <c r="G47" s="131">
        <v>79.2</v>
      </c>
      <c r="H47" s="131">
        <v>79.1</v>
      </c>
      <c r="I47" s="131">
        <v>0</v>
      </c>
      <c r="J47" s="131"/>
      <c r="K47" s="131">
        <v>0</v>
      </c>
      <c r="L47" s="131"/>
    </row>
    <row r="48" spans="1:12" ht="15.75">
      <c r="A48" s="129">
        <v>41</v>
      </c>
      <c r="B48" s="130" t="s">
        <v>229</v>
      </c>
      <c r="C48" s="131">
        <f>+C50+C51</f>
        <v>5190.3</v>
      </c>
      <c r="D48" s="131">
        <f aca="true" t="shared" si="10" ref="D48:L48">+D50+D51</f>
        <v>4396.1</v>
      </c>
      <c r="E48" s="131">
        <f t="shared" si="10"/>
        <v>-794.2</v>
      </c>
      <c r="F48" s="131">
        <f t="shared" si="4"/>
        <v>84.7</v>
      </c>
      <c r="G48" s="131">
        <f t="shared" si="10"/>
        <v>1011.2</v>
      </c>
      <c r="H48" s="131">
        <f t="shared" si="10"/>
        <v>475.8</v>
      </c>
      <c r="I48" s="131">
        <f t="shared" si="10"/>
        <v>39.3</v>
      </c>
      <c r="J48" s="131">
        <f t="shared" si="10"/>
        <v>17.8</v>
      </c>
      <c r="K48" s="131">
        <f t="shared" si="10"/>
        <v>4179.1</v>
      </c>
      <c r="L48" s="131">
        <f t="shared" si="10"/>
        <v>3920.3</v>
      </c>
    </row>
    <row r="49" spans="1:12" ht="15.75">
      <c r="A49" s="129">
        <v>42</v>
      </c>
      <c r="B49" s="132" t="s">
        <v>44</v>
      </c>
      <c r="C49" s="131">
        <f t="shared" si="1"/>
        <v>0</v>
      </c>
      <c r="D49" s="131">
        <f t="shared" si="2"/>
        <v>0</v>
      </c>
      <c r="E49" s="131">
        <f t="shared" si="3"/>
        <v>0</v>
      </c>
      <c r="F49" s="131"/>
      <c r="G49" s="121">
        <v>0</v>
      </c>
      <c r="H49" s="121"/>
      <c r="I49" s="121">
        <v>0</v>
      </c>
      <c r="J49" s="121"/>
      <c r="K49" s="121">
        <v>0</v>
      </c>
      <c r="L49" s="121"/>
    </row>
    <row r="50" spans="1:12" ht="31.5">
      <c r="A50" s="129">
        <v>43</v>
      </c>
      <c r="B50" s="122" t="s">
        <v>230</v>
      </c>
      <c r="C50" s="121">
        <f t="shared" si="1"/>
        <v>1733.8</v>
      </c>
      <c r="D50" s="121">
        <f t="shared" si="2"/>
        <v>1010.9</v>
      </c>
      <c r="E50" s="121">
        <f t="shared" si="3"/>
        <v>-722.9</v>
      </c>
      <c r="F50" s="121">
        <f t="shared" si="4"/>
        <v>58.3</v>
      </c>
      <c r="G50" s="121">
        <v>1011.2</v>
      </c>
      <c r="H50" s="121">
        <v>475.8</v>
      </c>
      <c r="I50" s="121">
        <v>39.3</v>
      </c>
      <c r="J50" s="121">
        <v>17.8</v>
      </c>
      <c r="K50" s="121">
        <v>722.6</v>
      </c>
      <c r="L50" s="121">
        <v>535.1</v>
      </c>
    </row>
    <row r="51" spans="1:12" ht="15.75">
      <c r="A51" s="129">
        <v>44</v>
      </c>
      <c r="B51" s="122" t="s">
        <v>231</v>
      </c>
      <c r="C51" s="121">
        <f t="shared" si="1"/>
        <v>3456.5</v>
      </c>
      <c r="D51" s="121">
        <f t="shared" si="2"/>
        <v>3385.2</v>
      </c>
      <c r="E51" s="121">
        <f t="shared" si="3"/>
        <v>-71.3</v>
      </c>
      <c r="F51" s="121">
        <f t="shared" si="4"/>
        <v>97.9</v>
      </c>
      <c r="G51" s="121">
        <v>0</v>
      </c>
      <c r="H51" s="121"/>
      <c r="I51" s="121">
        <v>0</v>
      </c>
      <c r="J51" s="121"/>
      <c r="K51" s="121">
        <v>3456.5</v>
      </c>
      <c r="L51" s="121">
        <v>3385.2</v>
      </c>
    </row>
    <row r="52" spans="1:12" ht="31.5">
      <c r="A52" s="129">
        <v>45</v>
      </c>
      <c r="B52" s="130" t="s">
        <v>232</v>
      </c>
      <c r="C52" s="131">
        <f>+C54+C55</f>
        <v>528.6</v>
      </c>
      <c r="D52" s="131">
        <f aca="true" t="shared" si="11" ref="D52:L52">+D54+D55</f>
        <v>494.7</v>
      </c>
      <c r="E52" s="131">
        <f t="shared" si="11"/>
        <v>-33.9</v>
      </c>
      <c r="F52" s="131">
        <f t="shared" si="4"/>
        <v>93.6</v>
      </c>
      <c r="G52" s="131">
        <f t="shared" si="11"/>
        <v>16.6</v>
      </c>
      <c r="H52" s="131">
        <f t="shared" si="11"/>
        <v>16</v>
      </c>
      <c r="I52" s="131">
        <f t="shared" si="11"/>
        <v>0</v>
      </c>
      <c r="J52" s="131">
        <f t="shared" si="11"/>
        <v>0</v>
      </c>
      <c r="K52" s="131">
        <f t="shared" si="11"/>
        <v>512</v>
      </c>
      <c r="L52" s="131">
        <f t="shared" si="11"/>
        <v>478.7</v>
      </c>
    </row>
    <row r="53" spans="1:12" ht="15.75">
      <c r="A53" s="129">
        <v>46</v>
      </c>
      <c r="B53" s="132" t="s">
        <v>44</v>
      </c>
      <c r="C53" s="131">
        <f t="shared" si="1"/>
        <v>0</v>
      </c>
      <c r="D53" s="131">
        <f t="shared" si="2"/>
        <v>0</v>
      </c>
      <c r="E53" s="131">
        <f t="shared" si="3"/>
        <v>0</v>
      </c>
      <c r="F53" s="131"/>
      <c r="G53" s="121">
        <v>0</v>
      </c>
      <c r="H53" s="121"/>
      <c r="I53" s="121">
        <v>0</v>
      </c>
      <c r="J53" s="121"/>
      <c r="K53" s="121">
        <v>0</v>
      </c>
      <c r="L53" s="121"/>
    </row>
    <row r="54" spans="1:12" ht="31.5">
      <c r="A54" s="129">
        <v>47</v>
      </c>
      <c r="B54" s="122" t="s">
        <v>233</v>
      </c>
      <c r="C54" s="121">
        <f t="shared" si="1"/>
        <v>129.5</v>
      </c>
      <c r="D54" s="121">
        <f t="shared" si="2"/>
        <v>95.8</v>
      </c>
      <c r="E54" s="121">
        <f t="shared" si="3"/>
        <v>-33.7</v>
      </c>
      <c r="F54" s="121">
        <f t="shared" si="4"/>
        <v>74</v>
      </c>
      <c r="G54" s="121">
        <f>16.6</f>
        <v>16.6</v>
      </c>
      <c r="H54" s="121">
        <f>20.2-4.2</f>
        <v>16</v>
      </c>
      <c r="I54" s="121">
        <v>0</v>
      </c>
      <c r="J54" s="121"/>
      <c r="K54" s="121">
        <f>112.9</f>
        <v>112.9</v>
      </c>
      <c r="L54" s="121">
        <f>75.6+4.2</f>
        <v>79.8</v>
      </c>
    </row>
    <row r="55" spans="1:12" ht="31.5">
      <c r="A55" s="129">
        <v>48</v>
      </c>
      <c r="B55" s="122" t="s">
        <v>234</v>
      </c>
      <c r="C55" s="121">
        <f t="shared" si="1"/>
        <v>399.1</v>
      </c>
      <c r="D55" s="121">
        <f t="shared" si="2"/>
        <v>398.9</v>
      </c>
      <c r="E55" s="121">
        <f t="shared" si="3"/>
        <v>-0.2</v>
      </c>
      <c r="F55" s="121">
        <f t="shared" si="4"/>
        <v>99.9</v>
      </c>
      <c r="G55" s="121">
        <v>0</v>
      </c>
      <c r="H55" s="121"/>
      <c r="I55" s="121">
        <v>0</v>
      </c>
      <c r="J55" s="121"/>
      <c r="K55" s="121">
        <v>399.1</v>
      </c>
      <c r="L55" s="121">
        <v>398.9</v>
      </c>
    </row>
    <row r="56" spans="1:12" ht="31.5">
      <c r="A56" s="129">
        <v>49</v>
      </c>
      <c r="B56" s="130" t="s">
        <v>235</v>
      </c>
      <c r="C56" s="131">
        <f t="shared" si="1"/>
        <v>2354.7</v>
      </c>
      <c r="D56" s="131">
        <f t="shared" si="2"/>
        <v>1471.6</v>
      </c>
      <c r="E56" s="131">
        <f t="shared" si="3"/>
        <v>-883.1</v>
      </c>
      <c r="F56" s="131">
        <f t="shared" si="4"/>
        <v>62.5</v>
      </c>
      <c r="G56" s="121">
        <v>0</v>
      </c>
      <c r="H56" s="121"/>
      <c r="I56" s="121">
        <v>0</v>
      </c>
      <c r="J56" s="121"/>
      <c r="K56" s="121">
        <v>2354.7</v>
      </c>
      <c r="L56" s="121">
        <v>1471.6</v>
      </c>
    </row>
    <row r="57" spans="1:12" ht="15.75">
      <c r="A57" s="129">
        <v>50</v>
      </c>
      <c r="B57" s="137" t="s">
        <v>236</v>
      </c>
      <c r="C57" s="131">
        <f>+C59+C60</f>
        <v>18131.2</v>
      </c>
      <c r="D57" s="131">
        <f>+D59+D60</f>
        <v>16194.6</v>
      </c>
      <c r="E57" s="131">
        <f>+E59+E60</f>
        <v>-1936.6</v>
      </c>
      <c r="F57" s="131">
        <f t="shared" si="4"/>
        <v>89.3</v>
      </c>
      <c r="G57" s="131">
        <f aca="true" t="shared" si="12" ref="G57:L57">+G59+G60</f>
        <v>0</v>
      </c>
      <c r="H57" s="131">
        <f t="shared" si="12"/>
        <v>0</v>
      </c>
      <c r="I57" s="131">
        <f t="shared" si="12"/>
        <v>0</v>
      </c>
      <c r="J57" s="131">
        <f t="shared" si="12"/>
        <v>0</v>
      </c>
      <c r="K57" s="131">
        <f t="shared" si="12"/>
        <v>18131.2</v>
      </c>
      <c r="L57" s="131">
        <f t="shared" si="12"/>
        <v>16194.6</v>
      </c>
    </row>
    <row r="58" spans="1:12" ht="15.75">
      <c r="A58" s="129">
        <v>51</v>
      </c>
      <c r="B58" s="132" t="s">
        <v>44</v>
      </c>
      <c r="C58" s="131">
        <f t="shared" si="1"/>
        <v>0</v>
      </c>
      <c r="D58" s="131">
        <f t="shared" si="2"/>
        <v>0</v>
      </c>
      <c r="E58" s="131">
        <f t="shared" si="3"/>
        <v>0</v>
      </c>
      <c r="F58" s="131"/>
      <c r="G58" s="121"/>
      <c r="H58" s="121"/>
      <c r="I58" s="121"/>
      <c r="J58" s="121"/>
      <c r="K58" s="121"/>
      <c r="L58" s="121"/>
    </row>
    <row r="59" spans="1:12" ht="31.5">
      <c r="A59" s="129">
        <v>52</v>
      </c>
      <c r="B59" s="122" t="s">
        <v>237</v>
      </c>
      <c r="C59" s="121">
        <f t="shared" si="1"/>
        <v>18131.2</v>
      </c>
      <c r="D59" s="121">
        <f t="shared" si="2"/>
        <v>16194.6</v>
      </c>
      <c r="E59" s="121">
        <f t="shared" si="3"/>
        <v>-1936.6</v>
      </c>
      <c r="F59" s="121">
        <f t="shared" si="4"/>
        <v>89.3</v>
      </c>
      <c r="G59" s="121">
        <v>0</v>
      </c>
      <c r="H59" s="121"/>
      <c r="I59" s="121">
        <v>0</v>
      </c>
      <c r="J59" s="121"/>
      <c r="K59" s="121">
        <v>18131.2</v>
      </c>
      <c r="L59" s="121">
        <f>16194.5+0.1</f>
        <v>16194.6</v>
      </c>
    </row>
    <row r="60" spans="1:12" ht="31.5">
      <c r="A60" s="129">
        <v>53</v>
      </c>
      <c r="B60" s="122" t="s">
        <v>238</v>
      </c>
      <c r="C60" s="121">
        <f t="shared" si="1"/>
        <v>0</v>
      </c>
      <c r="D60" s="121">
        <f t="shared" si="2"/>
        <v>0</v>
      </c>
      <c r="E60" s="121">
        <f t="shared" si="3"/>
        <v>0</v>
      </c>
      <c r="F60" s="121"/>
      <c r="G60" s="121">
        <v>0</v>
      </c>
      <c r="H60" s="121"/>
      <c r="I60" s="121">
        <v>0</v>
      </c>
      <c r="J60" s="121"/>
      <c r="K60" s="121">
        <v>0</v>
      </c>
      <c r="L60" s="121"/>
    </row>
    <row r="61" spans="1:12" ht="31.5">
      <c r="A61" s="129">
        <v>54</v>
      </c>
      <c r="B61" s="137" t="s">
        <v>239</v>
      </c>
      <c r="C61" s="131">
        <f t="shared" si="1"/>
        <v>373.2</v>
      </c>
      <c r="D61" s="131">
        <f t="shared" si="2"/>
        <v>312.9</v>
      </c>
      <c r="E61" s="131">
        <f t="shared" si="3"/>
        <v>-60.3</v>
      </c>
      <c r="F61" s="131">
        <f t="shared" si="4"/>
        <v>83.8</v>
      </c>
      <c r="G61" s="121">
        <v>0</v>
      </c>
      <c r="H61" s="121"/>
      <c r="I61" s="121">
        <v>0</v>
      </c>
      <c r="J61" s="121"/>
      <c r="K61" s="131">
        <v>373.2</v>
      </c>
      <c r="L61" s="131">
        <v>312.9</v>
      </c>
    </row>
    <row r="62" spans="1:12" ht="31.5">
      <c r="A62" s="129">
        <v>55</v>
      </c>
      <c r="B62" s="130" t="s">
        <v>240</v>
      </c>
      <c r="C62" s="131">
        <f t="shared" si="1"/>
        <v>1300</v>
      </c>
      <c r="D62" s="131">
        <f t="shared" si="2"/>
        <v>1300</v>
      </c>
      <c r="E62" s="131">
        <f t="shared" si="3"/>
        <v>0</v>
      </c>
      <c r="F62" s="131">
        <f t="shared" si="4"/>
        <v>100</v>
      </c>
      <c r="G62" s="121">
        <v>0</v>
      </c>
      <c r="H62" s="121"/>
      <c r="I62" s="121">
        <v>0</v>
      </c>
      <c r="J62" s="121"/>
      <c r="K62" s="131">
        <v>1300</v>
      </c>
      <c r="L62" s="131">
        <v>1300</v>
      </c>
    </row>
    <row r="63" spans="1:12" ht="31.5">
      <c r="A63" s="129">
        <v>56</v>
      </c>
      <c r="B63" s="130" t="s">
        <v>241</v>
      </c>
      <c r="C63" s="131">
        <f>+C65+C66</f>
        <v>3019.8</v>
      </c>
      <c r="D63" s="131">
        <f>+D65+D66</f>
        <v>2038.4</v>
      </c>
      <c r="E63" s="131">
        <f>+E65+E66</f>
        <v>-981.4</v>
      </c>
      <c r="F63" s="131">
        <f t="shared" si="4"/>
        <v>67.5</v>
      </c>
      <c r="G63" s="131">
        <f aca="true" t="shared" si="13" ref="G63:L63">+G65+G66</f>
        <v>0</v>
      </c>
      <c r="H63" s="131">
        <f t="shared" si="13"/>
        <v>0</v>
      </c>
      <c r="I63" s="131">
        <f t="shared" si="13"/>
        <v>0</v>
      </c>
      <c r="J63" s="131">
        <f t="shared" si="13"/>
        <v>0</v>
      </c>
      <c r="K63" s="131">
        <f t="shared" si="13"/>
        <v>3019.8</v>
      </c>
      <c r="L63" s="131">
        <f t="shared" si="13"/>
        <v>2038.4</v>
      </c>
    </row>
    <row r="64" spans="1:12" ht="15.75">
      <c r="A64" s="129">
        <v>57</v>
      </c>
      <c r="B64" s="132" t="s">
        <v>44</v>
      </c>
      <c r="C64" s="131">
        <f t="shared" si="1"/>
        <v>0</v>
      </c>
      <c r="D64" s="131">
        <f t="shared" si="2"/>
        <v>0</v>
      </c>
      <c r="E64" s="131">
        <f t="shared" si="3"/>
        <v>0</v>
      </c>
      <c r="F64" s="131"/>
      <c r="G64" s="121"/>
      <c r="H64" s="121"/>
      <c r="I64" s="121"/>
      <c r="J64" s="121"/>
      <c r="K64" s="121"/>
      <c r="L64" s="121"/>
    </row>
    <row r="65" spans="1:12" ht="31.5">
      <c r="A65" s="129">
        <v>58</v>
      </c>
      <c r="B65" s="133" t="s">
        <v>242</v>
      </c>
      <c r="C65" s="121">
        <f t="shared" si="1"/>
        <v>2741.8</v>
      </c>
      <c r="D65" s="121">
        <f t="shared" si="2"/>
        <v>1760.4</v>
      </c>
      <c r="E65" s="121">
        <f t="shared" si="3"/>
        <v>-981.4</v>
      </c>
      <c r="F65" s="121">
        <f t="shared" si="4"/>
        <v>64.2</v>
      </c>
      <c r="G65" s="121">
        <v>0</v>
      </c>
      <c r="H65" s="121"/>
      <c r="I65" s="121">
        <v>0</v>
      </c>
      <c r="J65" s="121"/>
      <c r="K65" s="121">
        <v>2741.8</v>
      </c>
      <c r="L65" s="121">
        <f>1760.5-0.1</f>
        <v>1760.4</v>
      </c>
    </row>
    <row r="66" spans="1:12" ht="47.25">
      <c r="A66" s="129">
        <v>59</v>
      </c>
      <c r="B66" s="133" t="s">
        <v>243</v>
      </c>
      <c r="C66" s="121">
        <f t="shared" si="1"/>
        <v>278</v>
      </c>
      <c r="D66" s="121">
        <f t="shared" si="2"/>
        <v>278</v>
      </c>
      <c r="E66" s="121">
        <f t="shared" si="3"/>
        <v>0</v>
      </c>
      <c r="F66" s="121">
        <f t="shared" si="4"/>
        <v>100</v>
      </c>
      <c r="G66" s="121">
        <v>0</v>
      </c>
      <c r="H66" s="121"/>
      <c r="I66" s="121">
        <v>0</v>
      </c>
      <c r="J66" s="121"/>
      <c r="K66" s="121">
        <v>278</v>
      </c>
      <c r="L66" s="121">
        <v>278</v>
      </c>
    </row>
    <row r="67" spans="1:12" ht="15.75">
      <c r="A67" s="129">
        <v>60</v>
      </c>
      <c r="B67" s="137" t="s">
        <v>244</v>
      </c>
      <c r="C67" s="131">
        <f>+C69+C70</f>
        <v>112.4</v>
      </c>
      <c r="D67" s="131">
        <f aca="true" t="shared" si="14" ref="D67:L67">+D69+D70</f>
        <v>119.1</v>
      </c>
      <c r="E67" s="131">
        <f t="shared" si="14"/>
        <v>6.7</v>
      </c>
      <c r="F67" s="131">
        <f t="shared" si="4"/>
        <v>106</v>
      </c>
      <c r="G67" s="131">
        <f t="shared" si="14"/>
        <v>27.4</v>
      </c>
      <c r="H67" s="131">
        <f t="shared" si="14"/>
        <v>27.3</v>
      </c>
      <c r="I67" s="131">
        <f t="shared" si="14"/>
        <v>0</v>
      </c>
      <c r="J67" s="131">
        <f t="shared" si="14"/>
        <v>0</v>
      </c>
      <c r="K67" s="131">
        <f t="shared" si="14"/>
        <v>85</v>
      </c>
      <c r="L67" s="131">
        <f t="shared" si="14"/>
        <v>91.8</v>
      </c>
    </row>
    <row r="68" spans="1:12" ht="15.75">
      <c r="A68" s="129">
        <v>61</v>
      </c>
      <c r="B68" s="132" t="s">
        <v>44</v>
      </c>
      <c r="C68" s="131">
        <f t="shared" si="1"/>
        <v>0</v>
      </c>
      <c r="D68" s="131">
        <f t="shared" si="2"/>
        <v>0</v>
      </c>
      <c r="E68" s="131">
        <f t="shared" si="3"/>
        <v>0</v>
      </c>
      <c r="F68" s="131"/>
      <c r="G68" s="121">
        <v>0</v>
      </c>
      <c r="H68" s="121"/>
      <c r="I68" s="121">
        <v>0</v>
      </c>
      <c r="J68" s="121"/>
      <c r="K68" s="121">
        <v>0</v>
      </c>
      <c r="L68" s="121"/>
    </row>
    <row r="69" spans="1:12" ht="31.5">
      <c r="A69" s="129">
        <v>62</v>
      </c>
      <c r="B69" s="122" t="s">
        <v>245</v>
      </c>
      <c r="C69" s="121">
        <f t="shared" si="1"/>
        <v>27.4</v>
      </c>
      <c r="D69" s="121">
        <f t="shared" si="2"/>
        <v>27.3</v>
      </c>
      <c r="E69" s="121">
        <f t="shared" si="3"/>
        <v>-0.1</v>
      </c>
      <c r="F69" s="121">
        <f t="shared" si="4"/>
        <v>99.6</v>
      </c>
      <c r="G69" s="121">
        <v>27.4</v>
      </c>
      <c r="H69" s="121">
        <v>27.3</v>
      </c>
      <c r="I69" s="121">
        <v>0</v>
      </c>
      <c r="J69" s="121"/>
      <c r="K69" s="121">
        <v>0</v>
      </c>
      <c r="L69" s="121"/>
    </row>
    <row r="70" spans="1:12" ht="15.75">
      <c r="A70" s="129">
        <v>63</v>
      </c>
      <c r="B70" s="133" t="s">
        <v>53</v>
      </c>
      <c r="C70" s="121">
        <f t="shared" si="1"/>
        <v>85</v>
      </c>
      <c r="D70" s="121">
        <f t="shared" si="2"/>
        <v>91.8</v>
      </c>
      <c r="E70" s="121">
        <f t="shared" si="3"/>
        <v>6.8</v>
      </c>
      <c r="F70" s="121">
        <f t="shared" si="4"/>
        <v>108</v>
      </c>
      <c r="G70" s="121">
        <v>0</v>
      </c>
      <c r="H70" s="121"/>
      <c r="I70" s="121">
        <v>0</v>
      </c>
      <c r="J70" s="121"/>
      <c r="K70" s="121">
        <v>85</v>
      </c>
      <c r="L70" s="121">
        <f>85+6.8</f>
        <v>91.8</v>
      </c>
    </row>
    <row r="71" spans="1:12" ht="31.5">
      <c r="A71" s="129">
        <v>64</v>
      </c>
      <c r="B71" s="135" t="s">
        <v>216</v>
      </c>
      <c r="C71" s="131">
        <f>+C73+C74</f>
        <v>783.8</v>
      </c>
      <c r="D71" s="131">
        <f aca="true" t="shared" si="15" ref="D71:L71">+D73+D74</f>
        <v>725</v>
      </c>
      <c r="E71" s="131">
        <f t="shared" si="15"/>
        <v>-58.8</v>
      </c>
      <c r="F71" s="131">
        <f t="shared" si="4"/>
        <v>92.5</v>
      </c>
      <c r="G71" s="131">
        <f t="shared" si="15"/>
        <v>783.8</v>
      </c>
      <c r="H71" s="131">
        <f t="shared" si="15"/>
        <v>725</v>
      </c>
      <c r="I71" s="131">
        <f t="shared" si="15"/>
        <v>0</v>
      </c>
      <c r="J71" s="131">
        <f t="shared" si="15"/>
        <v>0</v>
      </c>
      <c r="K71" s="131">
        <f t="shared" si="15"/>
        <v>0</v>
      </c>
      <c r="L71" s="131">
        <f t="shared" si="15"/>
        <v>0</v>
      </c>
    </row>
    <row r="72" spans="1:12" ht="15.75">
      <c r="A72" s="129">
        <v>65</v>
      </c>
      <c r="B72" s="136" t="s">
        <v>44</v>
      </c>
      <c r="C72" s="131">
        <f t="shared" si="1"/>
        <v>0</v>
      </c>
      <c r="D72" s="131">
        <f t="shared" si="2"/>
        <v>0</v>
      </c>
      <c r="E72" s="131">
        <f t="shared" si="3"/>
        <v>0</v>
      </c>
      <c r="F72" s="131"/>
      <c r="G72" s="121">
        <v>0</v>
      </c>
      <c r="H72" s="121"/>
      <c r="I72" s="121">
        <v>0</v>
      </c>
      <c r="J72" s="121"/>
      <c r="K72" s="121">
        <v>0</v>
      </c>
      <c r="L72" s="121"/>
    </row>
    <row r="73" spans="1:12" ht="15.75">
      <c r="A73" s="129">
        <v>66</v>
      </c>
      <c r="B73" s="133" t="s">
        <v>74</v>
      </c>
      <c r="C73" s="121">
        <f aca="true" t="shared" si="16" ref="C73:C132">+G73+K73</f>
        <v>768.8</v>
      </c>
      <c r="D73" s="121">
        <f aca="true" t="shared" si="17" ref="D73:D132">+H73+L73</f>
        <v>710</v>
      </c>
      <c r="E73" s="121">
        <f aca="true" t="shared" si="18" ref="E73:E132">+D73-C73</f>
        <v>-58.8</v>
      </c>
      <c r="F73" s="121">
        <f aca="true" t="shared" si="19" ref="F73:F133">+D73/C73*100</f>
        <v>92.4</v>
      </c>
      <c r="G73" s="121">
        <v>768.8</v>
      </c>
      <c r="H73" s="121">
        <v>710</v>
      </c>
      <c r="I73" s="121">
        <v>0</v>
      </c>
      <c r="J73" s="121"/>
      <c r="K73" s="121">
        <v>0</v>
      </c>
      <c r="L73" s="121"/>
    </row>
    <row r="74" spans="1:12" ht="15.75">
      <c r="A74" s="129">
        <v>67</v>
      </c>
      <c r="B74" s="133" t="s">
        <v>71</v>
      </c>
      <c r="C74" s="121">
        <f t="shared" si="16"/>
        <v>15</v>
      </c>
      <c r="D74" s="121">
        <f t="shared" si="17"/>
        <v>15</v>
      </c>
      <c r="E74" s="121">
        <f t="shared" si="18"/>
        <v>0</v>
      </c>
      <c r="F74" s="121">
        <f t="shared" si="19"/>
        <v>100</v>
      </c>
      <c r="G74" s="121">
        <v>15</v>
      </c>
      <c r="H74" s="121">
        <v>15</v>
      </c>
      <c r="I74" s="121">
        <v>0</v>
      </c>
      <c r="J74" s="121"/>
      <c r="K74" s="121">
        <v>0</v>
      </c>
      <c r="L74" s="121"/>
    </row>
    <row r="75" spans="1:12" ht="15.75">
      <c r="A75" s="129">
        <v>68</v>
      </c>
      <c r="B75" s="130" t="s">
        <v>246</v>
      </c>
      <c r="C75" s="131">
        <f>+C76+C77</f>
        <v>520.5</v>
      </c>
      <c r="D75" s="131">
        <f>+D76+D77</f>
        <v>375.2</v>
      </c>
      <c r="E75" s="131">
        <f>+E76+E77</f>
        <v>-145.3</v>
      </c>
      <c r="F75" s="131">
        <f t="shared" si="19"/>
        <v>72.1</v>
      </c>
      <c r="G75" s="131">
        <f aca="true" t="shared" si="20" ref="G75:L75">+G76+G77</f>
        <v>232</v>
      </c>
      <c r="H75" s="131">
        <f t="shared" si="20"/>
        <v>187.9</v>
      </c>
      <c r="I75" s="131">
        <f t="shared" si="20"/>
        <v>0</v>
      </c>
      <c r="J75" s="131">
        <f t="shared" si="20"/>
        <v>0</v>
      </c>
      <c r="K75" s="131">
        <f t="shared" si="20"/>
        <v>288.5</v>
      </c>
      <c r="L75" s="131">
        <f t="shared" si="20"/>
        <v>187.3</v>
      </c>
    </row>
    <row r="76" spans="1:12" ht="31.5">
      <c r="A76" s="129">
        <v>69</v>
      </c>
      <c r="B76" s="130" t="s">
        <v>228</v>
      </c>
      <c r="C76" s="131">
        <f t="shared" si="16"/>
        <v>432.5</v>
      </c>
      <c r="D76" s="131">
        <f t="shared" si="17"/>
        <v>295.6</v>
      </c>
      <c r="E76" s="131">
        <f t="shared" si="18"/>
        <v>-136.9</v>
      </c>
      <c r="F76" s="131">
        <f t="shared" si="19"/>
        <v>68.3</v>
      </c>
      <c r="G76" s="131">
        <v>232</v>
      </c>
      <c r="H76" s="131">
        <v>187.9</v>
      </c>
      <c r="I76" s="131">
        <v>0</v>
      </c>
      <c r="J76" s="131"/>
      <c r="K76" s="131">
        <v>200.5</v>
      </c>
      <c r="L76" s="131">
        <v>107.7</v>
      </c>
    </row>
    <row r="77" spans="1:12" ht="15.75">
      <c r="A77" s="129">
        <v>70</v>
      </c>
      <c r="B77" s="137" t="s">
        <v>52</v>
      </c>
      <c r="C77" s="131">
        <f>+C79</f>
        <v>88</v>
      </c>
      <c r="D77" s="131">
        <f aca="true" t="shared" si="21" ref="D77:L77">+D79</f>
        <v>79.6</v>
      </c>
      <c r="E77" s="131">
        <f t="shared" si="21"/>
        <v>-8.4</v>
      </c>
      <c r="F77" s="131">
        <f t="shared" si="19"/>
        <v>90.5</v>
      </c>
      <c r="G77" s="131">
        <f t="shared" si="21"/>
        <v>0</v>
      </c>
      <c r="H77" s="131">
        <f t="shared" si="21"/>
        <v>0</v>
      </c>
      <c r="I77" s="131">
        <f t="shared" si="21"/>
        <v>0</v>
      </c>
      <c r="J77" s="131">
        <f t="shared" si="21"/>
        <v>0</v>
      </c>
      <c r="K77" s="131">
        <f t="shared" si="21"/>
        <v>88</v>
      </c>
      <c r="L77" s="131">
        <f t="shared" si="21"/>
        <v>79.6</v>
      </c>
    </row>
    <row r="78" spans="1:12" ht="15.75">
      <c r="A78" s="129">
        <v>71</v>
      </c>
      <c r="B78" s="132" t="s">
        <v>44</v>
      </c>
      <c r="C78" s="131">
        <f t="shared" si="16"/>
        <v>0</v>
      </c>
      <c r="D78" s="131">
        <f t="shared" si="17"/>
        <v>0</v>
      </c>
      <c r="E78" s="131">
        <f t="shared" si="18"/>
        <v>0</v>
      </c>
      <c r="F78" s="131"/>
      <c r="G78" s="121">
        <v>0</v>
      </c>
      <c r="H78" s="121"/>
      <c r="I78" s="121">
        <v>0</v>
      </c>
      <c r="J78" s="121"/>
      <c r="K78" s="121">
        <v>0</v>
      </c>
      <c r="L78" s="121"/>
    </row>
    <row r="79" spans="1:12" ht="15.75">
      <c r="A79" s="129">
        <v>72</v>
      </c>
      <c r="B79" s="133" t="s">
        <v>53</v>
      </c>
      <c r="C79" s="121">
        <f t="shared" si="16"/>
        <v>88</v>
      </c>
      <c r="D79" s="121">
        <f t="shared" si="17"/>
        <v>79.6</v>
      </c>
      <c r="E79" s="121">
        <f t="shared" si="18"/>
        <v>-8.4</v>
      </c>
      <c r="F79" s="121">
        <f t="shared" si="19"/>
        <v>90.5</v>
      </c>
      <c r="G79" s="121">
        <v>0</v>
      </c>
      <c r="H79" s="121"/>
      <c r="I79" s="121">
        <v>0</v>
      </c>
      <c r="J79" s="121"/>
      <c r="K79" s="121">
        <v>88</v>
      </c>
      <c r="L79" s="121">
        <f>44+35.6</f>
        <v>79.6</v>
      </c>
    </row>
    <row r="80" spans="1:12" ht="15.75">
      <c r="A80" s="129">
        <v>73</v>
      </c>
      <c r="B80" s="130" t="s">
        <v>247</v>
      </c>
      <c r="C80" s="131">
        <f>+C81+C82+C86+C90+C91</f>
        <v>74318.7</v>
      </c>
      <c r="D80" s="131">
        <f>+D81+D82+D86+D90+D91</f>
        <v>70552.6</v>
      </c>
      <c r="E80" s="131">
        <f>+E81+E82+E86+E90+E91</f>
        <v>-3766.1</v>
      </c>
      <c r="F80" s="131">
        <f t="shared" si="19"/>
        <v>94.9</v>
      </c>
      <c r="G80" s="131">
        <f aca="true" t="shared" si="22" ref="G80:L80">+G81+G82+G86+G90+G91</f>
        <v>73554.5</v>
      </c>
      <c r="H80" s="131">
        <f t="shared" si="22"/>
        <v>69852.6</v>
      </c>
      <c r="I80" s="131">
        <f t="shared" si="22"/>
        <v>815.1</v>
      </c>
      <c r="J80" s="131">
        <f t="shared" si="22"/>
        <v>719.1</v>
      </c>
      <c r="K80" s="131">
        <f t="shared" si="22"/>
        <v>764.2</v>
      </c>
      <c r="L80" s="131">
        <f t="shared" si="22"/>
        <v>700</v>
      </c>
    </row>
    <row r="81" spans="1:12" ht="31.5">
      <c r="A81" s="129">
        <v>74</v>
      </c>
      <c r="B81" s="130" t="s">
        <v>248</v>
      </c>
      <c r="C81" s="131">
        <f t="shared" si="16"/>
        <v>18255.3</v>
      </c>
      <c r="D81" s="131">
        <f t="shared" si="17"/>
        <v>18255.1</v>
      </c>
      <c r="E81" s="131">
        <f t="shared" si="18"/>
        <v>-0.2</v>
      </c>
      <c r="F81" s="131">
        <f t="shared" si="19"/>
        <v>100</v>
      </c>
      <c r="G81" s="131">
        <v>18255.3</v>
      </c>
      <c r="H81" s="131">
        <v>18255.1</v>
      </c>
      <c r="I81" s="131">
        <v>0</v>
      </c>
      <c r="J81" s="131"/>
      <c r="K81" s="131">
        <v>0</v>
      </c>
      <c r="L81" s="131"/>
    </row>
    <row r="82" spans="1:12" ht="31.5">
      <c r="A82" s="129">
        <v>75</v>
      </c>
      <c r="B82" s="130" t="s">
        <v>93</v>
      </c>
      <c r="C82" s="131">
        <f>+C84+C85</f>
        <v>21789.1</v>
      </c>
      <c r="D82" s="131">
        <f aca="true" t="shared" si="23" ref="D82:L82">+D84+D85</f>
        <v>21714.2</v>
      </c>
      <c r="E82" s="131">
        <f t="shared" si="23"/>
        <v>-74.9</v>
      </c>
      <c r="F82" s="131">
        <f t="shared" si="19"/>
        <v>99.7</v>
      </c>
      <c r="G82" s="131">
        <f t="shared" si="23"/>
        <v>21397.1</v>
      </c>
      <c r="H82" s="131">
        <f t="shared" si="23"/>
        <v>21322.3</v>
      </c>
      <c r="I82" s="131">
        <f t="shared" si="23"/>
        <v>815.1</v>
      </c>
      <c r="J82" s="131">
        <f t="shared" si="23"/>
        <v>719.1</v>
      </c>
      <c r="K82" s="131">
        <f t="shared" si="23"/>
        <v>392</v>
      </c>
      <c r="L82" s="131">
        <f t="shared" si="23"/>
        <v>391.9</v>
      </c>
    </row>
    <row r="83" spans="1:12" ht="15.75">
      <c r="A83" s="129">
        <v>76</v>
      </c>
      <c r="B83" s="132" t="s">
        <v>44</v>
      </c>
      <c r="C83" s="131">
        <f t="shared" si="16"/>
        <v>0</v>
      </c>
      <c r="D83" s="131">
        <f t="shared" si="17"/>
        <v>0</v>
      </c>
      <c r="E83" s="131">
        <f t="shared" si="18"/>
        <v>0</v>
      </c>
      <c r="F83" s="131"/>
      <c r="G83" s="121">
        <v>0</v>
      </c>
      <c r="H83" s="121"/>
      <c r="I83" s="121">
        <v>0</v>
      </c>
      <c r="J83" s="121"/>
      <c r="K83" s="121">
        <v>0</v>
      </c>
      <c r="L83" s="121"/>
    </row>
    <row r="84" spans="1:16" ht="31.5">
      <c r="A84" s="129">
        <v>77</v>
      </c>
      <c r="B84" s="122" t="s">
        <v>249</v>
      </c>
      <c r="C84" s="121">
        <f t="shared" si="16"/>
        <v>21728.3</v>
      </c>
      <c r="D84" s="121">
        <f t="shared" si="17"/>
        <v>21628.4</v>
      </c>
      <c r="E84" s="121">
        <f t="shared" si="18"/>
        <v>-99.9</v>
      </c>
      <c r="F84" s="121">
        <f t="shared" si="19"/>
        <v>99.5</v>
      </c>
      <c r="G84" s="121">
        <f>21300.8+64.9+2.8</f>
        <v>21368.5</v>
      </c>
      <c r="H84" s="121">
        <v>21268.7</v>
      </c>
      <c r="I84" s="121">
        <v>807.9</v>
      </c>
      <c r="J84" s="121">
        <v>712</v>
      </c>
      <c r="K84" s="121">
        <v>359.8</v>
      </c>
      <c r="L84" s="121">
        <v>359.7</v>
      </c>
      <c r="M84" s="12">
        <f>64.9+2.8</f>
        <v>67.7</v>
      </c>
      <c r="O84" s="12">
        <f>21728.3-21725.5</f>
        <v>2.79999999999927</v>
      </c>
      <c r="P84" s="12" t="s">
        <v>357</v>
      </c>
    </row>
    <row r="85" spans="1:12" ht="47.25">
      <c r="A85" s="129">
        <v>78</v>
      </c>
      <c r="B85" s="133" t="s">
        <v>250</v>
      </c>
      <c r="C85" s="121">
        <f t="shared" si="16"/>
        <v>60.8</v>
      </c>
      <c r="D85" s="121">
        <f>+H85+L85</f>
        <v>85.8</v>
      </c>
      <c r="E85" s="121">
        <f t="shared" si="18"/>
        <v>25</v>
      </c>
      <c r="F85" s="121">
        <f t="shared" si="19"/>
        <v>141.1</v>
      </c>
      <c r="G85" s="121">
        <v>28.6</v>
      </c>
      <c r="H85" s="121">
        <f>17.4+36.1+0.1</f>
        <v>53.6</v>
      </c>
      <c r="I85" s="121">
        <v>7.2</v>
      </c>
      <c r="J85" s="121">
        <v>7.1</v>
      </c>
      <c r="K85" s="121">
        <v>32.2</v>
      </c>
      <c r="L85" s="121">
        <v>32.2</v>
      </c>
    </row>
    <row r="86" spans="1:12" ht="15.75">
      <c r="A86" s="129">
        <v>79</v>
      </c>
      <c r="B86" s="130" t="s">
        <v>251</v>
      </c>
      <c r="C86" s="131">
        <f>+C88+C89</f>
        <v>755.1</v>
      </c>
      <c r="D86" s="131">
        <f aca="true" t="shared" si="24" ref="D86:L86">+D88+D89</f>
        <v>1441.2</v>
      </c>
      <c r="E86" s="131">
        <f t="shared" si="24"/>
        <v>686.1</v>
      </c>
      <c r="F86" s="131">
        <f t="shared" si="19"/>
        <v>190.9</v>
      </c>
      <c r="G86" s="131">
        <f t="shared" si="24"/>
        <v>711.3</v>
      </c>
      <c r="H86" s="131">
        <f t="shared" si="24"/>
        <v>1411.3</v>
      </c>
      <c r="I86" s="131">
        <f t="shared" si="24"/>
        <v>0</v>
      </c>
      <c r="J86" s="131">
        <f t="shared" si="24"/>
        <v>0</v>
      </c>
      <c r="K86" s="131">
        <f t="shared" si="24"/>
        <v>43.8</v>
      </c>
      <c r="L86" s="131">
        <f t="shared" si="24"/>
        <v>29.9</v>
      </c>
    </row>
    <row r="87" spans="1:12" ht="15.75">
      <c r="A87" s="129">
        <v>80</v>
      </c>
      <c r="B87" s="132" t="s">
        <v>44</v>
      </c>
      <c r="C87" s="131">
        <f t="shared" si="16"/>
        <v>0</v>
      </c>
      <c r="D87" s="131">
        <f t="shared" si="17"/>
        <v>0</v>
      </c>
      <c r="E87" s="131">
        <f t="shared" si="18"/>
        <v>0</v>
      </c>
      <c r="F87" s="131"/>
      <c r="G87" s="121">
        <v>0</v>
      </c>
      <c r="H87" s="121"/>
      <c r="I87" s="121">
        <v>0</v>
      </c>
      <c r="J87" s="121"/>
      <c r="K87" s="121">
        <v>0</v>
      </c>
      <c r="L87" s="121"/>
    </row>
    <row r="88" spans="1:14" ht="31.5">
      <c r="A88" s="129">
        <v>81</v>
      </c>
      <c r="B88" s="133" t="s">
        <v>252</v>
      </c>
      <c r="C88" s="121">
        <f t="shared" si="16"/>
        <v>85.1</v>
      </c>
      <c r="D88" s="121">
        <f t="shared" si="17"/>
        <v>71.2</v>
      </c>
      <c r="E88" s="121">
        <f t="shared" si="18"/>
        <v>-13.9</v>
      </c>
      <c r="F88" s="121">
        <f t="shared" si="19"/>
        <v>83.7</v>
      </c>
      <c r="G88" s="121">
        <f>106.2-64.9</f>
        <v>41.3</v>
      </c>
      <c r="H88" s="121">
        <v>41.3</v>
      </c>
      <c r="I88" s="121">
        <v>0</v>
      </c>
      <c r="J88" s="121"/>
      <c r="K88" s="121">
        <v>43.8</v>
      </c>
      <c r="L88" s="121">
        <v>29.9</v>
      </c>
      <c r="M88" s="12">
        <v>-64.9</v>
      </c>
      <c r="N88" s="12" t="s">
        <v>356</v>
      </c>
    </row>
    <row r="89" spans="1:12" ht="31.5">
      <c r="A89" s="129">
        <v>82</v>
      </c>
      <c r="B89" s="133" t="s">
        <v>253</v>
      </c>
      <c r="C89" s="121">
        <f t="shared" si="16"/>
        <v>670</v>
      </c>
      <c r="D89" s="121">
        <f t="shared" si="17"/>
        <v>1370</v>
      </c>
      <c r="E89" s="121">
        <f t="shared" si="18"/>
        <v>700</v>
      </c>
      <c r="F89" s="121">
        <f t="shared" si="19"/>
        <v>204.5</v>
      </c>
      <c r="G89" s="121">
        <v>670</v>
      </c>
      <c r="H89" s="121">
        <v>1370</v>
      </c>
      <c r="I89" s="121">
        <v>0</v>
      </c>
      <c r="J89" s="121"/>
      <c r="K89" s="121">
        <v>0</v>
      </c>
      <c r="L89" s="121"/>
    </row>
    <row r="90" spans="1:12" ht="31.5">
      <c r="A90" s="129">
        <v>83</v>
      </c>
      <c r="B90" s="130" t="s">
        <v>254</v>
      </c>
      <c r="C90" s="131">
        <f t="shared" si="16"/>
        <v>16071.9</v>
      </c>
      <c r="D90" s="131">
        <f t="shared" si="17"/>
        <v>16056.4</v>
      </c>
      <c r="E90" s="131">
        <f t="shared" si="18"/>
        <v>-15.5</v>
      </c>
      <c r="F90" s="131">
        <f t="shared" si="19"/>
        <v>99.9</v>
      </c>
      <c r="G90" s="131">
        <v>16038.5</v>
      </c>
      <c r="H90" s="131">
        <v>16023.1</v>
      </c>
      <c r="I90" s="131">
        <v>0</v>
      </c>
      <c r="J90" s="131"/>
      <c r="K90" s="131">
        <v>33.4</v>
      </c>
      <c r="L90" s="131">
        <v>33.3</v>
      </c>
    </row>
    <row r="91" spans="1:12" ht="15.75">
      <c r="A91" s="129">
        <v>84</v>
      </c>
      <c r="B91" s="137" t="s">
        <v>52</v>
      </c>
      <c r="C91" s="131">
        <f>+C93+C94+C95</f>
        <v>17447.3</v>
      </c>
      <c r="D91" s="131">
        <f aca="true" t="shared" si="25" ref="D91:L91">+D93+D94+D95</f>
        <v>13085.7</v>
      </c>
      <c r="E91" s="131">
        <f t="shared" si="25"/>
        <v>-4361.6</v>
      </c>
      <c r="F91" s="131">
        <f t="shared" si="19"/>
        <v>75</v>
      </c>
      <c r="G91" s="131">
        <f t="shared" si="25"/>
        <v>17152.3</v>
      </c>
      <c r="H91" s="131">
        <f t="shared" si="25"/>
        <v>12840.8</v>
      </c>
      <c r="I91" s="131">
        <f t="shared" si="25"/>
        <v>0</v>
      </c>
      <c r="J91" s="131">
        <f t="shared" si="25"/>
        <v>0</v>
      </c>
      <c r="K91" s="131">
        <f t="shared" si="25"/>
        <v>295</v>
      </c>
      <c r="L91" s="131">
        <f t="shared" si="25"/>
        <v>244.9</v>
      </c>
    </row>
    <row r="92" spans="1:12" ht="15.75">
      <c r="A92" s="129">
        <v>85</v>
      </c>
      <c r="B92" s="132" t="s">
        <v>44</v>
      </c>
      <c r="C92" s="131">
        <f t="shared" si="16"/>
        <v>0</v>
      </c>
      <c r="D92" s="131">
        <f t="shared" si="17"/>
        <v>0</v>
      </c>
      <c r="E92" s="131">
        <f t="shared" si="18"/>
        <v>0</v>
      </c>
      <c r="F92" s="131"/>
      <c r="G92" s="121">
        <v>0</v>
      </c>
      <c r="H92" s="121"/>
      <c r="I92" s="121">
        <v>0</v>
      </c>
      <c r="J92" s="121"/>
      <c r="K92" s="121">
        <v>0</v>
      </c>
      <c r="L92" s="121"/>
    </row>
    <row r="93" spans="1:14" ht="31.5">
      <c r="A93" s="129">
        <v>86</v>
      </c>
      <c r="B93" s="122" t="s">
        <v>245</v>
      </c>
      <c r="C93" s="121">
        <f t="shared" si="16"/>
        <v>16248.3</v>
      </c>
      <c r="D93" s="121">
        <f t="shared" si="17"/>
        <v>11923.5</v>
      </c>
      <c r="E93" s="121">
        <f t="shared" si="18"/>
        <v>-4324.8</v>
      </c>
      <c r="F93" s="121">
        <f t="shared" si="19"/>
        <v>73.4</v>
      </c>
      <c r="G93" s="121">
        <f>16046.1-2.8</f>
        <v>16043.3</v>
      </c>
      <c r="H93" s="121">
        <v>11768.6</v>
      </c>
      <c r="I93" s="121">
        <v>0</v>
      </c>
      <c r="J93" s="121"/>
      <c r="K93" s="121">
        <v>205</v>
      </c>
      <c r="L93" s="121">
        <v>154.9</v>
      </c>
      <c r="M93" s="12">
        <v>-2.8</v>
      </c>
      <c r="N93" s="12" t="s">
        <v>356</v>
      </c>
    </row>
    <row r="94" spans="1:12" ht="47.25">
      <c r="A94" s="129">
        <v>87</v>
      </c>
      <c r="B94" s="133" t="s">
        <v>255</v>
      </c>
      <c r="C94" s="121">
        <f t="shared" si="16"/>
        <v>90</v>
      </c>
      <c r="D94" s="121">
        <f t="shared" si="17"/>
        <v>90</v>
      </c>
      <c r="E94" s="121">
        <f t="shared" si="18"/>
        <v>0</v>
      </c>
      <c r="F94" s="121">
        <f t="shared" si="19"/>
        <v>100</v>
      </c>
      <c r="G94" s="121">
        <v>0</v>
      </c>
      <c r="H94" s="121"/>
      <c r="I94" s="121">
        <v>0</v>
      </c>
      <c r="J94" s="121"/>
      <c r="K94" s="121">
        <v>90</v>
      </c>
      <c r="L94" s="121">
        <v>90</v>
      </c>
    </row>
    <row r="95" spans="1:12" ht="15.75">
      <c r="A95" s="129">
        <v>88</v>
      </c>
      <c r="B95" s="133" t="s">
        <v>53</v>
      </c>
      <c r="C95" s="121">
        <f t="shared" si="16"/>
        <v>1109</v>
      </c>
      <c r="D95" s="121">
        <f t="shared" si="17"/>
        <v>1072.2</v>
      </c>
      <c r="E95" s="121">
        <f t="shared" si="18"/>
        <v>-36.8</v>
      </c>
      <c r="F95" s="121">
        <f t="shared" si="19"/>
        <v>96.7</v>
      </c>
      <c r="G95" s="121">
        <v>1109</v>
      </c>
      <c r="H95" s="121">
        <f>934.2+138</f>
        <v>1072.2</v>
      </c>
      <c r="I95" s="121">
        <v>0</v>
      </c>
      <c r="J95" s="121"/>
      <c r="K95" s="121">
        <v>0</v>
      </c>
      <c r="L95" s="121"/>
    </row>
    <row r="96" spans="1:12" ht="15.75">
      <c r="A96" s="129">
        <v>89</v>
      </c>
      <c r="B96" s="130" t="s">
        <v>256</v>
      </c>
      <c r="C96" s="131">
        <f>+C97+C103+C107</f>
        <v>217053.5</v>
      </c>
      <c r="D96" s="131">
        <f>+D97+D103+D107</f>
        <v>215023.8</v>
      </c>
      <c r="E96" s="131">
        <f>+E97+E103+E107</f>
        <v>-2029.7</v>
      </c>
      <c r="F96" s="131">
        <f t="shared" si="19"/>
        <v>99.1</v>
      </c>
      <c r="G96" s="131">
        <f aca="true" t="shared" si="26" ref="G96:L96">+G97+G103+G107</f>
        <v>216090</v>
      </c>
      <c r="H96" s="131">
        <f t="shared" si="26"/>
        <v>214046.1</v>
      </c>
      <c r="I96" s="131">
        <f t="shared" si="26"/>
        <v>139746.8</v>
      </c>
      <c r="J96" s="131">
        <f t="shared" si="26"/>
        <v>139089.8</v>
      </c>
      <c r="K96" s="131">
        <f t="shared" si="26"/>
        <v>963.5</v>
      </c>
      <c r="L96" s="131">
        <f t="shared" si="26"/>
        <v>977.7</v>
      </c>
    </row>
    <row r="97" spans="1:12" ht="15.75">
      <c r="A97" s="129">
        <v>90</v>
      </c>
      <c r="B97" s="130" t="s">
        <v>54</v>
      </c>
      <c r="C97" s="131">
        <f>+C99+C100+C101+C102</f>
        <v>193802.2</v>
      </c>
      <c r="D97" s="131">
        <f aca="true" t="shared" si="27" ref="D97:L97">+D99+D100+D101+D102</f>
        <v>191609.9</v>
      </c>
      <c r="E97" s="131">
        <f t="shared" si="27"/>
        <v>-2192.3</v>
      </c>
      <c r="F97" s="131">
        <f t="shared" si="19"/>
        <v>98.9</v>
      </c>
      <c r="G97" s="131">
        <f t="shared" si="27"/>
        <v>193010.1</v>
      </c>
      <c r="H97" s="131">
        <f t="shared" si="27"/>
        <v>190820.3</v>
      </c>
      <c r="I97" s="131">
        <f t="shared" si="27"/>
        <v>128258.6</v>
      </c>
      <c r="J97" s="131">
        <f t="shared" si="27"/>
        <v>127728.5</v>
      </c>
      <c r="K97" s="131">
        <f t="shared" si="27"/>
        <v>792.1</v>
      </c>
      <c r="L97" s="131">
        <f t="shared" si="27"/>
        <v>789.6</v>
      </c>
    </row>
    <row r="98" spans="1:12" ht="15.75">
      <c r="A98" s="129">
        <v>91</v>
      </c>
      <c r="B98" s="132" t="s">
        <v>44</v>
      </c>
      <c r="C98" s="131">
        <f t="shared" si="16"/>
        <v>0</v>
      </c>
      <c r="D98" s="131">
        <f t="shared" si="17"/>
        <v>0</v>
      </c>
      <c r="E98" s="131">
        <f t="shared" si="18"/>
        <v>0</v>
      </c>
      <c r="F98" s="131"/>
      <c r="G98" s="121">
        <v>0</v>
      </c>
      <c r="H98" s="121"/>
      <c r="I98" s="121">
        <v>0</v>
      </c>
      <c r="J98" s="121"/>
      <c r="K98" s="121">
        <v>0</v>
      </c>
      <c r="L98" s="121"/>
    </row>
    <row r="99" spans="1:12" ht="31.5">
      <c r="A99" s="129">
        <v>92</v>
      </c>
      <c r="B99" s="122" t="s">
        <v>257</v>
      </c>
      <c r="C99" s="121">
        <f t="shared" si="16"/>
        <v>68022</v>
      </c>
      <c r="D99" s="121">
        <f t="shared" si="17"/>
        <v>67634.9</v>
      </c>
      <c r="E99" s="121">
        <f t="shared" si="18"/>
        <v>-387.1</v>
      </c>
      <c r="F99" s="121">
        <f t="shared" si="19"/>
        <v>99.4</v>
      </c>
      <c r="G99" s="121">
        <f>68022-14.4</f>
        <v>68007.6</v>
      </c>
      <c r="H99" s="121">
        <f>67465.5+155</f>
        <v>67620.5</v>
      </c>
      <c r="I99" s="121">
        <v>45740</v>
      </c>
      <c r="J99" s="121">
        <f>45522+0</f>
        <v>45522</v>
      </c>
      <c r="K99" s="121">
        <v>14.4</v>
      </c>
      <c r="L99" s="121">
        <v>14.4</v>
      </c>
    </row>
    <row r="100" spans="1:12" ht="31.5">
      <c r="A100" s="129">
        <v>93</v>
      </c>
      <c r="B100" s="133" t="s">
        <v>258</v>
      </c>
      <c r="C100" s="121">
        <f t="shared" si="16"/>
        <v>107485.1</v>
      </c>
      <c r="D100" s="121">
        <f t="shared" si="17"/>
        <v>107373.8</v>
      </c>
      <c r="E100" s="121">
        <f t="shared" si="18"/>
        <v>-111.3</v>
      </c>
      <c r="F100" s="121">
        <f t="shared" si="19"/>
        <v>99.9</v>
      </c>
      <c r="G100" s="121">
        <f>107191.7-325.4-37.1</f>
        <v>106829.2</v>
      </c>
      <c r="H100" s="121">
        <v>106717.9</v>
      </c>
      <c r="I100" s="121">
        <f>78692-325.4-0.1</f>
        <v>78366.5</v>
      </c>
      <c r="J100" s="121">
        <v>78277.3</v>
      </c>
      <c r="K100" s="121">
        <f>293.4+325.4+37.1</f>
        <v>655.9</v>
      </c>
      <c r="L100" s="121">
        <v>655.9</v>
      </c>
    </row>
    <row r="101" spans="1:12" ht="47.25">
      <c r="A101" s="129">
        <v>94</v>
      </c>
      <c r="B101" s="139" t="s">
        <v>259</v>
      </c>
      <c r="C101" s="121">
        <f t="shared" si="16"/>
        <v>2757</v>
      </c>
      <c r="D101" s="121">
        <f t="shared" si="17"/>
        <v>2757</v>
      </c>
      <c r="E101" s="121">
        <f t="shared" si="18"/>
        <v>0</v>
      </c>
      <c r="F101" s="121">
        <f t="shared" si="19"/>
        <v>100</v>
      </c>
      <c r="G101" s="121">
        <v>2757</v>
      </c>
      <c r="H101" s="121">
        <v>2757</v>
      </c>
      <c r="I101" s="121">
        <v>1456.3</v>
      </c>
      <c r="J101" s="121">
        <v>1441.5</v>
      </c>
      <c r="K101" s="121">
        <v>0</v>
      </c>
      <c r="L101" s="121"/>
    </row>
    <row r="102" spans="1:12" ht="31.5">
      <c r="A102" s="129">
        <v>95</v>
      </c>
      <c r="B102" s="133" t="s">
        <v>260</v>
      </c>
      <c r="C102" s="121">
        <f t="shared" si="16"/>
        <v>15538.1</v>
      </c>
      <c r="D102" s="121">
        <f t="shared" si="17"/>
        <v>13844.2</v>
      </c>
      <c r="E102" s="121">
        <f t="shared" si="18"/>
        <v>-1693.9</v>
      </c>
      <c r="F102" s="121">
        <f t="shared" si="19"/>
        <v>89.1</v>
      </c>
      <c r="G102" s="121">
        <f>15449.1-32.8</f>
        <v>15416.3</v>
      </c>
      <c r="H102" s="121">
        <v>13724.9</v>
      </c>
      <c r="I102" s="121">
        <f>2712.3-16.5</f>
        <v>2695.8</v>
      </c>
      <c r="J102" s="121">
        <v>2487.7</v>
      </c>
      <c r="K102" s="121">
        <f>89+16.5+16.3</f>
        <v>121.8</v>
      </c>
      <c r="L102" s="121">
        <v>119.3</v>
      </c>
    </row>
    <row r="103" spans="1:12" ht="31.5">
      <c r="A103" s="129">
        <v>96</v>
      </c>
      <c r="B103" s="130" t="s">
        <v>241</v>
      </c>
      <c r="C103" s="131">
        <f>+C105+C106</f>
        <v>9674.7</v>
      </c>
      <c r="D103" s="131">
        <f aca="true" t="shared" si="28" ref="D103:L103">+D105+D106</f>
        <v>9825.7</v>
      </c>
      <c r="E103" s="131">
        <f t="shared" si="28"/>
        <v>151</v>
      </c>
      <c r="F103" s="131">
        <f t="shared" si="19"/>
        <v>101.6</v>
      </c>
      <c r="G103" s="131">
        <f t="shared" si="28"/>
        <v>9599.4</v>
      </c>
      <c r="H103" s="131">
        <f t="shared" si="28"/>
        <v>9750.6</v>
      </c>
      <c r="I103" s="131">
        <f t="shared" si="28"/>
        <v>4399.3</v>
      </c>
      <c r="J103" s="131">
        <f t="shared" si="28"/>
        <v>4343.5</v>
      </c>
      <c r="K103" s="131">
        <f t="shared" si="28"/>
        <v>75.3</v>
      </c>
      <c r="L103" s="131">
        <f t="shared" si="28"/>
        <v>75.1</v>
      </c>
    </row>
    <row r="104" spans="1:12" ht="15.75">
      <c r="A104" s="129">
        <v>97</v>
      </c>
      <c r="B104" s="132" t="s">
        <v>44</v>
      </c>
      <c r="C104" s="131">
        <f t="shared" si="16"/>
        <v>0</v>
      </c>
      <c r="D104" s="131">
        <f t="shared" si="17"/>
        <v>0</v>
      </c>
      <c r="E104" s="131">
        <f t="shared" si="18"/>
        <v>0</v>
      </c>
      <c r="F104" s="131"/>
      <c r="G104" s="121">
        <v>0</v>
      </c>
      <c r="H104" s="121"/>
      <c r="I104" s="121">
        <v>0</v>
      </c>
      <c r="J104" s="121"/>
      <c r="K104" s="121">
        <v>0</v>
      </c>
      <c r="L104" s="121"/>
    </row>
    <row r="105" spans="1:12" ht="47.25">
      <c r="A105" s="129">
        <v>98</v>
      </c>
      <c r="B105" s="133" t="s">
        <v>261</v>
      </c>
      <c r="C105" s="121">
        <f t="shared" si="16"/>
        <v>8648.4</v>
      </c>
      <c r="D105" s="121">
        <f t="shared" si="17"/>
        <v>8610.4</v>
      </c>
      <c r="E105" s="121">
        <f t="shared" si="18"/>
        <v>-38</v>
      </c>
      <c r="F105" s="121">
        <f t="shared" si="19"/>
        <v>99.6</v>
      </c>
      <c r="G105" s="121">
        <f>8627-4</f>
        <v>8623</v>
      </c>
      <c r="H105" s="121">
        <f>1013.6+7571.6</f>
        <v>8585.2</v>
      </c>
      <c r="I105" s="121">
        <v>4183.8</v>
      </c>
      <c r="J105" s="121">
        <v>4178.6</v>
      </c>
      <c r="K105" s="121">
        <f>21.4+4</f>
        <v>25.4</v>
      </c>
      <c r="L105" s="121">
        <v>25.2</v>
      </c>
    </row>
    <row r="106" spans="1:12" ht="47.25">
      <c r="A106" s="129">
        <v>99</v>
      </c>
      <c r="B106" s="133" t="s">
        <v>262</v>
      </c>
      <c r="C106" s="121">
        <f t="shared" si="16"/>
        <v>1026.3</v>
      </c>
      <c r="D106" s="121">
        <f t="shared" si="17"/>
        <v>1215.3</v>
      </c>
      <c r="E106" s="121">
        <f t="shared" si="18"/>
        <v>189</v>
      </c>
      <c r="F106" s="121">
        <f t="shared" si="19"/>
        <v>118.4</v>
      </c>
      <c r="G106" s="121">
        <f>1009.3-32.9</f>
        <v>976.4</v>
      </c>
      <c r="H106" s="121">
        <v>1165.4</v>
      </c>
      <c r="I106" s="121">
        <f>245.6-30.1</f>
        <v>215.5</v>
      </c>
      <c r="J106" s="121">
        <v>164.9</v>
      </c>
      <c r="K106" s="121">
        <f>17+32.9</f>
        <v>49.9</v>
      </c>
      <c r="L106" s="121">
        <v>49.9</v>
      </c>
    </row>
    <row r="107" spans="1:12" ht="15.75">
      <c r="A107" s="129">
        <v>100</v>
      </c>
      <c r="B107" s="137" t="s">
        <v>55</v>
      </c>
      <c r="C107" s="131">
        <f>+C109+C110</f>
        <v>13576.6</v>
      </c>
      <c r="D107" s="131">
        <f aca="true" t="shared" si="29" ref="D107:L107">+D109+D110</f>
        <v>13588.2</v>
      </c>
      <c r="E107" s="131">
        <f t="shared" si="29"/>
        <v>11.6</v>
      </c>
      <c r="F107" s="131">
        <f t="shared" si="19"/>
        <v>100.1</v>
      </c>
      <c r="G107" s="131">
        <f t="shared" si="29"/>
        <v>13480.5</v>
      </c>
      <c r="H107" s="131">
        <f t="shared" si="29"/>
        <v>13475.2</v>
      </c>
      <c r="I107" s="131">
        <f t="shared" si="29"/>
        <v>7088.9</v>
      </c>
      <c r="J107" s="131">
        <f t="shared" si="29"/>
        <v>7017.8</v>
      </c>
      <c r="K107" s="131">
        <f t="shared" si="29"/>
        <v>96.1</v>
      </c>
      <c r="L107" s="131">
        <f t="shared" si="29"/>
        <v>113</v>
      </c>
    </row>
    <row r="108" spans="1:12" ht="15.75">
      <c r="A108" s="129">
        <v>101</v>
      </c>
      <c r="B108" s="132" t="s">
        <v>44</v>
      </c>
      <c r="C108" s="131">
        <f t="shared" si="16"/>
        <v>0</v>
      </c>
      <c r="D108" s="131">
        <f t="shared" si="17"/>
        <v>0</v>
      </c>
      <c r="E108" s="131">
        <f t="shared" si="18"/>
        <v>0</v>
      </c>
      <c r="F108" s="131"/>
      <c r="G108" s="121">
        <v>0</v>
      </c>
      <c r="H108" s="121"/>
      <c r="I108" s="121">
        <v>0</v>
      </c>
      <c r="J108" s="121"/>
      <c r="K108" s="121">
        <v>0</v>
      </c>
      <c r="L108" s="121"/>
    </row>
    <row r="109" spans="1:12" ht="31.5">
      <c r="A109" s="129">
        <v>102</v>
      </c>
      <c r="B109" s="122" t="s">
        <v>238</v>
      </c>
      <c r="C109" s="121">
        <f t="shared" si="16"/>
        <v>13403.5</v>
      </c>
      <c r="D109" s="121">
        <f t="shared" si="17"/>
        <v>13328.3</v>
      </c>
      <c r="E109" s="121">
        <f t="shared" si="18"/>
        <v>-75.2</v>
      </c>
      <c r="F109" s="121">
        <f t="shared" si="19"/>
        <v>99.4</v>
      </c>
      <c r="G109" s="121">
        <v>13312.7</v>
      </c>
      <c r="H109" s="121">
        <f>1512+11725.5</f>
        <v>13237.5</v>
      </c>
      <c r="I109" s="121">
        <v>7088.9</v>
      </c>
      <c r="J109" s="121">
        <v>7017.8</v>
      </c>
      <c r="K109" s="121">
        <v>90.8</v>
      </c>
      <c r="L109" s="121">
        <v>90.8</v>
      </c>
    </row>
    <row r="110" spans="1:12" ht="31.5">
      <c r="A110" s="129">
        <v>103</v>
      </c>
      <c r="B110" s="133" t="s">
        <v>263</v>
      </c>
      <c r="C110" s="121">
        <f t="shared" si="16"/>
        <v>173.1</v>
      </c>
      <c r="D110" s="121">
        <f t="shared" si="17"/>
        <v>259.9</v>
      </c>
      <c r="E110" s="121">
        <f t="shared" si="18"/>
        <v>86.8</v>
      </c>
      <c r="F110" s="121">
        <f t="shared" si="19"/>
        <v>150.1</v>
      </c>
      <c r="G110" s="121">
        <v>167.8</v>
      </c>
      <c r="H110" s="121">
        <v>237.7</v>
      </c>
      <c r="I110" s="121">
        <v>0</v>
      </c>
      <c r="J110" s="121"/>
      <c r="K110" s="121">
        <v>5.3</v>
      </c>
      <c r="L110" s="121">
        <v>22.2</v>
      </c>
    </row>
    <row r="111" spans="1:12" ht="15.75">
      <c r="A111" s="129">
        <v>104</v>
      </c>
      <c r="B111" s="130" t="s">
        <v>264</v>
      </c>
      <c r="C111" s="131">
        <f>+C112+C118+C125+C130</f>
        <v>57004.7</v>
      </c>
      <c r="D111" s="131">
        <f>+D112+D118+D125+D130</f>
        <v>55188.6</v>
      </c>
      <c r="E111" s="131">
        <f>+E112+E118+E125+E130</f>
        <v>-1816.1</v>
      </c>
      <c r="F111" s="131">
        <f t="shared" si="19"/>
        <v>96.8</v>
      </c>
      <c r="G111" s="131">
        <f aca="true" t="shared" si="30" ref="G111:L111">+G112+G118+G125+G130</f>
        <v>56948.2</v>
      </c>
      <c r="H111" s="131">
        <f t="shared" si="30"/>
        <v>55134.3</v>
      </c>
      <c r="I111" s="131">
        <f t="shared" si="30"/>
        <v>9901.1</v>
      </c>
      <c r="J111" s="131">
        <f t="shared" si="30"/>
        <v>9963.8</v>
      </c>
      <c r="K111" s="131">
        <f t="shared" si="30"/>
        <v>56.5</v>
      </c>
      <c r="L111" s="131">
        <f t="shared" si="30"/>
        <v>54.3</v>
      </c>
    </row>
    <row r="112" spans="1:12" ht="15.75">
      <c r="A112" s="129">
        <v>105</v>
      </c>
      <c r="B112" s="130" t="s">
        <v>56</v>
      </c>
      <c r="C112" s="131">
        <f>+C114+C115+C116+C117</f>
        <v>14980.9</v>
      </c>
      <c r="D112" s="131">
        <f aca="true" t="shared" si="31" ref="D112:L112">+D114+D115+D116+D117</f>
        <v>15222.5</v>
      </c>
      <c r="E112" s="131">
        <f t="shared" si="31"/>
        <v>241.6</v>
      </c>
      <c r="F112" s="131">
        <f t="shared" si="19"/>
        <v>101.6</v>
      </c>
      <c r="G112" s="131">
        <f t="shared" si="31"/>
        <v>14943.5</v>
      </c>
      <c r="H112" s="131">
        <f t="shared" si="31"/>
        <v>15185.9</v>
      </c>
      <c r="I112" s="131">
        <f t="shared" si="31"/>
        <v>5612.2</v>
      </c>
      <c r="J112" s="131">
        <f t="shared" si="31"/>
        <v>5696.8</v>
      </c>
      <c r="K112" s="131">
        <f t="shared" si="31"/>
        <v>37.4</v>
      </c>
      <c r="L112" s="131">
        <f t="shared" si="31"/>
        <v>36.6</v>
      </c>
    </row>
    <row r="113" spans="1:12" ht="15.75">
      <c r="A113" s="129">
        <v>106</v>
      </c>
      <c r="B113" s="132" t="s">
        <v>44</v>
      </c>
      <c r="C113" s="131">
        <f t="shared" si="16"/>
        <v>0</v>
      </c>
      <c r="D113" s="131">
        <f t="shared" si="17"/>
        <v>0</v>
      </c>
      <c r="E113" s="131">
        <f t="shared" si="18"/>
        <v>0</v>
      </c>
      <c r="F113" s="131"/>
      <c r="G113" s="121">
        <v>0</v>
      </c>
      <c r="H113" s="121"/>
      <c r="I113" s="121">
        <v>0</v>
      </c>
      <c r="J113" s="121"/>
      <c r="K113" s="121">
        <v>0</v>
      </c>
      <c r="L113" s="121"/>
    </row>
    <row r="114" spans="1:12" ht="31.5">
      <c r="A114" s="129">
        <v>107</v>
      </c>
      <c r="B114" s="122" t="s">
        <v>252</v>
      </c>
      <c r="C114" s="121">
        <f t="shared" si="16"/>
        <v>8725.2</v>
      </c>
      <c r="D114" s="121">
        <f t="shared" si="17"/>
        <v>8574.2</v>
      </c>
      <c r="E114" s="121">
        <f t="shared" si="18"/>
        <v>-151</v>
      </c>
      <c r="F114" s="121">
        <f t="shared" si="19"/>
        <v>98.3</v>
      </c>
      <c r="G114" s="121">
        <v>8725.2</v>
      </c>
      <c r="H114" s="121">
        <f>4507.9-973.6+5039.9</f>
        <v>8574.2</v>
      </c>
      <c r="I114" s="121">
        <v>3122.2</v>
      </c>
      <c r="J114" s="121">
        <v>3122.1</v>
      </c>
      <c r="K114" s="121">
        <v>0</v>
      </c>
      <c r="L114" s="121"/>
    </row>
    <row r="115" spans="1:12" ht="47.25">
      <c r="A115" s="129">
        <v>108</v>
      </c>
      <c r="B115" s="139" t="s">
        <v>265</v>
      </c>
      <c r="C115" s="121">
        <f t="shared" si="16"/>
        <v>3902</v>
      </c>
      <c r="D115" s="121">
        <f t="shared" si="17"/>
        <v>3869.3</v>
      </c>
      <c r="E115" s="121">
        <f t="shared" si="18"/>
        <v>-32.7</v>
      </c>
      <c r="F115" s="121">
        <f t="shared" si="19"/>
        <v>99.2</v>
      </c>
      <c r="G115" s="121">
        <v>3902</v>
      </c>
      <c r="H115" s="121">
        <v>3869.3</v>
      </c>
      <c r="I115" s="121">
        <v>2117</v>
      </c>
      <c r="J115" s="121">
        <v>2090.3</v>
      </c>
      <c r="K115" s="121">
        <v>0</v>
      </c>
      <c r="L115" s="121"/>
    </row>
    <row r="116" spans="1:12" ht="31.5">
      <c r="A116" s="129">
        <v>109</v>
      </c>
      <c r="B116" s="133" t="s">
        <v>266</v>
      </c>
      <c r="C116" s="121">
        <f t="shared" si="16"/>
        <v>1523.7</v>
      </c>
      <c r="D116" s="121">
        <f t="shared" si="17"/>
        <v>1805.4</v>
      </c>
      <c r="E116" s="121">
        <f t="shared" si="18"/>
        <v>281.7</v>
      </c>
      <c r="F116" s="121">
        <f t="shared" si="19"/>
        <v>118.5</v>
      </c>
      <c r="G116" s="121">
        <f>1509.3-23</f>
        <v>1486.3</v>
      </c>
      <c r="H116" s="121">
        <f>108.8+1660</f>
        <v>1768.8</v>
      </c>
      <c r="I116" s="121">
        <f>403-23-7</f>
        <v>373</v>
      </c>
      <c r="J116" s="121">
        <f>25.4+459</f>
        <v>484.4</v>
      </c>
      <c r="K116" s="121">
        <f>14.4+23</f>
        <v>37.4</v>
      </c>
      <c r="L116" s="121">
        <v>36.6</v>
      </c>
    </row>
    <row r="117" spans="1:12" ht="31.5">
      <c r="A117" s="129">
        <v>110</v>
      </c>
      <c r="B117" s="133" t="s">
        <v>253</v>
      </c>
      <c r="C117" s="121">
        <f t="shared" si="16"/>
        <v>830</v>
      </c>
      <c r="D117" s="121">
        <f t="shared" si="17"/>
        <v>973.6</v>
      </c>
      <c r="E117" s="121">
        <f t="shared" si="18"/>
        <v>143.6</v>
      </c>
      <c r="F117" s="121">
        <f t="shared" si="19"/>
        <v>117.3</v>
      </c>
      <c r="G117" s="121">
        <v>830</v>
      </c>
      <c r="H117" s="121">
        <v>973.6</v>
      </c>
      <c r="I117" s="121">
        <v>0</v>
      </c>
      <c r="J117" s="121"/>
      <c r="K117" s="121">
        <v>0</v>
      </c>
      <c r="L117" s="121"/>
    </row>
    <row r="118" spans="1:12" ht="31.5">
      <c r="A118" s="129">
        <v>111</v>
      </c>
      <c r="B118" s="130" t="s">
        <v>57</v>
      </c>
      <c r="C118" s="131">
        <f>+C120+C121+C122+C123+C124</f>
        <v>6064.8</v>
      </c>
      <c r="D118" s="131">
        <f aca="true" t="shared" si="32" ref="D118:L118">+D120+D121+D122+D123+D124</f>
        <v>5967.3</v>
      </c>
      <c r="E118" s="131">
        <f t="shared" si="32"/>
        <v>-97.5</v>
      </c>
      <c r="F118" s="131">
        <f t="shared" si="19"/>
        <v>98.4</v>
      </c>
      <c r="G118" s="131">
        <f t="shared" si="32"/>
        <v>6045.7</v>
      </c>
      <c r="H118" s="131">
        <f t="shared" si="32"/>
        <v>5949.6</v>
      </c>
      <c r="I118" s="131">
        <f t="shared" si="32"/>
        <v>3531</v>
      </c>
      <c r="J118" s="131">
        <f t="shared" si="32"/>
        <v>3523.8</v>
      </c>
      <c r="K118" s="131">
        <f t="shared" si="32"/>
        <v>19.1</v>
      </c>
      <c r="L118" s="131">
        <f t="shared" si="32"/>
        <v>17.7</v>
      </c>
    </row>
    <row r="119" spans="1:12" ht="15.75">
      <c r="A119" s="129">
        <v>112</v>
      </c>
      <c r="B119" s="132" t="s">
        <v>44</v>
      </c>
      <c r="C119" s="131">
        <f t="shared" si="16"/>
        <v>0</v>
      </c>
      <c r="D119" s="131">
        <f t="shared" si="17"/>
        <v>0</v>
      </c>
      <c r="E119" s="131">
        <f t="shared" si="18"/>
        <v>0</v>
      </c>
      <c r="F119" s="131"/>
      <c r="G119" s="121">
        <v>0</v>
      </c>
      <c r="H119" s="121"/>
      <c r="I119" s="121">
        <v>0</v>
      </c>
      <c r="J119" s="121"/>
      <c r="K119" s="121">
        <v>0</v>
      </c>
      <c r="L119" s="121"/>
    </row>
    <row r="120" spans="1:12" ht="31.5">
      <c r="A120" s="129">
        <v>113</v>
      </c>
      <c r="B120" s="122" t="s">
        <v>267</v>
      </c>
      <c r="C120" s="121">
        <f t="shared" si="16"/>
        <v>567</v>
      </c>
      <c r="D120" s="121">
        <f t="shared" si="17"/>
        <v>551.1</v>
      </c>
      <c r="E120" s="121">
        <f t="shared" si="18"/>
        <v>-15.9</v>
      </c>
      <c r="F120" s="121">
        <f t="shared" si="19"/>
        <v>97.2</v>
      </c>
      <c r="G120" s="121">
        <v>547.9</v>
      </c>
      <c r="H120" s="121">
        <f>5.3+162.4+99.5+266.2</f>
        <v>533.4</v>
      </c>
      <c r="I120" s="121">
        <v>269.4</v>
      </c>
      <c r="J120" s="121">
        <f>4.1+124+134.1</f>
        <v>262.2</v>
      </c>
      <c r="K120" s="121">
        <v>19.1</v>
      </c>
      <c r="L120" s="121">
        <v>17.7</v>
      </c>
    </row>
    <row r="121" spans="1:12" ht="47.25">
      <c r="A121" s="129">
        <v>114</v>
      </c>
      <c r="B121" s="139" t="s">
        <v>268</v>
      </c>
      <c r="C121" s="121">
        <f t="shared" si="16"/>
        <v>5022</v>
      </c>
      <c r="D121" s="121">
        <f t="shared" si="17"/>
        <v>5022</v>
      </c>
      <c r="E121" s="121">
        <f t="shared" si="18"/>
        <v>0</v>
      </c>
      <c r="F121" s="121">
        <f t="shared" si="19"/>
        <v>100</v>
      </c>
      <c r="G121" s="121">
        <v>5022</v>
      </c>
      <c r="H121" s="121">
        <v>5022</v>
      </c>
      <c r="I121" s="121">
        <v>3231.6</v>
      </c>
      <c r="J121" s="121">
        <v>3231.6</v>
      </c>
      <c r="K121" s="121">
        <v>0</v>
      </c>
      <c r="L121" s="121"/>
    </row>
    <row r="122" spans="1:12" ht="31.5">
      <c r="A122" s="129">
        <v>115</v>
      </c>
      <c r="B122" s="133" t="s">
        <v>269</v>
      </c>
      <c r="C122" s="121">
        <f t="shared" si="16"/>
        <v>115</v>
      </c>
      <c r="D122" s="121">
        <f t="shared" si="17"/>
        <v>111.7</v>
      </c>
      <c r="E122" s="121">
        <f t="shared" si="18"/>
        <v>-3.3</v>
      </c>
      <c r="F122" s="121">
        <f t="shared" si="19"/>
        <v>97.1</v>
      </c>
      <c r="G122" s="121">
        <v>115</v>
      </c>
      <c r="H122" s="121">
        <v>111.7</v>
      </c>
      <c r="I122" s="121">
        <v>30</v>
      </c>
      <c r="J122" s="121">
        <v>30</v>
      </c>
      <c r="K122" s="121">
        <v>0</v>
      </c>
      <c r="L122" s="121"/>
    </row>
    <row r="123" spans="1:12" ht="15.75">
      <c r="A123" s="129">
        <v>116</v>
      </c>
      <c r="B123" s="133" t="s">
        <v>0</v>
      </c>
      <c r="C123" s="121">
        <f t="shared" si="16"/>
        <v>320</v>
      </c>
      <c r="D123" s="121">
        <f t="shared" si="17"/>
        <v>269.8</v>
      </c>
      <c r="E123" s="121">
        <f t="shared" si="18"/>
        <v>-50.2</v>
      </c>
      <c r="F123" s="121">
        <f t="shared" si="19"/>
        <v>84.3</v>
      </c>
      <c r="G123" s="121">
        <v>320</v>
      </c>
      <c r="H123" s="121">
        <v>269.8</v>
      </c>
      <c r="I123" s="121">
        <v>0</v>
      </c>
      <c r="J123" s="121"/>
      <c r="K123" s="121">
        <v>0</v>
      </c>
      <c r="L123" s="121"/>
    </row>
    <row r="124" spans="1:12" ht="31.5">
      <c r="A124" s="129">
        <v>117</v>
      </c>
      <c r="B124" s="122" t="s">
        <v>1</v>
      </c>
      <c r="C124" s="121">
        <f t="shared" si="16"/>
        <v>40.8</v>
      </c>
      <c r="D124" s="121">
        <f t="shared" si="17"/>
        <v>12.7</v>
      </c>
      <c r="E124" s="121">
        <f t="shared" si="18"/>
        <v>-28.1</v>
      </c>
      <c r="F124" s="121">
        <f t="shared" si="19"/>
        <v>31.1</v>
      </c>
      <c r="G124" s="121">
        <v>40.8</v>
      </c>
      <c r="H124" s="121">
        <v>12.7</v>
      </c>
      <c r="I124" s="121">
        <v>0</v>
      </c>
      <c r="J124" s="121"/>
      <c r="K124" s="121">
        <v>0</v>
      </c>
      <c r="L124" s="121"/>
    </row>
    <row r="125" spans="1:12" ht="31.5">
      <c r="A125" s="129">
        <v>118</v>
      </c>
      <c r="B125" s="140" t="s">
        <v>216</v>
      </c>
      <c r="C125" s="131">
        <f>+C127+C128+C129</f>
        <v>35884</v>
      </c>
      <c r="D125" s="131">
        <f aca="true" t="shared" si="33" ref="D125:L125">+D127+D128+D129</f>
        <v>33923.8</v>
      </c>
      <c r="E125" s="131">
        <f t="shared" si="33"/>
        <v>-1960.2</v>
      </c>
      <c r="F125" s="131">
        <f t="shared" si="19"/>
        <v>94.5</v>
      </c>
      <c r="G125" s="131">
        <f t="shared" si="33"/>
        <v>35884</v>
      </c>
      <c r="H125" s="131">
        <f t="shared" si="33"/>
        <v>33923.8</v>
      </c>
      <c r="I125" s="131">
        <f t="shared" si="33"/>
        <v>757.9</v>
      </c>
      <c r="J125" s="131">
        <f t="shared" si="33"/>
        <v>743.2</v>
      </c>
      <c r="K125" s="131">
        <f t="shared" si="33"/>
        <v>0</v>
      </c>
      <c r="L125" s="131">
        <f t="shared" si="33"/>
        <v>0</v>
      </c>
    </row>
    <row r="126" spans="1:12" ht="15.75">
      <c r="A126" s="129">
        <v>119</v>
      </c>
      <c r="B126" s="132" t="s">
        <v>44</v>
      </c>
      <c r="C126" s="131">
        <f t="shared" si="16"/>
        <v>0</v>
      </c>
      <c r="D126" s="131">
        <f t="shared" si="17"/>
        <v>0</v>
      </c>
      <c r="E126" s="131">
        <f t="shared" si="18"/>
        <v>0</v>
      </c>
      <c r="F126" s="131"/>
      <c r="G126" s="121">
        <v>0</v>
      </c>
      <c r="H126" s="121"/>
      <c r="I126" s="121">
        <v>0</v>
      </c>
      <c r="J126" s="121"/>
      <c r="K126" s="121">
        <v>0</v>
      </c>
      <c r="L126" s="121"/>
    </row>
    <row r="127" spans="1:12" ht="15.75">
      <c r="A127" s="129">
        <v>120</v>
      </c>
      <c r="B127" s="133" t="s">
        <v>72</v>
      </c>
      <c r="C127" s="121">
        <f t="shared" si="16"/>
        <v>2881.2</v>
      </c>
      <c r="D127" s="121">
        <f t="shared" si="17"/>
        <v>2659.1</v>
      </c>
      <c r="E127" s="121">
        <f t="shared" si="18"/>
        <v>-222.1</v>
      </c>
      <c r="F127" s="121">
        <f t="shared" si="19"/>
        <v>92.3</v>
      </c>
      <c r="G127" s="121">
        <v>2881.2</v>
      </c>
      <c r="H127" s="121">
        <f>2659+0.1</f>
        <v>2659.1</v>
      </c>
      <c r="I127" s="121">
        <v>757.9</v>
      </c>
      <c r="J127" s="121">
        <v>743.2</v>
      </c>
      <c r="K127" s="121">
        <v>0</v>
      </c>
      <c r="L127" s="121"/>
    </row>
    <row r="128" spans="1:12" ht="15.75">
      <c r="A128" s="129">
        <v>121</v>
      </c>
      <c r="B128" s="133" t="s">
        <v>2</v>
      </c>
      <c r="C128" s="121">
        <f t="shared" si="16"/>
        <v>29140</v>
      </c>
      <c r="D128" s="121">
        <f t="shared" si="17"/>
        <v>27778.7</v>
      </c>
      <c r="E128" s="121">
        <f t="shared" si="18"/>
        <v>-1361.3</v>
      </c>
      <c r="F128" s="121">
        <f t="shared" si="19"/>
        <v>95.3</v>
      </c>
      <c r="G128" s="121">
        <v>29140</v>
      </c>
      <c r="H128" s="121">
        <f>27778.6+0.1</f>
        <v>27778.7</v>
      </c>
      <c r="I128" s="121">
        <v>0</v>
      </c>
      <c r="J128" s="121"/>
      <c r="K128" s="121">
        <v>0</v>
      </c>
      <c r="L128" s="121"/>
    </row>
    <row r="129" spans="1:12" ht="15.75">
      <c r="A129" s="129">
        <v>122</v>
      </c>
      <c r="B129" s="133" t="s">
        <v>3</v>
      </c>
      <c r="C129" s="121">
        <f t="shared" si="16"/>
        <v>3862.8</v>
      </c>
      <c r="D129" s="121">
        <f t="shared" si="17"/>
        <v>3486</v>
      </c>
      <c r="E129" s="121">
        <f t="shared" si="18"/>
        <v>-376.8</v>
      </c>
      <c r="F129" s="121">
        <f t="shared" si="19"/>
        <v>90.2</v>
      </c>
      <c r="G129" s="121">
        <v>3862.8</v>
      </c>
      <c r="H129" s="121">
        <f>3486.1-0.1</f>
        <v>3486</v>
      </c>
      <c r="I129" s="121">
        <v>0</v>
      </c>
      <c r="J129" s="121"/>
      <c r="K129" s="121">
        <v>0</v>
      </c>
      <c r="L129" s="121"/>
    </row>
    <row r="130" spans="1:12" ht="63">
      <c r="A130" s="129">
        <v>123</v>
      </c>
      <c r="B130" s="130" t="s">
        <v>4</v>
      </c>
      <c r="C130" s="131">
        <f t="shared" si="16"/>
        <v>75</v>
      </c>
      <c r="D130" s="131">
        <f t="shared" si="17"/>
        <v>75</v>
      </c>
      <c r="E130" s="131">
        <f t="shared" si="18"/>
        <v>0</v>
      </c>
      <c r="F130" s="131">
        <f t="shared" si="19"/>
        <v>100</v>
      </c>
      <c r="G130" s="131">
        <f>47.01+27.965</f>
        <v>75</v>
      </c>
      <c r="H130" s="131">
        <v>75</v>
      </c>
      <c r="I130" s="131">
        <v>0</v>
      </c>
      <c r="J130" s="131"/>
      <c r="K130" s="131">
        <v>0</v>
      </c>
      <c r="L130" s="131"/>
    </row>
    <row r="131" spans="1:12" ht="15.75">
      <c r="A131" s="129">
        <v>124</v>
      </c>
      <c r="B131" s="130" t="s">
        <v>43</v>
      </c>
      <c r="C131" s="131">
        <f>+C8+C10+C40+C75+C80+C96+C111</f>
        <v>428553.4</v>
      </c>
      <c r="D131" s="131">
        <f>+D8+D10+D40+D75+D80+D96+D111</f>
        <v>411035.5</v>
      </c>
      <c r="E131" s="131">
        <f>+E8+E10+E40+E75+E80+E96+E111</f>
        <v>-17517.9</v>
      </c>
      <c r="F131" s="131">
        <f t="shared" si="19"/>
        <v>95.9</v>
      </c>
      <c r="G131" s="131">
        <f aca="true" t="shared" si="34" ref="G131:L131">+G8+G10+G40+G75+G80+G96+G111</f>
        <v>389069.1</v>
      </c>
      <c r="H131" s="131">
        <f t="shared" si="34"/>
        <v>375879.6</v>
      </c>
      <c r="I131" s="131">
        <f t="shared" si="34"/>
        <v>161223</v>
      </c>
      <c r="J131" s="131">
        <f t="shared" si="34"/>
        <v>160142</v>
      </c>
      <c r="K131" s="131">
        <f t="shared" si="34"/>
        <v>39484.3</v>
      </c>
      <c r="L131" s="131">
        <f t="shared" si="34"/>
        <v>35155.9</v>
      </c>
    </row>
    <row r="132" spans="1:12" ht="15.75">
      <c r="A132" s="129">
        <v>125</v>
      </c>
      <c r="B132" s="132" t="s">
        <v>44</v>
      </c>
      <c r="C132" s="131">
        <f t="shared" si="16"/>
        <v>0</v>
      </c>
      <c r="D132" s="131">
        <f t="shared" si="17"/>
        <v>0</v>
      </c>
      <c r="E132" s="131">
        <f t="shared" si="18"/>
        <v>0</v>
      </c>
      <c r="F132" s="131"/>
      <c r="G132" s="121"/>
      <c r="H132" s="121"/>
      <c r="I132" s="121"/>
      <c r="J132" s="121"/>
      <c r="K132" s="121"/>
      <c r="L132" s="121"/>
    </row>
    <row r="133" spans="1:12" ht="47.25">
      <c r="A133" s="129">
        <v>126</v>
      </c>
      <c r="B133" s="133" t="s">
        <v>5</v>
      </c>
      <c r="C133" s="121">
        <f>+C21+C71+C94+C100+C101+C115+C121+C125+C130</f>
        <v>159217.4</v>
      </c>
      <c r="D133" s="121">
        <f>+D21+D71+D94+D100+D101+D115+D121+D125+D130</f>
        <v>156827.9</v>
      </c>
      <c r="E133" s="121">
        <f>+E21+E71+E94+E100+E101+E115+E121+E125+E130</f>
        <v>-2389.5</v>
      </c>
      <c r="F133" s="121">
        <f t="shared" si="19"/>
        <v>98.5</v>
      </c>
      <c r="G133" s="121">
        <f aca="true" t="shared" si="35" ref="G133:L133">+G21+G71+G94+G100+G101+G115+G121+G125+G130</f>
        <v>158411.5</v>
      </c>
      <c r="H133" s="121">
        <f t="shared" si="35"/>
        <v>156027.8</v>
      </c>
      <c r="I133" s="121">
        <f t="shared" si="35"/>
        <v>87900.2</v>
      </c>
      <c r="J133" s="121">
        <f t="shared" si="35"/>
        <v>87692.9</v>
      </c>
      <c r="K133" s="121">
        <f t="shared" si="35"/>
        <v>805.9</v>
      </c>
      <c r="L133" s="121">
        <f t="shared" si="35"/>
        <v>800.1</v>
      </c>
    </row>
    <row r="134" ht="15">
      <c r="D134" s="123"/>
    </row>
    <row r="135" spans="1:5" ht="15">
      <c r="A135" s="144"/>
      <c r="B135" s="144"/>
      <c r="C135" s="144"/>
      <c r="D135" s="144"/>
      <c r="E135" s="144"/>
    </row>
  </sheetData>
  <sheetProtection/>
  <mergeCells count="14">
    <mergeCell ref="G3:L3"/>
    <mergeCell ref="G4:J4"/>
    <mergeCell ref="K4:L4"/>
    <mergeCell ref="G5:G6"/>
    <mergeCell ref="H5:H6"/>
    <mergeCell ref="I5:J5"/>
    <mergeCell ref="K5:K6"/>
    <mergeCell ref="L5:L6"/>
    <mergeCell ref="A3:A6"/>
    <mergeCell ref="B3:B6"/>
    <mergeCell ref="C3:C6"/>
    <mergeCell ref="D3:D6"/>
    <mergeCell ref="E3:E6"/>
    <mergeCell ref="F3:F6"/>
  </mergeCells>
  <printOptions/>
  <pageMargins left="0.7874015748031497" right="0.3937007874015748" top="0.7874015748031497" bottom="0.3937007874015748"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M59"/>
  <sheetViews>
    <sheetView showZeros="0"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P15" sqref="P15"/>
    </sheetView>
  </sheetViews>
  <sheetFormatPr defaultColWidth="10.140625" defaultRowHeight="12.75"/>
  <cols>
    <col min="1" max="1" width="5.28125" style="44" customWidth="1"/>
    <col min="2" max="2" width="23.140625" style="44" customWidth="1"/>
    <col min="3" max="3" width="16.140625" style="44" customWidth="1"/>
    <col min="4" max="6" width="10.140625" style="44" customWidth="1"/>
    <col min="7" max="7" width="8.57421875" style="44" customWidth="1"/>
    <col min="8" max="16384" width="10.140625" style="44" customWidth="1"/>
  </cols>
  <sheetData>
    <row r="1" spans="1:12" ht="12.75" customHeight="1">
      <c r="A1" s="42"/>
      <c r="B1" s="42"/>
      <c r="C1" s="42"/>
      <c r="J1" s="43" t="s">
        <v>75</v>
      </c>
      <c r="K1" s="43"/>
      <c r="L1" s="43"/>
    </row>
    <row r="2" spans="1:12" ht="15.75">
      <c r="A2" s="42"/>
      <c r="B2" s="42"/>
      <c r="C2" s="42"/>
      <c r="J2" s="45" t="s">
        <v>307</v>
      </c>
      <c r="K2" s="46"/>
      <c r="L2" s="46"/>
    </row>
    <row r="3" spans="1:12" ht="15.75">
      <c r="A3" s="42"/>
      <c r="B3" s="42"/>
      <c r="C3" s="42"/>
      <c r="J3" s="45" t="s">
        <v>59</v>
      </c>
      <c r="K3" s="46"/>
      <c r="L3" s="46"/>
    </row>
    <row r="4" spans="1:3" ht="15.75">
      <c r="A4" s="42"/>
      <c r="B4" s="42"/>
      <c r="C4" s="42"/>
    </row>
    <row r="5" spans="1:13" ht="22.5" customHeight="1">
      <c r="A5" s="47"/>
      <c r="B5" s="153" t="s">
        <v>308</v>
      </c>
      <c r="C5" s="153"/>
      <c r="D5" s="153"/>
      <c r="E5" s="153"/>
      <c r="F5" s="153"/>
      <c r="G5" s="153"/>
      <c r="H5" s="153"/>
      <c r="I5" s="153"/>
      <c r="J5" s="153"/>
      <c r="K5" s="153"/>
      <c r="L5" s="153"/>
      <c r="M5" s="153"/>
    </row>
    <row r="6" spans="1:3" ht="15.75">
      <c r="A6" s="42"/>
      <c r="B6" s="48"/>
      <c r="C6" s="42"/>
    </row>
    <row r="7" spans="1:12" ht="15.75">
      <c r="A7" s="42"/>
      <c r="B7" s="49"/>
      <c r="C7" s="49"/>
      <c r="L7" s="42" t="s">
        <v>10</v>
      </c>
    </row>
    <row r="8" spans="1:13" ht="15.75" customHeight="1">
      <c r="A8" s="162" t="s">
        <v>6</v>
      </c>
      <c r="B8" s="165" t="s">
        <v>270</v>
      </c>
      <c r="C8" s="165" t="s">
        <v>271</v>
      </c>
      <c r="D8" s="150" t="s">
        <v>77</v>
      </c>
      <c r="E8" s="150" t="s">
        <v>78</v>
      </c>
      <c r="F8" s="150" t="s">
        <v>90</v>
      </c>
      <c r="G8" s="151" t="s">
        <v>89</v>
      </c>
      <c r="H8" s="152" t="s">
        <v>79</v>
      </c>
      <c r="I8" s="152"/>
      <c r="J8" s="152"/>
      <c r="K8" s="152"/>
      <c r="L8" s="152"/>
      <c r="M8" s="152"/>
    </row>
    <row r="9" spans="1:13" ht="15.75" customHeight="1">
      <c r="A9" s="163"/>
      <c r="B9" s="166"/>
      <c r="C9" s="166"/>
      <c r="D9" s="150"/>
      <c r="E9" s="150"/>
      <c r="F9" s="150"/>
      <c r="G9" s="151"/>
      <c r="H9" s="150" t="s">
        <v>45</v>
      </c>
      <c r="I9" s="150"/>
      <c r="J9" s="150"/>
      <c r="K9" s="150"/>
      <c r="L9" s="150" t="s">
        <v>80</v>
      </c>
      <c r="M9" s="150"/>
    </row>
    <row r="10" spans="1:13" ht="30" customHeight="1">
      <c r="A10" s="163"/>
      <c r="B10" s="166"/>
      <c r="C10" s="166"/>
      <c r="D10" s="150"/>
      <c r="E10" s="150"/>
      <c r="F10" s="150"/>
      <c r="G10" s="151"/>
      <c r="H10" s="150" t="s">
        <v>88</v>
      </c>
      <c r="I10" s="150" t="s">
        <v>78</v>
      </c>
      <c r="J10" s="150" t="s">
        <v>46</v>
      </c>
      <c r="K10" s="150"/>
      <c r="L10" s="150" t="s">
        <v>91</v>
      </c>
      <c r="M10" s="150" t="s">
        <v>78</v>
      </c>
    </row>
    <row r="11" spans="1:13" ht="31.5">
      <c r="A11" s="164"/>
      <c r="B11" s="167"/>
      <c r="C11" s="167"/>
      <c r="D11" s="150"/>
      <c r="E11" s="150"/>
      <c r="F11" s="150"/>
      <c r="G11" s="151"/>
      <c r="H11" s="150"/>
      <c r="I11" s="150"/>
      <c r="J11" s="10" t="s">
        <v>88</v>
      </c>
      <c r="K11" s="10" t="s">
        <v>78</v>
      </c>
      <c r="L11" s="150"/>
      <c r="M11" s="150"/>
    </row>
    <row r="12" spans="1:13" ht="15.75">
      <c r="A12" s="51">
        <v>1</v>
      </c>
      <c r="B12" s="52">
        <v>2</v>
      </c>
      <c r="C12" s="51">
        <v>3</v>
      </c>
      <c r="D12" s="52">
        <v>4</v>
      </c>
      <c r="E12" s="51">
        <v>5</v>
      </c>
      <c r="F12" s="52">
        <v>6</v>
      </c>
      <c r="G12" s="51">
        <v>7</v>
      </c>
      <c r="H12" s="52">
        <v>8</v>
      </c>
      <c r="I12" s="51">
        <v>9</v>
      </c>
      <c r="J12" s="52">
        <v>10</v>
      </c>
      <c r="K12" s="51">
        <v>11</v>
      </c>
      <c r="L12" s="52">
        <v>12</v>
      </c>
      <c r="M12" s="51">
        <v>13</v>
      </c>
    </row>
    <row r="13" spans="1:13" ht="63" customHeight="1">
      <c r="A13" s="53">
        <v>1</v>
      </c>
      <c r="B13" s="54" t="s">
        <v>272</v>
      </c>
      <c r="C13" s="55" t="s">
        <v>206</v>
      </c>
      <c r="D13" s="124">
        <f>+H13+L13</f>
        <v>321.8</v>
      </c>
      <c r="E13" s="124">
        <f>+I13+M13</f>
        <v>280.2</v>
      </c>
      <c r="F13" s="124">
        <f>+E13-D13</f>
        <v>-41.6</v>
      </c>
      <c r="G13" s="124">
        <f>+E13/D13*100</f>
        <v>87.1</v>
      </c>
      <c r="H13" s="124">
        <f>+'1pr.asignav '!G9</f>
        <v>311.3</v>
      </c>
      <c r="I13" s="124">
        <f>+'1pr.asignav '!H9</f>
        <v>271.2</v>
      </c>
      <c r="J13" s="124">
        <f>+'1pr.asignav '!I9</f>
        <v>215.3</v>
      </c>
      <c r="K13" s="124">
        <f>+'1pr.asignav '!J9</f>
        <v>187.3</v>
      </c>
      <c r="L13" s="124">
        <f>+'1pr.asignav '!K9</f>
        <v>10.5</v>
      </c>
      <c r="M13" s="124">
        <f>+'1pr.asignav '!L9</f>
        <v>9</v>
      </c>
    </row>
    <row r="14" spans="1:13" ht="44.25" customHeight="1">
      <c r="A14" s="53">
        <v>2</v>
      </c>
      <c r="B14" s="56" t="s">
        <v>47</v>
      </c>
      <c r="C14" s="57" t="s">
        <v>7</v>
      </c>
      <c r="D14" s="124">
        <f aca="true" t="shared" si="0" ref="D14:D56">+H14+L14</f>
        <v>23169.9</v>
      </c>
      <c r="E14" s="124">
        <f aca="true" t="shared" si="1" ref="E14:E56">+I14+M14</f>
        <v>22077.7</v>
      </c>
      <c r="F14" s="124">
        <f aca="true" t="shared" si="2" ref="F14:F56">+E14-D14</f>
        <v>-1092.2</v>
      </c>
      <c r="G14" s="124">
        <f aca="true" t="shared" si="3" ref="G14:G57">+E14/D14*100</f>
        <v>95.3</v>
      </c>
      <c r="H14" s="73">
        <v>17704.8</v>
      </c>
      <c r="I14" s="124">
        <f>+'1pr.asignav '!H11</f>
        <v>16614.7</v>
      </c>
      <c r="J14" s="73">
        <v>8403.9</v>
      </c>
      <c r="K14" s="124">
        <f>+'1pr.asignav '!J11</f>
        <v>8124.6</v>
      </c>
      <c r="L14" s="73">
        <v>5465.1</v>
      </c>
      <c r="M14" s="124">
        <f>+'1pr.asignav '!L11</f>
        <v>5463</v>
      </c>
    </row>
    <row r="15" spans="1:13" ht="43.5" customHeight="1">
      <c r="A15" s="58" t="s">
        <v>273</v>
      </c>
      <c r="B15" s="59" t="s">
        <v>274</v>
      </c>
      <c r="C15" s="57" t="s">
        <v>7</v>
      </c>
      <c r="D15" s="124">
        <f t="shared" si="0"/>
        <v>460</v>
      </c>
      <c r="E15" s="124">
        <f t="shared" si="1"/>
        <v>442.4</v>
      </c>
      <c r="F15" s="124">
        <f t="shared" si="2"/>
        <v>-17.6</v>
      </c>
      <c r="G15" s="124">
        <f t="shared" si="3"/>
        <v>96.2</v>
      </c>
      <c r="H15" s="73">
        <v>460</v>
      </c>
      <c r="I15" s="124">
        <f>+'1pr.asignav '!H17</f>
        <v>442.4</v>
      </c>
      <c r="J15" s="73">
        <v>0</v>
      </c>
      <c r="K15" s="124">
        <f>+'1pr.asignav '!J17</f>
        <v>0</v>
      </c>
      <c r="L15" s="73">
        <v>0</v>
      </c>
      <c r="M15" s="124">
        <f>+'1pr.asignav '!L17</f>
        <v>0</v>
      </c>
    </row>
    <row r="16" spans="1:13" ht="43.5" customHeight="1">
      <c r="A16" s="58" t="s">
        <v>275</v>
      </c>
      <c r="B16" s="59" t="s">
        <v>276</v>
      </c>
      <c r="C16" s="57" t="s">
        <v>7</v>
      </c>
      <c r="D16" s="124">
        <f t="shared" si="0"/>
        <v>14471</v>
      </c>
      <c r="E16" s="124">
        <f t="shared" si="1"/>
        <v>10854</v>
      </c>
      <c r="F16" s="124">
        <f t="shared" si="2"/>
        <v>-3617</v>
      </c>
      <c r="G16" s="124">
        <f t="shared" si="3"/>
        <v>75</v>
      </c>
      <c r="H16" s="73">
        <v>14471</v>
      </c>
      <c r="I16" s="124">
        <f>+'1pr.asignav '!H20</f>
        <v>10854</v>
      </c>
      <c r="J16" s="73">
        <v>0</v>
      </c>
      <c r="K16" s="124">
        <f>+'1pr.asignav '!J20</f>
        <v>0</v>
      </c>
      <c r="L16" s="73">
        <v>0</v>
      </c>
      <c r="M16" s="124">
        <f>+'1pr.asignav '!L20</f>
        <v>0</v>
      </c>
    </row>
    <row r="17" spans="1:13" ht="65.25" customHeight="1">
      <c r="A17" s="58" t="s">
        <v>277</v>
      </c>
      <c r="B17" s="59" t="s">
        <v>278</v>
      </c>
      <c r="C17" s="57" t="s">
        <v>7</v>
      </c>
      <c r="D17" s="124">
        <f t="shared" si="0"/>
        <v>2473.9</v>
      </c>
      <c r="E17" s="124">
        <f t="shared" si="1"/>
        <v>2473.8</v>
      </c>
      <c r="F17" s="124">
        <f t="shared" si="2"/>
        <v>-0.1</v>
      </c>
      <c r="G17" s="124">
        <f t="shared" si="3"/>
        <v>100</v>
      </c>
      <c r="H17" s="73">
        <v>2464.9</v>
      </c>
      <c r="I17" s="124">
        <f>+'1pr.asignav '!H18</f>
        <v>2464.8</v>
      </c>
      <c r="J17" s="73">
        <v>130.6</v>
      </c>
      <c r="K17" s="124">
        <f>+'1pr.asignav '!J18</f>
        <v>130.6</v>
      </c>
      <c r="L17" s="73">
        <v>9</v>
      </c>
      <c r="M17" s="124">
        <f>+'1pr.asignav '!L18</f>
        <v>9</v>
      </c>
    </row>
    <row r="18" spans="1:13" ht="51.75" customHeight="1">
      <c r="A18" s="58" t="s">
        <v>279</v>
      </c>
      <c r="B18" s="60" t="s">
        <v>280</v>
      </c>
      <c r="C18" s="57" t="s">
        <v>7</v>
      </c>
      <c r="D18" s="124">
        <f t="shared" si="0"/>
        <v>140</v>
      </c>
      <c r="E18" s="124">
        <f t="shared" si="1"/>
        <v>135.2</v>
      </c>
      <c r="F18" s="124">
        <f t="shared" si="2"/>
        <v>-4.8</v>
      </c>
      <c r="G18" s="124">
        <f t="shared" si="3"/>
        <v>96.6</v>
      </c>
      <c r="H18" s="73">
        <v>140</v>
      </c>
      <c r="I18" s="124">
        <f>+'1pr.asignav '!H19</f>
        <v>135.2</v>
      </c>
      <c r="J18" s="73">
        <v>0</v>
      </c>
      <c r="K18" s="124">
        <f>+'1pr.asignav '!J19</f>
        <v>0</v>
      </c>
      <c r="L18" s="73">
        <v>0</v>
      </c>
      <c r="M18" s="124">
        <f>+'1pr.asignav '!L19</f>
        <v>0</v>
      </c>
    </row>
    <row r="19" spans="1:13" ht="55.5" customHeight="1">
      <c r="A19" s="157" t="s">
        <v>281</v>
      </c>
      <c r="B19" s="158" t="s">
        <v>48</v>
      </c>
      <c r="C19" s="57" t="s">
        <v>222</v>
      </c>
      <c r="D19" s="125">
        <f t="shared" si="0"/>
        <v>79.2</v>
      </c>
      <c r="E19" s="125">
        <f t="shared" si="1"/>
        <v>79.1</v>
      </c>
      <c r="F19" s="125">
        <f t="shared" si="2"/>
        <v>-0.1</v>
      </c>
      <c r="G19" s="125">
        <f t="shared" si="3"/>
        <v>99.9</v>
      </c>
      <c r="H19" s="74">
        <v>79.2</v>
      </c>
      <c r="I19" s="125">
        <f>+'1pr.asignav '!H47</f>
        <v>79.1</v>
      </c>
      <c r="J19" s="74">
        <v>0</v>
      </c>
      <c r="K19" s="125">
        <f>+'1pr.asignav '!J47</f>
        <v>0</v>
      </c>
      <c r="L19" s="74">
        <v>0</v>
      </c>
      <c r="M19" s="125">
        <f>+'1pr.asignav '!L47</f>
        <v>0</v>
      </c>
    </row>
    <row r="20" spans="1:13" ht="54" customHeight="1">
      <c r="A20" s="157"/>
      <c r="B20" s="158"/>
      <c r="C20" s="55" t="s">
        <v>246</v>
      </c>
      <c r="D20" s="125">
        <f t="shared" si="0"/>
        <v>432.5</v>
      </c>
      <c r="E20" s="125">
        <f t="shared" si="1"/>
        <v>295.6</v>
      </c>
      <c r="F20" s="125">
        <f t="shared" si="2"/>
        <v>-136.9</v>
      </c>
      <c r="G20" s="125">
        <f t="shared" si="3"/>
        <v>68.3</v>
      </c>
      <c r="H20" s="74">
        <v>232</v>
      </c>
      <c r="I20" s="125">
        <f>+'1pr.asignav '!H76</f>
        <v>187.9</v>
      </c>
      <c r="J20" s="74">
        <v>0</v>
      </c>
      <c r="K20" s="125">
        <f>+'1pr.asignav '!J76</f>
        <v>0</v>
      </c>
      <c r="L20" s="74">
        <v>200.5</v>
      </c>
      <c r="M20" s="125">
        <f>+'1pr.asignav '!L76</f>
        <v>107.7</v>
      </c>
    </row>
    <row r="21" spans="1:13" ht="21.75" customHeight="1">
      <c r="A21" s="157"/>
      <c r="B21" s="158"/>
      <c r="C21" s="57" t="s">
        <v>282</v>
      </c>
      <c r="D21" s="124">
        <f>+D19+D20</f>
        <v>511.7</v>
      </c>
      <c r="E21" s="124">
        <f aca="true" t="shared" si="4" ref="E21:M21">+E19+E20</f>
        <v>374.7</v>
      </c>
      <c r="F21" s="124">
        <f t="shared" si="4"/>
        <v>-137</v>
      </c>
      <c r="G21" s="124">
        <f t="shared" si="3"/>
        <v>73.2</v>
      </c>
      <c r="H21" s="124">
        <f t="shared" si="4"/>
        <v>311.2</v>
      </c>
      <c r="I21" s="124">
        <f t="shared" si="4"/>
        <v>267</v>
      </c>
      <c r="J21" s="124">
        <f t="shared" si="4"/>
        <v>0</v>
      </c>
      <c r="K21" s="124">
        <f t="shared" si="4"/>
        <v>0</v>
      </c>
      <c r="L21" s="124">
        <f t="shared" si="4"/>
        <v>200.5</v>
      </c>
      <c r="M21" s="124">
        <f t="shared" si="4"/>
        <v>107.7</v>
      </c>
    </row>
    <row r="22" spans="1:13" ht="36" customHeight="1">
      <c r="A22" s="157" t="s">
        <v>283</v>
      </c>
      <c r="B22" s="158" t="s">
        <v>216</v>
      </c>
      <c r="C22" s="57" t="s">
        <v>7</v>
      </c>
      <c r="D22" s="126">
        <f t="shared" si="0"/>
        <v>3218.5</v>
      </c>
      <c r="E22" s="126">
        <f t="shared" si="1"/>
        <v>2992</v>
      </c>
      <c r="F22" s="126">
        <f t="shared" si="2"/>
        <v>-226.5</v>
      </c>
      <c r="G22" s="126">
        <f t="shared" si="3"/>
        <v>93</v>
      </c>
      <c r="H22" s="127">
        <v>3158.5</v>
      </c>
      <c r="I22" s="126">
        <f>+'1pr.asignav '!H21</f>
        <v>2937.8</v>
      </c>
      <c r="J22" s="127">
        <v>1970.9</v>
      </c>
      <c r="K22" s="126">
        <f>+'1pr.asignav '!J21</f>
        <v>1909</v>
      </c>
      <c r="L22" s="127">
        <v>60</v>
      </c>
      <c r="M22" s="126">
        <f>+'1pr.asignav '!L21</f>
        <v>54.2</v>
      </c>
    </row>
    <row r="23" spans="1:13" ht="56.25" customHeight="1">
      <c r="A23" s="157"/>
      <c r="B23" s="158"/>
      <c r="C23" s="57" t="s">
        <v>222</v>
      </c>
      <c r="D23" s="126">
        <f t="shared" si="0"/>
        <v>783.8</v>
      </c>
      <c r="E23" s="126">
        <f t="shared" si="1"/>
        <v>725</v>
      </c>
      <c r="F23" s="126">
        <f t="shared" si="2"/>
        <v>-58.8</v>
      </c>
      <c r="G23" s="126">
        <f t="shared" si="3"/>
        <v>92.5</v>
      </c>
      <c r="H23" s="127">
        <v>783.8</v>
      </c>
      <c r="I23" s="126">
        <f>+'1pr.asignav '!H71</f>
        <v>725</v>
      </c>
      <c r="J23" s="127">
        <v>0</v>
      </c>
      <c r="K23" s="126">
        <f>+'1pr.asignav '!J71</f>
        <v>0</v>
      </c>
      <c r="L23" s="127">
        <v>0</v>
      </c>
      <c r="M23" s="126">
        <f>+'1pr.asignav '!L71</f>
        <v>0</v>
      </c>
    </row>
    <row r="24" spans="1:13" ht="37.5" customHeight="1">
      <c r="A24" s="157"/>
      <c r="B24" s="158"/>
      <c r="C24" s="61" t="s">
        <v>264</v>
      </c>
      <c r="D24" s="126">
        <f t="shared" si="0"/>
        <v>35884</v>
      </c>
      <c r="E24" s="126">
        <f t="shared" si="1"/>
        <v>33923.8</v>
      </c>
      <c r="F24" s="126">
        <f t="shared" si="2"/>
        <v>-1960.2</v>
      </c>
      <c r="G24" s="126">
        <f t="shared" si="3"/>
        <v>94.5</v>
      </c>
      <c r="H24" s="127">
        <v>35884</v>
      </c>
      <c r="I24" s="126">
        <f>+'1pr.asignav '!H125</f>
        <v>33923.8</v>
      </c>
      <c r="J24" s="127">
        <v>757.9</v>
      </c>
      <c r="K24" s="126">
        <f>+'1pr.asignav '!J125</f>
        <v>743.2</v>
      </c>
      <c r="L24" s="127">
        <v>0</v>
      </c>
      <c r="M24" s="126">
        <f>+'1pr.asignav '!L125</f>
        <v>0</v>
      </c>
    </row>
    <row r="25" spans="1:13" ht="21.75" customHeight="1">
      <c r="A25" s="157"/>
      <c r="B25" s="158"/>
      <c r="C25" s="57" t="s">
        <v>282</v>
      </c>
      <c r="D25" s="128">
        <f>+D22+D23+D24</f>
        <v>39886.3</v>
      </c>
      <c r="E25" s="128">
        <f aca="true" t="shared" si="5" ref="E25:M25">+E22+E23+E24</f>
        <v>37640.8</v>
      </c>
      <c r="F25" s="128">
        <f t="shared" si="5"/>
        <v>-2245.5</v>
      </c>
      <c r="G25" s="128">
        <f t="shared" si="3"/>
        <v>94.4</v>
      </c>
      <c r="H25" s="128">
        <f t="shared" si="5"/>
        <v>39826.3</v>
      </c>
      <c r="I25" s="128">
        <f t="shared" si="5"/>
        <v>37586.6</v>
      </c>
      <c r="J25" s="128">
        <f t="shared" si="5"/>
        <v>2728.8</v>
      </c>
      <c r="K25" s="128">
        <f t="shared" si="5"/>
        <v>2652.2</v>
      </c>
      <c r="L25" s="128">
        <f t="shared" si="5"/>
        <v>60</v>
      </c>
      <c r="M25" s="128">
        <f t="shared" si="5"/>
        <v>54.2</v>
      </c>
    </row>
    <row r="26" spans="1:13" ht="50.25" customHeight="1">
      <c r="A26" s="58" t="s">
        <v>284</v>
      </c>
      <c r="B26" s="56" t="s">
        <v>49</v>
      </c>
      <c r="C26" s="57" t="s">
        <v>222</v>
      </c>
      <c r="D26" s="124">
        <f t="shared" si="0"/>
        <v>2408.4</v>
      </c>
      <c r="E26" s="124">
        <f t="shared" si="1"/>
        <v>2389.3</v>
      </c>
      <c r="F26" s="124">
        <f t="shared" si="2"/>
        <v>-19.1</v>
      </c>
      <c r="G26" s="124">
        <f t="shared" si="3"/>
        <v>99.2</v>
      </c>
      <c r="H26" s="73">
        <v>524.4</v>
      </c>
      <c r="I26" s="124">
        <f>+'1pr.asignav '!H41</f>
        <v>524.2</v>
      </c>
      <c r="J26" s="73">
        <v>0</v>
      </c>
      <c r="K26" s="124">
        <f>+'1pr.asignav '!J41</f>
        <v>0</v>
      </c>
      <c r="L26" s="73">
        <v>1884</v>
      </c>
      <c r="M26" s="124">
        <f>+'1pr.asignav '!L41</f>
        <v>1865.1</v>
      </c>
    </row>
    <row r="27" spans="1:13" ht="63.75" customHeight="1">
      <c r="A27" s="58" t="s">
        <v>285</v>
      </c>
      <c r="B27" s="59" t="s">
        <v>286</v>
      </c>
      <c r="C27" s="57" t="s">
        <v>222</v>
      </c>
      <c r="D27" s="124">
        <f t="shared" si="0"/>
        <v>929.4</v>
      </c>
      <c r="E27" s="124">
        <f t="shared" si="1"/>
        <v>929.4</v>
      </c>
      <c r="F27" s="124">
        <f t="shared" si="2"/>
        <v>0</v>
      </c>
      <c r="G27" s="124">
        <f t="shared" si="3"/>
        <v>100</v>
      </c>
      <c r="H27" s="73">
        <v>929.4</v>
      </c>
      <c r="I27" s="124">
        <f>+'1pr.asignav '!H45</f>
        <v>929.4</v>
      </c>
      <c r="J27" s="73">
        <v>0</v>
      </c>
      <c r="K27" s="124">
        <f>+'1pr.asignav '!J45</f>
        <v>0</v>
      </c>
      <c r="L27" s="73">
        <v>0</v>
      </c>
      <c r="M27" s="124">
        <f>+'1pr.asignav '!L45</f>
        <v>0</v>
      </c>
    </row>
    <row r="28" spans="1:13" ht="49.5" customHeight="1">
      <c r="A28" s="58" t="s">
        <v>287</v>
      </c>
      <c r="B28" s="56" t="s">
        <v>288</v>
      </c>
      <c r="C28" s="57" t="s">
        <v>222</v>
      </c>
      <c r="D28" s="124">
        <f t="shared" si="0"/>
        <v>189.9</v>
      </c>
      <c r="E28" s="124">
        <f t="shared" si="1"/>
        <v>189.8</v>
      </c>
      <c r="F28" s="124">
        <f t="shared" si="2"/>
        <v>-0.1</v>
      </c>
      <c r="G28" s="124">
        <f t="shared" si="3"/>
        <v>99.9</v>
      </c>
      <c r="H28" s="73">
        <v>161.9</v>
      </c>
      <c r="I28" s="124">
        <f>+'1pr.asignav '!H46</f>
        <v>161.8</v>
      </c>
      <c r="J28" s="73">
        <v>0</v>
      </c>
      <c r="K28" s="124">
        <f>+'1pr.asignav '!J46</f>
        <v>0</v>
      </c>
      <c r="L28" s="73">
        <v>28</v>
      </c>
      <c r="M28" s="124">
        <f>+'1pr.asignav '!L46</f>
        <v>28</v>
      </c>
    </row>
    <row r="29" spans="1:13" ht="50.25" customHeight="1">
      <c r="A29" s="157" t="s">
        <v>289</v>
      </c>
      <c r="B29" s="159" t="s">
        <v>50</v>
      </c>
      <c r="C29" s="57" t="s">
        <v>222</v>
      </c>
      <c r="D29" s="125">
        <f t="shared" si="0"/>
        <v>3019.8</v>
      </c>
      <c r="E29" s="125">
        <f t="shared" si="1"/>
        <v>2038.4</v>
      </c>
      <c r="F29" s="125">
        <f t="shared" si="2"/>
        <v>-981.4</v>
      </c>
      <c r="G29" s="125">
        <f t="shared" si="3"/>
        <v>67.5</v>
      </c>
      <c r="H29" s="74">
        <v>0</v>
      </c>
      <c r="I29" s="125">
        <f>+'1pr.asignav '!H63</f>
        <v>0</v>
      </c>
      <c r="J29" s="74">
        <v>0</v>
      </c>
      <c r="K29" s="125">
        <f>+'1pr.asignav '!J63</f>
        <v>0</v>
      </c>
      <c r="L29" s="74">
        <v>3019.8</v>
      </c>
      <c r="M29" s="125">
        <f>+'1pr.asignav '!L63</f>
        <v>2038.4</v>
      </c>
    </row>
    <row r="30" spans="1:13" ht="48.75" customHeight="1">
      <c r="A30" s="157"/>
      <c r="B30" s="160"/>
      <c r="C30" s="57" t="s">
        <v>256</v>
      </c>
      <c r="D30" s="125">
        <f t="shared" si="0"/>
        <v>9674.7</v>
      </c>
      <c r="E30" s="125">
        <f t="shared" si="1"/>
        <v>9825.7</v>
      </c>
      <c r="F30" s="125">
        <f t="shared" si="2"/>
        <v>151</v>
      </c>
      <c r="G30" s="125">
        <f t="shared" si="3"/>
        <v>101.6</v>
      </c>
      <c r="H30" s="74">
        <f>9636.3-32.9-4</f>
        <v>9599.4</v>
      </c>
      <c r="I30" s="125">
        <f>+'1pr.asignav '!H103</f>
        <v>9750.6</v>
      </c>
      <c r="J30" s="74">
        <f>4429.4-30.1</f>
        <v>4399.3</v>
      </c>
      <c r="K30" s="125">
        <f>+'1pr.asignav '!J103</f>
        <v>4343.5</v>
      </c>
      <c r="L30" s="74">
        <f>38.4+4+32.9</f>
        <v>75.3</v>
      </c>
      <c r="M30" s="125">
        <f>+'1pr.asignav '!L103</f>
        <v>75.1</v>
      </c>
    </row>
    <row r="31" spans="1:13" ht="15.75" customHeight="1">
      <c r="A31" s="157"/>
      <c r="B31" s="161"/>
      <c r="C31" s="57" t="s">
        <v>282</v>
      </c>
      <c r="D31" s="124">
        <f>+D29+D30</f>
        <v>12694.5</v>
      </c>
      <c r="E31" s="124">
        <f aca="true" t="shared" si="6" ref="E31:M31">+E29+E30</f>
        <v>11864.1</v>
      </c>
      <c r="F31" s="124">
        <f t="shared" si="6"/>
        <v>-830.4</v>
      </c>
      <c r="G31" s="124">
        <f t="shared" si="3"/>
        <v>93.5</v>
      </c>
      <c r="H31" s="124">
        <f t="shared" si="6"/>
        <v>9599.4</v>
      </c>
      <c r="I31" s="124">
        <f t="shared" si="6"/>
        <v>9750.6</v>
      </c>
      <c r="J31" s="124">
        <f t="shared" si="6"/>
        <v>4399.3</v>
      </c>
      <c r="K31" s="124">
        <f t="shared" si="6"/>
        <v>4343.5</v>
      </c>
      <c r="L31" s="124">
        <f t="shared" si="6"/>
        <v>3095.1</v>
      </c>
      <c r="M31" s="124">
        <f t="shared" si="6"/>
        <v>2113.5</v>
      </c>
    </row>
    <row r="32" spans="1:13" ht="48" customHeight="1">
      <c r="A32" s="157" t="s">
        <v>290</v>
      </c>
      <c r="B32" s="159" t="s">
        <v>51</v>
      </c>
      <c r="C32" s="57" t="s">
        <v>222</v>
      </c>
      <c r="D32" s="125">
        <f t="shared" si="0"/>
        <v>528.6</v>
      </c>
      <c r="E32" s="125">
        <f t="shared" si="1"/>
        <v>494.7</v>
      </c>
      <c r="F32" s="125">
        <f t="shared" si="2"/>
        <v>-33.9</v>
      </c>
      <c r="G32" s="125">
        <f t="shared" si="3"/>
        <v>93.6</v>
      </c>
      <c r="H32" s="125">
        <f>+'1pr.asignav '!G52</f>
        <v>16.6</v>
      </c>
      <c r="I32" s="125">
        <f>+'1pr.asignav '!H52</f>
        <v>16</v>
      </c>
      <c r="J32" s="74">
        <v>0</v>
      </c>
      <c r="K32" s="125">
        <f>+'1pr.asignav '!J52</f>
        <v>0</v>
      </c>
      <c r="L32" s="125">
        <f>+'1pr.asignav '!K52</f>
        <v>512</v>
      </c>
      <c r="M32" s="125">
        <f>+'1pr.asignav '!L52</f>
        <v>478.7</v>
      </c>
    </row>
    <row r="33" spans="1:13" ht="33" customHeight="1">
      <c r="A33" s="157"/>
      <c r="B33" s="160"/>
      <c r="C33" s="57" t="s">
        <v>247</v>
      </c>
      <c r="D33" s="125">
        <f t="shared" si="0"/>
        <v>18255.3</v>
      </c>
      <c r="E33" s="125">
        <f t="shared" si="1"/>
        <v>18255.1</v>
      </c>
      <c r="F33" s="125">
        <f t="shared" si="2"/>
        <v>-0.2</v>
      </c>
      <c r="G33" s="125">
        <f t="shared" si="3"/>
        <v>100</v>
      </c>
      <c r="H33" s="74">
        <v>18255.3</v>
      </c>
      <c r="I33" s="125">
        <f>+'1pr.asignav '!H81</f>
        <v>18255.1</v>
      </c>
      <c r="J33" s="74">
        <v>0</v>
      </c>
      <c r="K33" s="125">
        <f>+'1pr.asignav '!J81</f>
        <v>0</v>
      </c>
      <c r="L33" s="74">
        <v>0</v>
      </c>
      <c r="M33" s="125">
        <f>+'1pr.asignav '!L81</f>
        <v>0</v>
      </c>
    </row>
    <row r="34" spans="1:13" ht="19.5" customHeight="1">
      <c r="A34" s="157"/>
      <c r="B34" s="161"/>
      <c r="C34" s="57" t="s">
        <v>282</v>
      </c>
      <c r="D34" s="124">
        <f>+D32+D33</f>
        <v>18783.9</v>
      </c>
      <c r="E34" s="124">
        <f aca="true" t="shared" si="7" ref="E34:M34">+E32+E33</f>
        <v>18749.8</v>
      </c>
      <c r="F34" s="124">
        <f t="shared" si="7"/>
        <v>-34.1</v>
      </c>
      <c r="G34" s="124">
        <f t="shared" si="3"/>
        <v>99.8</v>
      </c>
      <c r="H34" s="124">
        <f>+H32+H33</f>
        <v>18271.9</v>
      </c>
      <c r="I34" s="124">
        <f t="shared" si="7"/>
        <v>18271.1</v>
      </c>
      <c r="J34" s="124">
        <f t="shared" si="7"/>
        <v>0</v>
      </c>
      <c r="K34" s="124">
        <f t="shared" si="7"/>
        <v>0</v>
      </c>
      <c r="L34" s="124">
        <f t="shared" si="7"/>
        <v>512</v>
      </c>
      <c r="M34" s="124">
        <f t="shared" si="7"/>
        <v>478.7</v>
      </c>
    </row>
    <row r="35" spans="1:13" ht="48.75" customHeight="1">
      <c r="A35" s="157" t="s">
        <v>291</v>
      </c>
      <c r="B35" s="159" t="s">
        <v>292</v>
      </c>
      <c r="C35" s="57" t="s">
        <v>222</v>
      </c>
      <c r="D35" s="125">
        <f t="shared" si="0"/>
        <v>2354.7</v>
      </c>
      <c r="E35" s="125">
        <f t="shared" si="1"/>
        <v>1471.6</v>
      </c>
      <c r="F35" s="125">
        <f t="shared" si="2"/>
        <v>-883.1</v>
      </c>
      <c r="G35" s="125">
        <f t="shared" si="3"/>
        <v>62.5</v>
      </c>
      <c r="H35" s="74">
        <f>+'1pr.asignav '!G56</f>
        <v>0</v>
      </c>
      <c r="I35" s="74">
        <f>+'1pr.asignav '!H56</f>
        <v>0</v>
      </c>
      <c r="J35" s="74">
        <f>+'1pr.asignav '!I56</f>
        <v>0</v>
      </c>
      <c r="K35" s="74">
        <f>+'1pr.asignav '!J56</f>
        <v>0</v>
      </c>
      <c r="L35" s="74">
        <f>+'1pr.asignav '!K56</f>
        <v>2354.7</v>
      </c>
      <c r="M35" s="74">
        <f>+'1pr.asignav '!L56</f>
        <v>1471.6</v>
      </c>
    </row>
    <row r="36" spans="1:13" ht="33.75" customHeight="1">
      <c r="A36" s="157"/>
      <c r="B36" s="160"/>
      <c r="C36" s="57" t="s">
        <v>247</v>
      </c>
      <c r="D36" s="125">
        <f t="shared" si="0"/>
        <v>21789.1</v>
      </c>
      <c r="E36" s="125">
        <f t="shared" si="1"/>
        <v>21714.2</v>
      </c>
      <c r="F36" s="125">
        <f t="shared" si="2"/>
        <v>-74.9</v>
      </c>
      <c r="G36" s="125">
        <f t="shared" si="3"/>
        <v>99.7</v>
      </c>
      <c r="H36" s="125">
        <f>+'1pr.asignav '!G82</f>
        <v>21397.1</v>
      </c>
      <c r="I36" s="125">
        <f>+'1pr.asignav '!H82</f>
        <v>21322.3</v>
      </c>
      <c r="J36" s="125">
        <f>+'1pr.asignav '!I82</f>
        <v>815.1</v>
      </c>
      <c r="K36" s="125">
        <f>+'1pr.asignav '!J82</f>
        <v>719.1</v>
      </c>
      <c r="L36" s="125">
        <f>+'1pr.asignav '!K82</f>
        <v>392</v>
      </c>
      <c r="M36" s="125">
        <f>+'1pr.asignav '!L82</f>
        <v>391.9</v>
      </c>
    </row>
    <row r="37" spans="1:13" ht="19.5" customHeight="1">
      <c r="A37" s="157"/>
      <c r="B37" s="161"/>
      <c r="C37" s="57" t="s">
        <v>282</v>
      </c>
      <c r="D37" s="124">
        <f>+D35+D36</f>
        <v>24143.8</v>
      </c>
      <c r="E37" s="124">
        <f aca="true" t="shared" si="8" ref="E37:M37">+E35+E36</f>
        <v>23185.8</v>
      </c>
      <c r="F37" s="124">
        <f t="shared" si="8"/>
        <v>-958</v>
      </c>
      <c r="G37" s="124">
        <f t="shared" si="3"/>
        <v>96</v>
      </c>
      <c r="H37" s="124">
        <f t="shared" si="8"/>
        <v>21397.1</v>
      </c>
      <c r="I37" s="124">
        <f t="shared" si="8"/>
        <v>21322.3</v>
      </c>
      <c r="J37" s="124">
        <f t="shared" si="8"/>
        <v>815.1</v>
      </c>
      <c r="K37" s="124">
        <f t="shared" si="8"/>
        <v>719.1</v>
      </c>
      <c r="L37" s="124">
        <f t="shared" si="8"/>
        <v>2746.7</v>
      </c>
      <c r="M37" s="124">
        <f t="shared" si="8"/>
        <v>1863.5</v>
      </c>
    </row>
    <row r="38" spans="1:13" ht="46.5" customHeight="1">
      <c r="A38" s="157" t="s">
        <v>293</v>
      </c>
      <c r="B38" s="154" t="s">
        <v>52</v>
      </c>
      <c r="C38" s="57" t="s">
        <v>222</v>
      </c>
      <c r="D38" s="125">
        <f t="shared" si="0"/>
        <v>112.4</v>
      </c>
      <c r="E38" s="125">
        <f t="shared" si="1"/>
        <v>119.1</v>
      </c>
      <c r="F38" s="125">
        <f t="shared" si="2"/>
        <v>6.7</v>
      </c>
      <c r="G38" s="125">
        <f t="shared" si="3"/>
        <v>106</v>
      </c>
      <c r="H38" s="125">
        <f>+'1pr.asignav '!G67</f>
        <v>27.4</v>
      </c>
      <c r="I38" s="125">
        <f>+'1pr.asignav '!H67</f>
        <v>27.3</v>
      </c>
      <c r="J38" s="74">
        <v>0</v>
      </c>
      <c r="K38" s="125">
        <f>+'1pr.asignav '!J67</f>
        <v>0</v>
      </c>
      <c r="L38" s="125">
        <f>+'1pr.asignav '!K67</f>
        <v>85</v>
      </c>
      <c r="M38" s="125">
        <f>+'1pr.asignav '!L67</f>
        <v>91.8</v>
      </c>
    </row>
    <row r="39" spans="1:13" ht="33" customHeight="1">
      <c r="A39" s="157"/>
      <c r="B39" s="155"/>
      <c r="C39" s="57" t="s">
        <v>247</v>
      </c>
      <c r="D39" s="125">
        <f t="shared" si="0"/>
        <v>17447.3</v>
      </c>
      <c r="E39" s="125">
        <f t="shared" si="1"/>
        <v>13085.7</v>
      </c>
      <c r="F39" s="125">
        <f t="shared" si="2"/>
        <v>-4361.6</v>
      </c>
      <c r="G39" s="125">
        <f t="shared" si="3"/>
        <v>75</v>
      </c>
      <c r="H39" s="125">
        <f>+'1pr.asignav '!G91</f>
        <v>17152.3</v>
      </c>
      <c r="I39" s="125">
        <f>+'1pr.asignav '!H91</f>
        <v>12840.8</v>
      </c>
      <c r="J39" s="74">
        <v>0</v>
      </c>
      <c r="K39" s="125">
        <f>+'1pr.asignav '!J91</f>
        <v>0</v>
      </c>
      <c r="L39" s="125">
        <f>+'1pr.asignav '!K91</f>
        <v>295</v>
      </c>
      <c r="M39" s="125">
        <f>+'1pr.asignav '!L91</f>
        <v>244.9</v>
      </c>
    </row>
    <row r="40" spans="1:13" ht="46.5" customHeight="1">
      <c r="A40" s="157"/>
      <c r="B40" s="155"/>
      <c r="C40" s="57" t="s">
        <v>246</v>
      </c>
      <c r="D40" s="125">
        <f t="shared" si="0"/>
        <v>88</v>
      </c>
      <c r="E40" s="125">
        <f t="shared" si="1"/>
        <v>79.6</v>
      </c>
      <c r="F40" s="125">
        <f t="shared" si="2"/>
        <v>-8.4</v>
      </c>
      <c r="G40" s="125">
        <f t="shared" si="3"/>
        <v>90.5</v>
      </c>
      <c r="H40" s="74">
        <v>0</v>
      </c>
      <c r="I40" s="125">
        <f>+'1pr.asignav '!H77</f>
        <v>0</v>
      </c>
      <c r="J40" s="74">
        <v>0</v>
      </c>
      <c r="K40" s="125">
        <f>+'1pr.asignav '!J77</f>
        <v>0</v>
      </c>
      <c r="L40" s="125">
        <f>+'1pr.asignav '!K77</f>
        <v>88</v>
      </c>
      <c r="M40" s="125">
        <f>+'1pr.asignav '!L77</f>
        <v>79.6</v>
      </c>
    </row>
    <row r="41" spans="1:13" ht="18.75" customHeight="1">
      <c r="A41" s="157"/>
      <c r="B41" s="156"/>
      <c r="C41" s="57" t="s">
        <v>282</v>
      </c>
      <c r="D41" s="124">
        <f>+D38+D39+D40</f>
        <v>17647.7</v>
      </c>
      <c r="E41" s="124">
        <f aca="true" t="shared" si="9" ref="E41:M41">+E38+E39+E40</f>
        <v>13284.4</v>
      </c>
      <c r="F41" s="124">
        <f t="shared" si="9"/>
        <v>-4363.3</v>
      </c>
      <c r="G41" s="124">
        <f t="shared" si="3"/>
        <v>75.3</v>
      </c>
      <c r="H41" s="124">
        <f t="shared" si="9"/>
        <v>17179.7</v>
      </c>
      <c r="I41" s="124">
        <f t="shared" si="9"/>
        <v>12868.1</v>
      </c>
      <c r="J41" s="124">
        <f t="shared" si="9"/>
        <v>0</v>
      </c>
      <c r="K41" s="124">
        <f t="shared" si="9"/>
        <v>0</v>
      </c>
      <c r="L41" s="124">
        <f t="shared" si="9"/>
        <v>468</v>
      </c>
      <c r="M41" s="124">
        <f t="shared" si="9"/>
        <v>416.3</v>
      </c>
    </row>
    <row r="42" spans="1:13" ht="52.5" customHeight="1">
      <c r="A42" s="157" t="s">
        <v>294</v>
      </c>
      <c r="B42" s="159" t="s">
        <v>54</v>
      </c>
      <c r="C42" s="57" t="s">
        <v>222</v>
      </c>
      <c r="D42" s="125">
        <f t="shared" si="0"/>
        <v>5190.3</v>
      </c>
      <c r="E42" s="125">
        <f t="shared" si="1"/>
        <v>4396.1</v>
      </c>
      <c r="F42" s="125">
        <f t="shared" si="2"/>
        <v>-794.2</v>
      </c>
      <c r="G42" s="125">
        <f t="shared" si="3"/>
        <v>84.7</v>
      </c>
      <c r="H42" s="125">
        <f>+'1pr.asignav '!G48</f>
        <v>1011.2</v>
      </c>
      <c r="I42" s="125">
        <f>+'1pr.asignav '!H48</f>
        <v>475.8</v>
      </c>
      <c r="J42" s="125">
        <f>+'1pr.asignav '!I48</f>
        <v>39.3</v>
      </c>
      <c r="K42" s="125">
        <f>+'1pr.asignav '!J48</f>
        <v>17.8</v>
      </c>
      <c r="L42" s="125">
        <f>+'1pr.asignav '!K48</f>
        <v>4179.1</v>
      </c>
      <c r="M42" s="125">
        <f>+'1pr.asignav '!L48</f>
        <v>3920.3</v>
      </c>
    </row>
    <row r="43" spans="1:13" ht="38.25" customHeight="1">
      <c r="A43" s="157"/>
      <c r="B43" s="160"/>
      <c r="C43" s="57" t="s">
        <v>247</v>
      </c>
      <c r="D43" s="125">
        <f t="shared" si="0"/>
        <v>16071.9</v>
      </c>
      <c r="E43" s="125">
        <f t="shared" si="1"/>
        <v>16056.4</v>
      </c>
      <c r="F43" s="125">
        <f t="shared" si="2"/>
        <v>-15.5</v>
      </c>
      <c r="G43" s="125">
        <f t="shared" si="3"/>
        <v>99.9</v>
      </c>
      <c r="H43" s="125">
        <f>+'1pr.asignav '!G90</f>
        <v>16038.5</v>
      </c>
      <c r="I43" s="125">
        <f>+'1pr.asignav '!H90</f>
        <v>16023.1</v>
      </c>
      <c r="J43" s="74">
        <v>0</v>
      </c>
      <c r="K43" s="125">
        <f>+'1pr.asignav '!J90</f>
        <v>0</v>
      </c>
      <c r="L43" s="125">
        <f>+'1pr.asignav '!K90</f>
        <v>33.4</v>
      </c>
      <c r="M43" s="125">
        <f>+'1pr.asignav '!L90</f>
        <v>33.3</v>
      </c>
    </row>
    <row r="44" spans="1:13" ht="57" customHeight="1">
      <c r="A44" s="157"/>
      <c r="B44" s="160"/>
      <c r="C44" s="57" t="s">
        <v>256</v>
      </c>
      <c r="D44" s="125">
        <f t="shared" si="0"/>
        <v>193802.2</v>
      </c>
      <c r="E44" s="125">
        <f t="shared" si="1"/>
        <v>191609.9</v>
      </c>
      <c r="F44" s="125">
        <f t="shared" si="2"/>
        <v>-2192.3</v>
      </c>
      <c r="G44" s="125">
        <f t="shared" si="3"/>
        <v>98.9</v>
      </c>
      <c r="H44" s="125">
        <f>+'1pr.asignav '!G97</f>
        <v>193010.1</v>
      </c>
      <c r="I44" s="125">
        <f>+'1pr.asignav '!H97</f>
        <v>190820.3</v>
      </c>
      <c r="J44" s="125">
        <f>+'1pr.asignav '!I97</f>
        <v>128258.6</v>
      </c>
      <c r="K44" s="125">
        <f>+'1pr.asignav '!J97</f>
        <v>127728.5</v>
      </c>
      <c r="L44" s="125">
        <f>+'1pr.asignav '!K97</f>
        <v>792.1</v>
      </c>
      <c r="M44" s="125">
        <f>+'1pr.asignav '!L97</f>
        <v>789.6</v>
      </c>
    </row>
    <row r="45" spans="1:13" ht="24.75" customHeight="1">
      <c r="A45" s="157"/>
      <c r="B45" s="161"/>
      <c r="C45" s="57" t="s">
        <v>282</v>
      </c>
      <c r="D45" s="124">
        <f>+D42+D43+D44</f>
        <v>215064.4</v>
      </c>
      <c r="E45" s="124">
        <f>+E42+E43+E44</f>
        <v>212062.4</v>
      </c>
      <c r="F45" s="124">
        <f>+F42+F43+F44</f>
        <v>-3002</v>
      </c>
      <c r="G45" s="124">
        <f t="shared" si="3"/>
        <v>98.6</v>
      </c>
      <c r="H45" s="124">
        <f aca="true" t="shared" si="10" ref="H45:M45">+H42+H43+H44</f>
        <v>210059.8</v>
      </c>
      <c r="I45" s="124">
        <f t="shared" si="10"/>
        <v>207319.2</v>
      </c>
      <c r="J45" s="124">
        <f t="shared" si="10"/>
        <v>128297.9</v>
      </c>
      <c r="K45" s="124">
        <f t="shared" si="10"/>
        <v>127746.3</v>
      </c>
      <c r="L45" s="124">
        <f t="shared" si="10"/>
        <v>5004.6</v>
      </c>
      <c r="M45" s="124">
        <f t="shared" si="10"/>
        <v>4743.2</v>
      </c>
    </row>
    <row r="46" spans="1:13" ht="57" customHeight="1">
      <c r="A46" s="157" t="s">
        <v>295</v>
      </c>
      <c r="B46" s="159" t="s">
        <v>55</v>
      </c>
      <c r="C46" s="57" t="s">
        <v>222</v>
      </c>
      <c r="D46" s="125">
        <f t="shared" si="0"/>
        <v>18131.2</v>
      </c>
      <c r="E46" s="125">
        <f t="shared" si="1"/>
        <v>16194.6</v>
      </c>
      <c r="F46" s="125">
        <f t="shared" si="2"/>
        <v>-1936.6</v>
      </c>
      <c r="G46" s="125">
        <f t="shared" si="3"/>
        <v>89.3</v>
      </c>
      <c r="H46" s="74">
        <v>0</v>
      </c>
      <c r="I46" s="125">
        <f>+'1pr.asignav '!H57</f>
        <v>0</v>
      </c>
      <c r="J46" s="74">
        <v>0</v>
      </c>
      <c r="K46" s="125">
        <f>+'1pr.asignav '!J57</f>
        <v>0</v>
      </c>
      <c r="L46" s="125">
        <f>+'1pr.asignav '!K57</f>
        <v>18131.2</v>
      </c>
      <c r="M46" s="125">
        <f>+'1pr.asignav '!L57</f>
        <v>16194.6</v>
      </c>
    </row>
    <row r="47" spans="1:13" ht="54" customHeight="1">
      <c r="A47" s="157"/>
      <c r="B47" s="160"/>
      <c r="C47" s="57" t="s">
        <v>256</v>
      </c>
      <c r="D47" s="125">
        <f t="shared" si="0"/>
        <v>13576.6</v>
      </c>
      <c r="E47" s="125">
        <f t="shared" si="1"/>
        <v>13588.2</v>
      </c>
      <c r="F47" s="125">
        <f t="shared" si="2"/>
        <v>11.6</v>
      </c>
      <c r="G47" s="125">
        <f t="shared" si="3"/>
        <v>100.1</v>
      </c>
      <c r="H47" s="125">
        <f>+'1pr.asignav '!G107</f>
        <v>13480.5</v>
      </c>
      <c r="I47" s="125">
        <f>+'1pr.asignav '!H107</f>
        <v>13475.2</v>
      </c>
      <c r="J47" s="125">
        <f>+'1pr.asignav '!I107</f>
        <v>7088.9</v>
      </c>
      <c r="K47" s="125">
        <f>+'1pr.asignav '!J107</f>
        <v>7017.8</v>
      </c>
      <c r="L47" s="125">
        <f>+'1pr.asignav '!K107</f>
        <v>96.1</v>
      </c>
      <c r="M47" s="125">
        <f>+'1pr.asignav '!L107</f>
        <v>113</v>
      </c>
    </row>
    <row r="48" spans="1:13" ht="25.5" customHeight="1">
      <c r="A48" s="157"/>
      <c r="B48" s="161"/>
      <c r="C48" s="57" t="s">
        <v>282</v>
      </c>
      <c r="D48" s="124">
        <f>+D46+D47</f>
        <v>31707.8</v>
      </c>
      <c r="E48" s="124">
        <f aca="true" t="shared" si="11" ref="E48:M48">+E46+E47</f>
        <v>29782.8</v>
      </c>
      <c r="F48" s="124">
        <f t="shared" si="11"/>
        <v>-1925</v>
      </c>
      <c r="G48" s="124">
        <f t="shared" si="3"/>
        <v>93.9</v>
      </c>
      <c r="H48" s="124">
        <f t="shared" si="11"/>
        <v>13480.5</v>
      </c>
      <c r="I48" s="124">
        <f t="shared" si="11"/>
        <v>13475.2</v>
      </c>
      <c r="J48" s="124">
        <f t="shared" si="11"/>
        <v>7088.9</v>
      </c>
      <c r="K48" s="124">
        <f t="shared" si="11"/>
        <v>7017.8</v>
      </c>
      <c r="L48" s="124">
        <f t="shared" si="11"/>
        <v>18227.3</v>
      </c>
      <c r="M48" s="124">
        <f t="shared" si="11"/>
        <v>16307.6</v>
      </c>
    </row>
    <row r="49" spans="1:13" ht="54" customHeight="1">
      <c r="A49" s="157" t="s">
        <v>296</v>
      </c>
      <c r="B49" s="159" t="s">
        <v>56</v>
      </c>
      <c r="C49" s="57" t="s">
        <v>222</v>
      </c>
      <c r="D49" s="125">
        <f t="shared" si="0"/>
        <v>373.2</v>
      </c>
      <c r="E49" s="125">
        <f t="shared" si="1"/>
        <v>312.9</v>
      </c>
      <c r="F49" s="125">
        <f t="shared" si="2"/>
        <v>-60.3</v>
      </c>
      <c r="G49" s="125">
        <f t="shared" si="3"/>
        <v>83.8</v>
      </c>
      <c r="H49" s="74">
        <v>0</v>
      </c>
      <c r="I49" s="125">
        <f>+'1pr.asignav '!H61</f>
        <v>0</v>
      </c>
      <c r="J49" s="74">
        <v>0</v>
      </c>
      <c r="K49" s="125">
        <f>+'1pr.asignav '!J61</f>
        <v>0</v>
      </c>
      <c r="L49" s="125">
        <f>+'1pr.asignav '!K61</f>
        <v>373.2</v>
      </c>
      <c r="M49" s="125">
        <f>+'1pr.asignav '!L61</f>
        <v>312.9</v>
      </c>
    </row>
    <row r="50" spans="1:13" ht="36" customHeight="1">
      <c r="A50" s="157"/>
      <c r="B50" s="160"/>
      <c r="C50" s="57" t="s">
        <v>247</v>
      </c>
      <c r="D50" s="125">
        <f t="shared" si="0"/>
        <v>755.1</v>
      </c>
      <c r="E50" s="125">
        <f t="shared" si="1"/>
        <v>1441.2</v>
      </c>
      <c r="F50" s="125">
        <f t="shared" si="2"/>
        <v>686.1</v>
      </c>
      <c r="G50" s="125">
        <f t="shared" si="3"/>
        <v>190.9</v>
      </c>
      <c r="H50" s="125">
        <f>+'1pr.asignav '!G86</f>
        <v>711.3</v>
      </c>
      <c r="I50" s="125">
        <f>+'1pr.asignav '!H86</f>
        <v>1411.3</v>
      </c>
      <c r="J50" s="74">
        <v>0</v>
      </c>
      <c r="K50" s="125">
        <f>+'1pr.asignav '!J86</f>
        <v>0</v>
      </c>
      <c r="L50" s="125">
        <f>+'1pr.asignav '!K86</f>
        <v>43.8</v>
      </c>
      <c r="M50" s="125">
        <f>+'1pr.asignav '!L86</f>
        <v>29.9</v>
      </c>
    </row>
    <row r="51" spans="1:13" ht="39.75" customHeight="1">
      <c r="A51" s="157"/>
      <c r="B51" s="160"/>
      <c r="C51" s="55" t="s">
        <v>264</v>
      </c>
      <c r="D51" s="125">
        <f t="shared" si="0"/>
        <v>14980.9</v>
      </c>
      <c r="E51" s="125">
        <f t="shared" si="1"/>
        <v>15222.5</v>
      </c>
      <c r="F51" s="125">
        <f t="shared" si="2"/>
        <v>241.6</v>
      </c>
      <c r="G51" s="125">
        <f t="shared" si="3"/>
        <v>101.6</v>
      </c>
      <c r="H51" s="125">
        <f>+'1pr.asignav '!G112</f>
        <v>14943.5</v>
      </c>
      <c r="I51" s="125">
        <f>+'1pr.asignav '!H112</f>
        <v>15185.9</v>
      </c>
      <c r="J51" s="125">
        <f>+'1pr.asignav '!I112</f>
        <v>5612.2</v>
      </c>
      <c r="K51" s="125">
        <f>+'1pr.asignav '!J112</f>
        <v>5696.8</v>
      </c>
      <c r="L51" s="125">
        <f>+'1pr.asignav '!K112</f>
        <v>37.4</v>
      </c>
      <c r="M51" s="125">
        <f>+'1pr.asignav '!L112</f>
        <v>36.6</v>
      </c>
    </row>
    <row r="52" spans="1:13" ht="21.75" customHeight="1">
      <c r="A52" s="157"/>
      <c r="B52" s="161"/>
      <c r="C52" s="57" t="s">
        <v>282</v>
      </c>
      <c r="D52" s="124">
        <f>+D49+D50+D51</f>
        <v>16109.2</v>
      </c>
      <c r="E52" s="124">
        <f aca="true" t="shared" si="12" ref="E52:M52">+E49+E50+E51</f>
        <v>16976.6</v>
      </c>
      <c r="F52" s="124">
        <f t="shared" si="12"/>
        <v>867.4</v>
      </c>
      <c r="G52" s="124">
        <f t="shared" si="3"/>
        <v>105.4</v>
      </c>
      <c r="H52" s="124">
        <f t="shared" si="12"/>
        <v>15654.8</v>
      </c>
      <c r="I52" s="124">
        <f t="shared" si="12"/>
        <v>16597.2</v>
      </c>
      <c r="J52" s="124">
        <f t="shared" si="12"/>
        <v>5612.2</v>
      </c>
      <c r="K52" s="124">
        <f t="shared" si="12"/>
        <v>5696.8</v>
      </c>
      <c r="L52" s="124">
        <f t="shared" si="12"/>
        <v>454.4</v>
      </c>
      <c r="M52" s="124">
        <f t="shared" si="12"/>
        <v>379.4</v>
      </c>
    </row>
    <row r="53" spans="1:13" ht="54.75" customHeight="1">
      <c r="A53" s="157" t="s">
        <v>297</v>
      </c>
      <c r="B53" s="159" t="s">
        <v>57</v>
      </c>
      <c r="C53" s="57" t="s">
        <v>222</v>
      </c>
      <c r="D53" s="125">
        <f t="shared" si="0"/>
        <v>1300</v>
      </c>
      <c r="E53" s="125">
        <f t="shared" si="1"/>
        <v>1300</v>
      </c>
      <c r="F53" s="125">
        <f t="shared" si="2"/>
        <v>0</v>
      </c>
      <c r="G53" s="125">
        <f t="shared" si="3"/>
        <v>100</v>
      </c>
      <c r="H53" s="125">
        <f>+'1pr.asignav '!G62</f>
        <v>0</v>
      </c>
      <c r="I53" s="125">
        <f>+'1pr.asignav '!H62</f>
        <v>0</v>
      </c>
      <c r="J53" s="125">
        <f>+'1pr.asignav '!I62</f>
        <v>0</v>
      </c>
      <c r="K53" s="125">
        <f>+'1pr.asignav '!J62</f>
        <v>0</v>
      </c>
      <c r="L53" s="125">
        <f>+'1pr.asignav '!K62</f>
        <v>1300</v>
      </c>
      <c r="M53" s="125">
        <f>+'1pr.asignav '!L62</f>
        <v>1300</v>
      </c>
    </row>
    <row r="54" spans="1:13" ht="36.75" customHeight="1">
      <c r="A54" s="157"/>
      <c r="B54" s="160"/>
      <c r="C54" s="55" t="s">
        <v>264</v>
      </c>
      <c r="D54" s="125">
        <f t="shared" si="0"/>
        <v>6064.8</v>
      </c>
      <c r="E54" s="125">
        <f t="shared" si="1"/>
        <v>5967.3</v>
      </c>
      <c r="F54" s="125">
        <f t="shared" si="2"/>
        <v>-97.5</v>
      </c>
      <c r="G54" s="125">
        <f t="shared" si="3"/>
        <v>98.4</v>
      </c>
      <c r="H54" s="125">
        <f>+'1pr.asignav '!G118</f>
        <v>6045.7</v>
      </c>
      <c r="I54" s="125">
        <f>+'1pr.asignav '!H118</f>
        <v>5949.6</v>
      </c>
      <c r="J54" s="125">
        <f>+'1pr.asignav '!I118</f>
        <v>3531</v>
      </c>
      <c r="K54" s="125">
        <f>+'1pr.asignav '!J118</f>
        <v>3523.8</v>
      </c>
      <c r="L54" s="125">
        <f>+'1pr.asignav '!K118</f>
        <v>19.1</v>
      </c>
      <c r="M54" s="125">
        <f>+'1pr.asignav '!L118</f>
        <v>17.7</v>
      </c>
    </row>
    <row r="55" spans="1:13" ht="21" customHeight="1">
      <c r="A55" s="157"/>
      <c r="B55" s="161"/>
      <c r="C55" s="57" t="s">
        <v>282</v>
      </c>
      <c r="D55" s="124">
        <f>+D53+D54</f>
        <v>7364.8</v>
      </c>
      <c r="E55" s="124">
        <f aca="true" t="shared" si="13" ref="E55:M55">+E53+E54</f>
        <v>7267.3</v>
      </c>
      <c r="F55" s="124">
        <f t="shared" si="13"/>
        <v>-97.5</v>
      </c>
      <c r="G55" s="124">
        <f t="shared" si="3"/>
        <v>98.7</v>
      </c>
      <c r="H55" s="124">
        <f t="shared" si="13"/>
        <v>6045.7</v>
      </c>
      <c r="I55" s="124">
        <f t="shared" si="13"/>
        <v>5949.6</v>
      </c>
      <c r="J55" s="124">
        <f t="shared" si="13"/>
        <v>3531</v>
      </c>
      <c r="K55" s="124">
        <f t="shared" si="13"/>
        <v>3523.8</v>
      </c>
      <c r="L55" s="124">
        <f t="shared" si="13"/>
        <v>1319.1</v>
      </c>
      <c r="M55" s="124">
        <f t="shared" si="13"/>
        <v>1317.7</v>
      </c>
    </row>
    <row r="56" spans="1:13" s="63" customFormat="1" ht="102.75" customHeight="1">
      <c r="A56" s="58" t="s">
        <v>298</v>
      </c>
      <c r="B56" s="62" t="s">
        <v>299</v>
      </c>
      <c r="C56" s="57" t="s">
        <v>264</v>
      </c>
      <c r="D56" s="124">
        <f t="shared" si="0"/>
        <v>75</v>
      </c>
      <c r="E56" s="124">
        <f t="shared" si="1"/>
        <v>75</v>
      </c>
      <c r="F56" s="124">
        <f t="shared" si="2"/>
        <v>0</v>
      </c>
      <c r="G56" s="124">
        <f t="shared" si="3"/>
        <v>100</v>
      </c>
      <c r="H56" s="73">
        <v>75</v>
      </c>
      <c r="I56" s="124">
        <f>+'1pr.asignav '!H130</f>
        <v>75</v>
      </c>
      <c r="J56" s="73">
        <v>0</v>
      </c>
      <c r="K56" s="124">
        <f>+'1pr.asignav '!J130</f>
        <v>0</v>
      </c>
      <c r="L56" s="73">
        <v>0</v>
      </c>
      <c r="M56" s="124">
        <f>+'1pr.asignav '!L130</f>
        <v>0</v>
      </c>
    </row>
    <row r="57" spans="1:13" ht="15.75">
      <c r="A57" s="58" t="s">
        <v>300</v>
      </c>
      <c r="B57" s="64" t="s">
        <v>301</v>
      </c>
      <c r="C57" s="64"/>
      <c r="D57" s="128">
        <f>+D13+D14+D15+D16+D17+D18+D21+D25+D26+D27+D28+D31+D34+D37+D41+D45+D48+D52+D55+D56</f>
        <v>428553.4</v>
      </c>
      <c r="E57" s="128">
        <f aca="true" t="shared" si="14" ref="E57:M57">+E13+E14+E15+E16+E17+E18+E21+E25+E26+E27+E28+E31+E34+E37+E41+E45+E48+E52+E55+E56</f>
        <v>411035.5</v>
      </c>
      <c r="F57" s="128">
        <f t="shared" si="14"/>
        <v>-17517.9</v>
      </c>
      <c r="G57" s="128">
        <f t="shared" si="3"/>
        <v>95.9</v>
      </c>
      <c r="H57" s="128">
        <f t="shared" si="14"/>
        <v>389069.1</v>
      </c>
      <c r="I57" s="128">
        <f t="shared" si="14"/>
        <v>375879.6</v>
      </c>
      <c r="J57" s="128">
        <f t="shared" si="14"/>
        <v>161223</v>
      </c>
      <c r="K57" s="128">
        <f t="shared" si="14"/>
        <v>160142</v>
      </c>
      <c r="L57" s="128">
        <f t="shared" si="14"/>
        <v>39484.3</v>
      </c>
      <c r="M57" s="128">
        <f t="shared" si="14"/>
        <v>35155.9</v>
      </c>
    </row>
    <row r="59" spans="2:5" ht="12.75">
      <c r="B59" s="65"/>
      <c r="C59" s="65"/>
      <c r="D59" s="65"/>
      <c r="E59" s="65"/>
    </row>
  </sheetData>
  <sheetProtection/>
  <mergeCells count="36">
    <mergeCell ref="L9:M9"/>
    <mergeCell ref="H10:H11"/>
    <mergeCell ref="I10:I11"/>
    <mergeCell ref="J10:K10"/>
    <mergeCell ref="L10:L11"/>
    <mergeCell ref="M10:M11"/>
    <mergeCell ref="A53:A55"/>
    <mergeCell ref="B53:B55"/>
    <mergeCell ref="D8:D11"/>
    <mergeCell ref="E8:E11"/>
    <mergeCell ref="F8:F11"/>
    <mergeCell ref="G8:G11"/>
    <mergeCell ref="A8:A11"/>
    <mergeCell ref="B8:B11"/>
    <mergeCell ref="C8:C11"/>
    <mergeCell ref="A42:A45"/>
    <mergeCell ref="B42:B45"/>
    <mergeCell ref="A46:A48"/>
    <mergeCell ref="B46:B48"/>
    <mergeCell ref="A49:A52"/>
    <mergeCell ref="B49:B52"/>
    <mergeCell ref="A32:A34"/>
    <mergeCell ref="B32:B34"/>
    <mergeCell ref="A35:A37"/>
    <mergeCell ref="B35:B37"/>
    <mergeCell ref="A38:A41"/>
    <mergeCell ref="B5:M5"/>
    <mergeCell ref="B38:B41"/>
    <mergeCell ref="A19:A21"/>
    <mergeCell ref="B19:B21"/>
    <mergeCell ref="A22:A25"/>
    <mergeCell ref="B22:B25"/>
    <mergeCell ref="A29:A31"/>
    <mergeCell ref="B29:B31"/>
    <mergeCell ref="H8:M8"/>
    <mergeCell ref="H9:K9"/>
  </mergeCells>
  <printOptions/>
  <pageMargins left="0.7874015748031497" right="0.1968503937007874" top="0.7874015748031497" bottom="0"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F22"/>
  <sheetViews>
    <sheetView showZeros="0" zoomScalePageLayoutView="0" workbookViewId="0" topLeftCell="A7">
      <selection activeCell="I13" sqref="I13"/>
    </sheetView>
  </sheetViews>
  <sheetFormatPr defaultColWidth="10.140625" defaultRowHeight="12.75"/>
  <cols>
    <col min="1" max="1" width="6.00390625" style="72" customWidth="1"/>
    <col min="2" max="2" width="44.00390625" style="44" customWidth="1"/>
    <col min="3" max="3" width="10.7109375" style="44" customWidth="1"/>
    <col min="4" max="4" width="9.57421875" style="44" customWidth="1"/>
    <col min="5" max="5" width="9.28125" style="44" customWidth="1"/>
    <col min="6" max="6" width="10.421875" style="44" customWidth="1"/>
    <col min="7" max="16384" width="10.140625" style="44" customWidth="1"/>
  </cols>
  <sheetData>
    <row r="1" spans="1:3" ht="14.25" customHeight="1">
      <c r="A1" s="47"/>
      <c r="B1" s="42"/>
      <c r="C1" s="42" t="s">
        <v>75</v>
      </c>
    </row>
    <row r="2" spans="1:3" ht="14.25" customHeight="1">
      <c r="A2" s="47"/>
      <c r="B2" s="42"/>
      <c r="C2" s="42" t="s">
        <v>310</v>
      </c>
    </row>
    <row r="3" spans="1:3" ht="14.25" customHeight="1">
      <c r="A3" s="47"/>
      <c r="B3" s="42"/>
      <c r="C3" s="42" t="s">
        <v>311</v>
      </c>
    </row>
    <row r="4" spans="1:2" ht="14.25" customHeight="1">
      <c r="A4" s="47"/>
      <c r="B4" s="47"/>
    </row>
    <row r="5" spans="1:6" ht="47.25" customHeight="1">
      <c r="A5" s="153" t="s">
        <v>309</v>
      </c>
      <c r="B5" s="153"/>
      <c r="C5" s="153"/>
      <c r="D5" s="153"/>
      <c r="E5" s="153"/>
      <c r="F5" s="153"/>
    </row>
    <row r="6" spans="1:2" ht="15" customHeight="1">
      <c r="A6" s="47"/>
      <c r="B6" s="47"/>
    </row>
    <row r="7" spans="1:6" ht="15.75">
      <c r="A7" s="67"/>
      <c r="B7" s="42"/>
      <c r="F7" s="42" t="s">
        <v>10</v>
      </c>
    </row>
    <row r="8" spans="1:6" ht="21" customHeight="1">
      <c r="A8" s="168" t="s">
        <v>6</v>
      </c>
      <c r="B8" s="168" t="s">
        <v>302</v>
      </c>
      <c r="C8" s="169" t="s">
        <v>303</v>
      </c>
      <c r="D8" s="169"/>
      <c r="E8" s="169"/>
      <c r="F8" s="169"/>
    </row>
    <row r="9" spans="1:6" ht="65.25" customHeight="1">
      <c r="A9" s="168"/>
      <c r="B9" s="168"/>
      <c r="C9" s="10" t="s">
        <v>82</v>
      </c>
      <c r="D9" s="10" t="s">
        <v>78</v>
      </c>
      <c r="E9" s="10" t="s">
        <v>358</v>
      </c>
      <c r="F9" s="10" t="s">
        <v>83</v>
      </c>
    </row>
    <row r="10" spans="1:6" ht="15.75">
      <c r="A10" s="51">
        <v>1</v>
      </c>
      <c r="B10" s="52">
        <v>2</v>
      </c>
      <c r="C10" s="19">
        <v>3</v>
      </c>
      <c r="D10" s="19">
        <v>4</v>
      </c>
      <c r="E10" s="19">
        <v>5</v>
      </c>
      <c r="F10" s="19">
        <v>6</v>
      </c>
    </row>
    <row r="11" spans="1:6" ht="21.75" customHeight="1">
      <c r="A11" s="68">
        <v>1</v>
      </c>
      <c r="B11" s="69" t="s">
        <v>222</v>
      </c>
      <c r="C11" s="10"/>
      <c r="D11" s="10"/>
      <c r="E11" s="10"/>
      <c r="F11" s="10"/>
    </row>
    <row r="12" spans="1:6" ht="36" customHeight="1">
      <c r="A12" s="68">
        <v>2</v>
      </c>
      <c r="B12" s="50" t="s">
        <v>304</v>
      </c>
      <c r="C12" s="70">
        <v>1833</v>
      </c>
      <c r="D12" s="143">
        <f>+'1pr.asignav '!L44</f>
        <v>1814.1</v>
      </c>
      <c r="E12" s="125">
        <f>+D12-C12</f>
        <v>-18.9</v>
      </c>
      <c r="F12" s="125">
        <f>+D12/C12*100</f>
        <v>99</v>
      </c>
    </row>
    <row r="13" spans="1:6" s="63" customFormat="1" ht="33" customHeight="1">
      <c r="A13" s="68">
        <v>3</v>
      </c>
      <c r="B13" s="50" t="s">
        <v>305</v>
      </c>
      <c r="C13" s="70">
        <v>399.1</v>
      </c>
      <c r="D13" s="143">
        <f>+'1pr.asignav '!L55</f>
        <v>398.9</v>
      </c>
      <c r="E13" s="125">
        <f aca="true" t="shared" si="0" ref="E13:E19">+D13-C13</f>
        <v>-0.2</v>
      </c>
      <c r="F13" s="125">
        <f aca="true" t="shared" si="1" ref="F13:F20">+D13/C13*100</f>
        <v>99.9</v>
      </c>
    </row>
    <row r="14" spans="1:6" s="63" customFormat="1" ht="33" customHeight="1">
      <c r="A14" s="68">
        <v>4</v>
      </c>
      <c r="B14" s="54" t="s">
        <v>93</v>
      </c>
      <c r="C14" s="70">
        <v>2354.7</v>
      </c>
      <c r="D14" s="143">
        <f>+'1pr.asignav '!L56</f>
        <v>1471.6</v>
      </c>
      <c r="E14" s="125">
        <f t="shared" si="0"/>
        <v>-883.1</v>
      </c>
      <c r="F14" s="125">
        <f t="shared" si="1"/>
        <v>62.5</v>
      </c>
    </row>
    <row r="15" spans="1:6" ht="24" customHeight="1">
      <c r="A15" s="68">
        <v>5</v>
      </c>
      <c r="B15" s="50" t="s">
        <v>229</v>
      </c>
      <c r="C15" s="70">
        <v>3456.5</v>
      </c>
      <c r="D15" s="143">
        <f>+'1pr.asignav '!L51</f>
        <v>3385.2</v>
      </c>
      <c r="E15" s="125">
        <f t="shared" si="0"/>
        <v>-71.3</v>
      </c>
      <c r="F15" s="125">
        <f t="shared" si="1"/>
        <v>97.9</v>
      </c>
    </row>
    <row r="16" spans="1:6" s="63" customFormat="1" ht="35.25" customHeight="1">
      <c r="A16" s="68">
        <v>6</v>
      </c>
      <c r="B16" s="50" t="s">
        <v>236</v>
      </c>
      <c r="C16" s="70">
        <v>18131.2</v>
      </c>
      <c r="D16" s="143">
        <f>+'1pr.asignav '!L59</f>
        <v>16194.6</v>
      </c>
      <c r="E16" s="125">
        <f t="shared" si="0"/>
        <v>-1936.6</v>
      </c>
      <c r="F16" s="125">
        <f t="shared" si="1"/>
        <v>89.3</v>
      </c>
    </row>
    <row r="17" spans="1:6" s="63" customFormat="1" ht="36.75" customHeight="1">
      <c r="A17" s="68">
        <v>7</v>
      </c>
      <c r="B17" s="50" t="s">
        <v>251</v>
      </c>
      <c r="C17" s="70">
        <v>373.2</v>
      </c>
      <c r="D17" s="143">
        <f>+'1pr.asignav '!L61</f>
        <v>312.9</v>
      </c>
      <c r="E17" s="125">
        <f t="shared" si="0"/>
        <v>-60.3</v>
      </c>
      <c r="F17" s="125">
        <f t="shared" si="1"/>
        <v>83.8</v>
      </c>
    </row>
    <row r="18" spans="1:6" s="63" customFormat="1" ht="34.5" customHeight="1">
      <c r="A18" s="68">
        <v>8</v>
      </c>
      <c r="B18" s="54" t="s">
        <v>306</v>
      </c>
      <c r="C18" s="70">
        <v>1300</v>
      </c>
      <c r="D18" s="143">
        <f>+'1pr.asignav '!L62</f>
        <v>1300</v>
      </c>
      <c r="E18" s="125">
        <f t="shared" si="0"/>
        <v>0</v>
      </c>
      <c r="F18" s="125">
        <f t="shared" si="1"/>
        <v>100</v>
      </c>
    </row>
    <row r="19" spans="1:6" s="63" customFormat="1" ht="54.75" customHeight="1">
      <c r="A19" s="68">
        <v>9</v>
      </c>
      <c r="B19" s="54" t="s">
        <v>241</v>
      </c>
      <c r="C19" s="70">
        <v>2741.8</v>
      </c>
      <c r="D19" s="143">
        <f>+'1pr.asignav '!L65</f>
        <v>1760.4</v>
      </c>
      <c r="E19" s="125">
        <f t="shared" si="0"/>
        <v>-981.4</v>
      </c>
      <c r="F19" s="125">
        <f t="shared" si="1"/>
        <v>64.2</v>
      </c>
    </row>
    <row r="20" spans="1:6" ht="15" customHeight="1">
      <c r="A20" s="68">
        <v>10</v>
      </c>
      <c r="B20" s="71" t="s">
        <v>43</v>
      </c>
      <c r="C20" s="124">
        <f>SUM(C12:C19)</f>
        <v>30589.5</v>
      </c>
      <c r="D20" s="124">
        <f>SUM(D12:D19)</f>
        <v>26637.7</v>
      </c>
      <c r="E20" s="124">
        <f>SUM(E12:E19)</f>
        <v>-3951.8</v>
      </c>
      <c r="F20" s="124">
        <f t="shared" si="1"/>
        <v>87.1</v>
      </c>
    </row>
    <row r="22" ht="15">
      <c r="B22" s="65"/>
    </row>
  </sheetData>
  <sheetProtection/>
  <mergeCells count="4">
    <mergeCell ref="A8:A9"/>
    <mergeCell ref="B8:B9"/>
    <mergeCell ref="C8:F8"/>
    <mergeCell ref="A5:F5"/>
  </mergeCells>
  <printOptions/>
  <pageMargins left="0.984251968503937" right="0.1968503937007874" top="0.984251968503937"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132"/>
  <sheetViews>
    <sheetView showZeros="0" zoomScalePageLayoutView="0" workbookViewId="0" topLeftCell="A1">
      <selection activeCell="Q15" sqref="Q15"/>
    </sheetView>
  </sheetViews>
  <sheetFormatPr defaultColWidth="9.140625" defaultRowHeight="12.75"/>
  <cols>
    <col min="1" max="1" width="5.140625" style="42" customWidth="1"/>
    <col min="2" max="2" width="39.57421875" style="42" customWidth="1"/>
    <col min="3" max="3" width="9.140625" style="42" customWidth="1"/>
    <col min="4" max="4" width="8.7109375" style="42" customWidth="1"/>
    <col min="5" max="5" width="9.00390625" style="42" customWidth="1"/>
    <col min="6" max="6" width="8.8515625" style="44" customWidth="1"/>
    <col min="7" max="7" width="8.421875" style="44" customWidth="1"/>
    <col min="8" max="8" width="8.28125" style="44" customWidth="1"/>
    <col min="9" max="9" width="8.7109375" style="44" customWidth="1"/>
    <col min="10" max="10" width="8.28125" style="44" customWidth="1"/>
    <col min="11" max="11" width="7.8515625" style="44" customWidth="1"/>
    <col min="12" max="12" width="8.28125" style="44" customWidth="1"/>
    <col min="13" max="13" width="8.00390625" style="44" customWidth="1"/>
    <col min="14" max="14" width="8.28125" style="44" customWidth="1"/>
    <col min="15" max="16384" width="9.140625" style="44" customWidth="1"/>
  </cols>
  <sheetData>
    <row r="1" spans="2:12" ht="15.75">
      <c r="B1" s="75"/>
      <c r="C1" s="75"/>
      <c r="D1" s="75"/>
      <c r="E1" s="75"/>
      <c r="I1" s="42" t="s">
        <v>312</v>
      </c>
      <c r="L1" s="42"/>
    </row>
    <row r="2" spans="9:12" ht="15.75">
      <c r="I2" s="42" t="s">
        <v>333</v>
      </c>
      <c r="L2" s="42"/>
    </row>
    <row r="3" spans="9:12" ht="15.75">
      <c r="I3" s="42" t="s">
        <v>313</v>
      </c>
      <c r="L3" s="42"/>
    </row>
    <row r="4" ht="15" customHeight="1"/>
    <row r="5" spans="1:14" ht="18" customHeight="1">
      <c r="A5" s="153" t="s">
        <v>334</v>
      </c>
      <c r="B5" s="153"/>
      <c r="C5" s="153"/>
      <c r="D5" s="153"/>
      <c r="E5" s="153"/>
      <c r="F5" s="153"/>
      <c r="G5" s="153"/>
      <c r="H5" s="153"/>
      <c r="I5" s="153"/>
      <c r="J5" s="153"/>
      <c r="K5" s="153"/>
      <c r="L5" s="153"/>
      <c r="M5" s="153"/>
      <c r="N5" s="153"/>
    </row>
    <row r="6" spans="1:14" ht="18" customHeight="1">
      <c r="A6" s="153"/>
      <c r="B6" s="153"/>
      <c r="C6" s="153"/>
      <c r="D6" s="153"/>
      <c r="E6" s="153"/>
      <c r="F6" s="153"/>
      <c r="G6" s="153"/>
      <c r="H6" s="153"/>
      <c r="I6" s="153"/>
      <c r="J6" s="153"/>
      <c r="K6" s="153"/>
      <c r="L6" s="153"/>
      <c r="M6" s="153"/>
      <c r="N6" s="153"/>
    </row>
    <row r="7" spans="1:5" ht="12" customHeight="1">
      <c r="A7" s="48"/>
      <c r="B7" s="48"/>
      <c r="C7" s="48"/>
      <c r="D7" s="48"/>
      <c r="E7" s="48"/>
    </row>
    <row r="8" spans="1:12" ht="12" customHeight="1">
      <c r="A8" s="48"/>
      <c r="B8" s="48"/>
      <c r="C8" s="48"/>
      <c r="D8" s="48"/>
      <c r="E8" s="48"/>
      <c r="L8" s="44" t="s">
        <v>10</v>
      </c>
    </row>
    <row r="9" spans="1:14" ht="15" customHeight="1">
      <c r="A9" s="173" t="s">
        <v>6</v>
      </c>
      <c r="B9" s="173" t="s">
        <v>314</v>
      </c>
      <c r="C9" s="172" t="s">
        <v>92</v>
      </c>
      <c r="D9" s="172"/>
      <c r="E9" s="172"/>
      <c r="F9" s="169" t="s">
        <v>44</v>
      </c>
      <c r="G9" s="169"/>
      <c r="H9" s="169"/>
      <c r="I9" s="169"/>
      <c r="J9" s="169"/>
      <c r="K9" s="169"/>
      <c r="L9" s="169"/>
      <c r="M9" s="169"/>
      <c r="N9" s="169"/>
    </row>
    <row r="10" spans="1:14" ht="46.5" customHeight="1">
      <c r="A10" s="173"/>
      <c r="B10" s="173"/>
      <c r="C10" s="172"/>
      <c r="D10" s="172"/>
      <c r="E10" s="172"/>
      <c r="F10" s="170" t="s">
        <v>330</v>
      </c>
      <c r="G10" s="170"/>
      <c r="H10" s="170"/>
      <c r="I10" s="171" t="s">
        <v>331</v>
      </c>
      <c r="J10" s="171"/>
      <c r="K10" s="171"/>
      <c r="L10" s="171" t="s">
        <v>332</v>
      </c>
      <c r="M10" s="171"/>
      <c r="N10" s="171"/>
    </row>
    <row r="11" spans="1:14" ht="70.5" customHeight="1">
      <c r="A11" s="173"/>
      <c r="B11" s="173"/>
      <c r="C11" s="145" t="s">
        <v>77</v>
      </c>
      <c r="D11" s="145" t="s">
        <v>78</v>
      </c>
      <c r="E11" s="146" t="s">
        <v>359</v>
      </c>
      <c r="F11" s="145" t="s">
        <v>77</v>
      </c>
      <c r="G11" s="145" t="s">
        <v>78</v>
      </c>
      <c r="H11" s="146" t="s">
        <v>363</v>
      </c>
      <c r="I11" s="145" t="s">
        <v>77</v>
      </c>
      <c r="J11" s="145" t="s">
        <v>78</v>
      </c>
      <c r="K11" s="146" t="s">
        <v>363</v>
      </c>
      <c r="L11" s="145" t="s">
        <v>77</v>
      </c>
      <c r="M11" s="145" t="s">
        <v>78</v>
      </c>
      <c r="N11" s="146" t="s">
        <v>363</v>
      </c>
    </row>
    <row r="12" spans="1:14" ht="15" customHeight="1">
      <c r="A12" s="51">
        <v>1</v>
      </c>
      <c r="B12" s="76" t="s">
        <v>94</v>
      </c>
      <c r="C12" s="51">
        <v>3</v>
      </c>
      <c r="D12" s="76" t="s">
        <v>315</v>
      </c>
      <c r="E12" s="51">
        <v>5</v>
      </c>
      <c r="F12" s="76" t="s">
        <v>95</v>
      </c>
      <c r="G12" s="51">
        <v>7</v>
      </c>
      <c r="H12" s="76" t="s">
        <v>335</v>
      </c>
      <c r="I12" s="51">
        <v>9</v>
      </c>
      <c r="J12" s="76" t="s">
        <v>96</v>
      </c>
      <c r="K12" s="51">
        <v>11</v>
      </c>
      <c r="L12" s="76" t="s">
        <v>361</v>
      </c>
      <c r="M12" s="51">
        <v>13</v>
      </c>
      <c r="N12" s="76" t="s">
        <v>362</v>
      </c>
    </row>
    <row r="13" spans="1:14" ht="21" customHeight="1">
      <c r="A13" s="77">
        <v>1</v>
      </c>
      <c r="B13" s="78" t="s">
        <v>7</v>
      </c>
      <c r="C13" s="141">
        <f>+F13+I13+L13</f>
        <v>40.4</v>
      </c>
      <c r="D13" s="141">
        <f>+G13+J13+M13</f>
        <v>46.8</v>
      </c>
      <c r="E13" s="141">
        <f>+D13-C13</f>
        <v>6.4</v>
      </c>
      <c r="F13" s="80">
        <v>0</v>
      </c>
      <c r="G13" s="80"/>
      <c r="H13" s="80">
        <f>+G13-F13</f>
        <v>0</v>
      </c>
      <c r="I13" s="80">
        <v>0</v>
      </c>
      <c r="J13" s="80"/>
      <c r="K13" s="80">
        <f>+J13-I13</f>
        <v>0</v>
      </c>
      <c r="L13" s="80">
        <v>40.4</v>
      </c>
      <c r="M13" s="92">
        <v>46.8</v>
      </c>
      <c r="N13" s="92">
        <f>+M13-L13</f>
        <v>6.4</v>
      </c>
    </row>
    <row r="14" spans="1:14" ht="19.5" customHeight="1">
      <c r="A14" s="77">
        <v>2</v>
      </c>
      <c r="B14" s="78" t="s">
        <v>247</v>
      </c>
      <c r="C14" s="141">
        <f aca="true" t="shared" si="0" ref="C14:C77">+F14+I14+L14</f>
        <v>60.8</v>
      </c>
      <c r="D14" s="141">
        <f aca="true" t="shared" si="1" ref="D14:D77">+G14+J14+M14</f>
        <v>58.8</v>
      </c>
      <c r="E14" s="141">
        <f aca="true" t="shared" si="2" ref="E14:E77">+D14-C14</f>
        <v>-2</v>
      </c>
      <c r="F14" s="79">
        <f aca="true" t="shared" si="3" ref="F14:M14">+F15+F16</f>
        <v>0</v>
      </c>
      <c r="G14" s="79">
        <f t="shared" si="3"/>
        <v>0</v>
      </c>
      <c r="H14" s="80">
        <f aca="true" t="shared" si="4" ref="H14:H77">+G14-F14</f>
        <v>0</v>
      </c>
      <c r="I14" s="79">
        <f t="shared" si="3"/>
        <v>12.4</v>
      </c>
      <c r="J14" s="79">
        <f t="shared" si="3"/>
        <v>10.9</v>
      </c>
      <c r="K14" s="80">
        <f aca="true" t="shared" si="5" ref="K14:K77">+J14-I14</f>
        <v>-1.5</v>
      </c>
      <c r="L14" s="79">
        <f t="shared" si="3"/>
        <v>48.4</v>
      </c>
      <c r="M14" s="79">
        <f t="shared" si="3"/>
        <v>47.9</v>
      </c>
      <c r="N14" s="92">
        <f aca="true" t="shared" si="6" ref="N14:N77">+M14-L14</f>
        <v>-0.5</v>
      </c>
    </row>
    <row r="15" spans="1:14" ht="19.5" customHeight="1">
      <c r="A15" s="77">
        <v>3</v>
      </c>
      <c r="B15" s="81" t="s">
        <v>247</v>
      </c>
      <c r="C15" s="142">
        <f t="shared" si="0"/>
        <v>3</v>
      </c>
      <c r="D15" s="142">
        <f t="shared" si="1"/>
        <v>1.6</v>
      </c>
      <c r="E15" s="142">
        <f t="shared" si="2"/>
        <v>-1.4</v>
      </c>
      <c r="F15" s="82">
        <v>0</v>
      </c>
      <c r="G15" s="82"/>
      <c r="H15" s="82">
        <f t="shared" si="4"/>
        <v>0</v>
      </c>
      <c r="I15" s="82">
        <v>3</v>
      </c>
      <c r="J15" s="82">
        <v>1.6</v>
      </c>
      <c r="K15" s="82">
        <f t="shared" si="5"/>
        <v>-1.4</v>
      </c>
      <c r="L15" s="82">
        <v>0</v>
      </c>
      <c r="M15" s="93"/>
      <c r="N15" s="92">
        <f t="shared" si="6"/>
        <v>0</v>
      </c>
    </row>
    <row r="16" spans="1:14" ht="31.5">
      <c r="A16" s="77">
        <v>4</v>
      </c>
      <c r="B16" s="81" t="s">
        <v>97</v>
      </c>
      <c r="C16" s="142">
        <f t="shared" si="0"/>
        <v>57.8</v>
      </c>
      <c r="D16" s="142">
        <f t="shared" si="1"/>
        <v>57.2</v>
      </c>
      <c r="E16" s="142">
        <f t="shared" si="2"/>
        <v>-0.6</v>
      </c>
      <c r="F16" s="82">
        <v>0</v>
      </c>
      <c r="G16" s="82"/>
      <c r="H16" s="82">
        <f t="shared" si="4"/>
        <v>0</v>
      </c>
      <c r="I16" s="82">
        <v>9.4</v>
      </c>
      <c r="J16" s="82">
        <v>9.3</v>
      </c>
      <c r="K16" s="82">
        <f t="shared" si="5"/>
        <v>-0.1</v>
      </c>
      <c r="L16" s="82">
        <v>48.4</v>
      </c>
      <c r="M16" s="93">
        <v>47.9</v>
      </c>
      <c r="N16" s="93">
        <f t="shared" si="6"/>
        <v>-0.5</v>
      </c>
    </row>
    <row r="17" spans="1:14" s="63" customFormat="1" ht="15.75">
      <c r="A17" s="77">
        <v>5</v>
      </c>
      <c r="B17" s="78" t="s">
        <v>256</v>
      </c>
      <c r="C17" s="141">
        <f t="shared" si="0"/>
        <v>16737.5</v>
      </c>
      <c r="D17" s="141">
        <f t="shared" si="1"/>
        <v>14577.8</v>
      </c>
      <c r="E17" s="141">
        <f t="shared" si="2"/>
        <v>-2159.7</v>
      </c>
      <c r="F17" s="79">
        <f aca="true" t="shared" si="7" ref="F17:N17">SUM(F18:F120)</f>
        <v>11989.5</v>
      </c>
      <c r="G17" s="79">
        <f t="shared" si="7"/>
        <v>10127.6</v>
      </c>
      <c r="H17" s="79">
        <f t="shared" si="7"/>
        <v>-1861.9</v>
      </c>
      <c r="I17" s="79">
        <f t="shared" si="7"/>
        <v>4294.6</v>
      </c>
      <c r="J17" s="79">
        <f t="shared" si="7"/>
        <v>4068.4</v>
      </c>
      <c r="K17" s="79">
        <f t="shared" si="7"/>
        <v>-226.2</v>
      </c>
      <c r="L17" s="79">
        <f t="shared" si="7"/>
        <v>453.4</v>
      </c>
      <c r="M17" s="79">
        <f t="shared" si="7"/>
        <v>381.8</v>
      </c>
      <c r="N17" s="79">
        <f t="shared" si="7"/>
        <v>-71.6</v>
      </c>
    </row>
    <row r="18" spans="1:14" ht="15.75">
      <c r="A18" s="77">
        <v>6</v>
      </c>
      <c r="B18" s="81" t="s">
        <v>104</v>
      </c>
      <c r="C18" s="142">
        <f t="shared" si="0"/>
        <v>5</v>
      </c>
      <c r="D18" s="142">
        <f t="shared" si="1"/>
        <v>11.3</v>
      </c>
      <c r="E18" s="142">
        <f t="shared" si="2"/>
        <v>6.3</v>
      </c>
      <c r="F18" s="82">
        <v>0</v>
      </c>
      <c r="G18" s="82"/>
      <c r="H18" s="82">
        <f t="shared" si="4"/>
        <v>0</v>
      </c>
      <c r="I18" s="82">
        <v>5</v>
      </c>
      <c r="J18" s="82">
        <v>11.3</v>
      </c>
      <c r="K18" s="82">
        <f t="shared" si="5"/>
        <v>6.3</v>
      </c>
      <c r="L18" s="82">
        <v>0</v>
      </c>
      <c r="M18" s="93"/>
      <c r="N18" s="93">
        <f t="shared" si="6"/>
        <v>0</v>
      </c>
    </row>
    <row r="19" spans="1:14" ht="15.75">
      <c r="A19" s="77">
        <v>7</v>
      </c>
      <c r="B19" s="81" t="s">
        <v>105</v>
      </c>
      <c r="C19" s="142">
        <f t="shared" si="0"/>
        <v>5</v>
      </c>
      <c r="D19" s="142">
        <f t="shared" si="1"/>
        <v>0</v>
      </c>
      <c r="E19" s="142">
        <f t="shared" si="2"/>
        <v>-5</v>
      </c>
      <c r="F19" s="82">
        <v>0</v>
      </c>
      <c r="G19" s="82"/>
      <c r="H19" s="82">
        <f t="shared" si="4"/>
        <v>0</v>
      </c>
      <c r="I19" s="82">
        <v>5</v>
      </c>
      <c r="J19" s="82"/>
      <c r="K19" s="82">
        <f t="shared" si="5"/>
        <v>-5</v>
      </c>
      <c r="L19" s="82">
        <v>0</v>
      </c>
      <c r="M19" s="93"/>
      <c r="N19" s="93">
        <f t="shared" si="6"/>
        <v>0</v>
      </c>
    </row>
    <row r="20" spans="1:14" ht="15" customHeight="1">
      <c r="A20" s="77">
        <v>8</v>
      </c>
      <c r="B20" s="81" t="s">
        <v>99</v>
      </c>
      <c r="C20" s="142">
        <f t="shared" si="0"/>
        <v>57</v>
      </c>
      <c r="D20" s="142">
        <f t="shared" si="1"/>
        <v>57.5</v>
      </c>
      <c r="E20" s="142">
        <f t="shared" si="2"/>
        <v>0.5</v>
      </c>
      <c r="F20" s="82">
        <v>0</v>
      </c>
      <c r="G20" s="82"/>
      <c r="H20" s="82">
        <f t="shared" si="4"/>
        <v>0</v>
      </c>
      <c r="I20" s="82">
        <v>9</v>
      </c>
      <c r="J20" s="82">
        <v>9.6</v>
      </c>
      <c r="K20" s="82">
        <f t="shared" si="5"/>
        <v>0.6</v>
      </c>
      <c r="L20" s="82">
        <v>48</v>
      </c>
      <c r="M20" s="93">
        <v>47.9</v>
      </c>
      <c r="N20" s="93">
        <f t="shared" si="6"/>
        <v>-0.1</v>
      </c>
    </row>
    <row r="21" spans="1:14" ht="32.25" customHeight="1">
      <c r="A21" s="77">
        <v>9</v>
      </c>
      <c r="B21" s="81" t="s">
        <v>106</v>
      </c>
      <c r="C21" s="142">
        <f t="shared" si="0"/>
        <v>106.1</v>
      </c>
      <c r="D21" s="142">
        <f t="shared" si="1"/>
        <v>113.2</v>
      </c>
      <c r="E21" s="142">
        <f t="shared" si="2"/>
        <v>7.1</v>
      </c>
      <c r="F21" s="82">
        <v>0</v>
      </c>
      <c r="G21" s="82"/>
      <c r="H21" s="82">
        <f t="shared" si="4"/>
        <v>0</v>
      </c>
      <c r="I21" s="82">
        <v>94</v>
      </c>
      <c r="J21" s="82">
        <v>102.8</v>
      </c>
      <c r="K21" s="82">
        <f t="shared" si="5"/>
        <v>8.8</v>
      </c>
      <c r="L21" s="82">
        <v>12.1</v>
      </c>
      <c r="M21" s="93">
        <v>10.4</v>
      </c>
      <c r="N21" s="93">
        <f t="shared" si="6"/>
        <v>-1.7</v>
      </c>
    </row>
    <row r="22" spans="1:14" ht="32.25" customHeight="1">
      <c r="A22" s="77">
        <v>10</v>
      </c>
      <c r="B22" s="81" t="s">
        <v>107</v>
      </c>
      <c r="C22" s="142">
        <f t="shared" si="0"/>
        <v>47</v>
      </c>
      <c r="D22" s="142">
        <f t="shared" si="1"/>
        <v>45</v>
      </c>
      <c r="E22" s="142">
        <f t="shared" si="2"/>
        <v>-2</v>
      </c>
      <c r="F22" s="82">
        <v>0</v>
      </c>
      <c r="G22" s="82"/>
      <c r="H22" s="82">
        <f t="shared" si="4"/>
        <v>0</v>
      </c>
      <c r="I22" s="82">
        <v>45</v>
      </c>
      <c r="J22" s="82">
        <v>43.3</v>
      </c>
      <c r="K22" s="82">
        <f t="shared" si="5"/>
        <v>-1.7</v>
      </c>
      <c r="L22" s="82">
        <v>2</v>
      </c>
      <c r="M22" s="93">
        <v>1.7</v>
      </c>
      <c r="N22" s="93">
        <f t="shared" si="6"/>
        <v>-0.3</v>
      </c>
    </row>
    <row r="23" spans="1:14" ht="32.25" customHeight="1">
      <c r="A23" s="77">
        <v>11</v>
      </c>
      <c r="B23" s="81" t="s">
        <v>108</v>
      </c>
      <c r="C23" s="142">
        <f t="shared" si="0"/>
        <v>118.9</v>
      </c>
      <c r="D23" s="142">
        <f t="shared" si="1"/>
        <v>125.7</v>
      </c>
      <c r="E23" s="142">
        <f t="shared" si="2"/>
        <v>6.8</v>
      </c>
      <c r="F23" s="82">
        <v>0</v>
      </c>
      <c r="G23" s="82"/>
      <c r="H23" s="82">
        <f t="shared" si="4"/>
        <v>0</v>
      </c>
      <c r="I23" s="82">
        <v>118.9</v>
      </c>
      <c r="J23" s="82">
        <v>125.7</v>
      </c>
      <c r="K23" s="82">
        <f t="shared" si="5"/>
        <v>6.8</v>
      </c>
      <c r="L23" s="82">
        <v>0</v>
      </c>
      <c r="M23" s="93"/>
      <c r="N23" s="93">
        <f t="shared" si="6"/>
        <v>0</v>
      </c>
    </row>
    <row r="24" spans="1:14" ht="32.25" customHeight="1">
      <c r="A24" s="77">
        <v>12</v>
      </c>
      <c r="B24" s="81" t="s">
        <v>109</v>
      </c>
      <c r="C24" s="142">
        <f t="shared" si="0"/>
        <v>353</v>
      </c>
      <c r="D24" s="142">
        <f t="shared" si="1"/>
        <v>294.3</v>
      </c>
      <c r="E24" s="142">
        <f t="shared" si="2"/>
        <v>-58.7</v>
      </c>
      <c r="F24" s="82">
        <v>0</v>
      </c>
      <c r="G24" s="82"/>
      <c r="H24" s="82">
        <f t="shared" si="4"/>
        <v>0</v>
      </c>
      <c r="I24" s="82">
        <v>200</v>
      </c>
      <c r="J24" s="82">
        <v>183.7</v>
      </c>
      <c r="K24" s="82">
        <f t="shared" si="5"/>
        <v>-16.3</v>
      </c>
      <c r="L24" s="82">
        <v>153</v>
      </c>
      <c r="M24" s="93">
        <v>110.6</v>
      </c>
      <c r="N24" s="93">
        <f t="shared" si="6"/>
        <v>-42.4</v>
      </c>
    </row>
    <row r="25" spans="1:14" ht="30" customHeight="1">
      <c r="A25" s="77">
        <v>13</v>
      </c>
      <c r="B25" s="81" t="s">
        <v>110</v>
      </c>
      <c r="C25" s="142">
        <f t="shared" si="0"/>
        <v>457.4</v>
      </c>
      <c r="D25" s="142">
        <f t="shared" si="1"/>
        <v>540.5</v>
      </c>
      <c r="E25" s="142">
        <f t="shared" si="2"/>
        <v>83.1</v>
      </c>
      <c r="F25" s="82">
        <v>0</v>
      </c>
      <c r="G25" s="82"/>
      <c r="H25" s="82">
        <f t="shared" si="4"/>
        <v>0</v>
      </c>
      <c r="I25" s="82">
        <v>452.9</v>
      </c>
      <c r="J25" s="82">
        <v>535.1</v>
      </c>
      <c r="K25" s="82">
        <f t="shared" si="5"/>
        <v>82.2</v>
      </c>
      <c r="L25" s="82">
        <v>4.5</v>
      </c>
      <c r="M25" s="93">
        <v>5.4</v>
      </c>
      <c r="N25" s="93">
        <f t="shared" si="6"/>
        <v>0.9</v>
      </c>
    </row>
    <row r="26" spans="1:14" ht="32.25" customHeight="1">
      <c r="A26" s="77">
        <v>14</v>
      </c>
      <c r="B26" s="81" t="s">
        <v>111</v>
      </c>
      <c r="C26" s="142">
        <f t="shared" si="0"/>
        <v>20</v>
      </c>
      <c r="D26" s="142">
        <f t="shared" si="1"/>
        <v>16.6</v>
      </c>
      <c r="E26" s="142">
        <f t="shared" si="2"/>
        <v>-3.4</v>
      </c>
      <c r="F26" s="82">
        <v>0</v>
      </c>
      <c r="G26" s="82"/>
      <c r="H26" s="82">
        <f t="shared" si="4"/>
        <v>0</v>
      </c>
      <c r="I26" s="82">
        <v>20</v>
      </c>
      <c r="J26" s="82">
        <v>16.6</v>
      </c>
      <c r="K26" s="82">
        <f t="shared" si="5"/>
        <v>-3.4</v>
      </c>
      <c r="L26" s="82">
        <v>0</v>
      </c>
      <c r="M26" s="93"/>
      <c r="N26" s="93">
        <f t="shared" si="6"/>
        <v>0</v>
      </c>
    </row>
    <row r="27" spans="1:14" ht="22.5" customHeight="1">
      <c r="A27" s="77">
        <v>15</v>
      </c>
      <c r="B27" s="81" t="s">
        <v>100</v>
      </c>
      <c r="C27" s="142">
        <f t="shared" si="0"/>
        <v>30</v>
      </c>
      <c r="D27" s="142">
        <f t="shared" si="1"/>
        <v>30.3</v>
      </c>
      <c r="E27" s="142">
        <f t="shared" si="2"/>
        <v>0.3</v>
      </c>
      <c r="F27" s="82">
        <v>0</v>
      </c>
      <c r="G27" s="82"/>
      <c r="H27" s="82">
        <f t="shared" si="4"/>
        <v>0</v>
      </c>
      <c r="I27" s="82">
        <v>12</v>
      </c>
      <c r="J27" s="82">
        <v>12</v>
      </c>
      <c r="K27" s="82">
        <f t="shared" si="5"/>
        <v>0</v>
      </c>
      <c r="L27" s="82">
        <v>18</v>
      </c>
      <c r="M27" s="93">
        <v>18.3</v>
      </c>
      <c r="N27" s="93">
        <f t="shared" si="6"/>
        <v>0.3</v>
      </c>
    </row>
    <row r="28" spans="1:14" ht="18.75" customHeight="1">
      <c r="A28" s="77">
        <v>16</v>
      </c>
      <c r="B28" s="83" t="s">
        <v>112</v>
      </c>
      <c r="C28" s="142">
        <f t="shared" si="0"/>
        <v>331.6</v>
      </c>
      <c r="D28" s="142">
        <f t="shared" si="1"/>
        <v>347.6</v>
      </c>
      <c r="E28" s="142">
        <f t="shared" si="2"/>
        <v>16</v>
      </c>
      <c r="F28" s="82">
        <v>0</v>
      </c>
      <c r="G28" s="82"/>
      <c r="H28" s="82">
        <f t="shared" si="4"/>
        <v>0</v>
      </c>
      <c r="I28" s="82">
        <v>325.6</v>
      </c>
      <c r="J28" s="82">
        <v>342.2</v>
      </c>
      <c r="K28" s="82">
        <f t="shared" si="5"/>
        <v>16.6</v>
      </c>
      <c r="L28" s="82">
        <v>6</v>
      </c>
      <c r="M28" s="93">
        <v>5.4</v>
      </c>
      <c r="N28" s="93">
        <f t="shared" si="6"/>
        <v>-0.6</v>
      </c>
    </row>
    <row r="29" spans="1:14" ht="15.75">
      <c r="A29" s="77">
        <v>17</v>
      </c>
      <c r="B29" s="54" t="s">
        <v>113</v>
      </c>
      <c r="C29" s="142">
        <f t="shared" si="0"/>
        <v>4</v>
      </c>
      <c r="D29" s="142">
        <f t="shared" si="1"/>
        <v>1.7</v>
      </c>
      <c r="E29" s="142">
        <f t="shared" si="2"/>
        <v>-2.3</v>
      </c>
      <c r="F29" s="82">
        <v>0</v>
      </c>
      <c r="G29" s="82"/>
      <c r="H29" s="82">
        <f t="shared" si="4"/>
        <v>0</v>
      </c>
      <c r="I29" s="82">
        <v>0</v>
      </c>
      <c r="J29" s="82"/>
      <c r="K29" s="82">
        <f t="shared" si="5"/>
        <v>0</v>
      </c>
      <c r="L29" s="82">
        <v>4</v>
      </c>
      <c r="M29" s="93">
        <v>1.7</v>
      </c>
      <c r="N29" s="93">
        <f t="shared" si="6"/>
        <v>-2.3</v>
      </c>
    </row>
    <row r="30" spans="1:14" ht="15.75">
      <c r="A30" s="77">
        <v>18</v>
      </c>
      <c r="B30" s="54" t="s">
        <v>114</v>
      </c>
      <c r="C30" s="142">
        <f t="shared" si="0"/>
        <v>143.9</v>
      </c>
      <c r="D30" s="142">
        <f t="shared" si="1"/>
        <v>73.6</v>
      </c>
      <c r="E30" s="142">
        <f t="shared" si="2"/>
        <v>-70.3</v>
      </c>
      <c r="F30" s="82">
        <v>0</v>
      </c>
      <c r="G30" s="82"/>
      <c r="H30" s="82">
        <f t="shared" si="4"/>
        <v>0</v>
      </c>
      <c r="I30" s="82">
        <v>140.8</v>
      </c>
      <c r="J30" s="82">
        <v>70.5</v>
      </c>
      <c r="K30" s="82">
        <f t="shared" si="5"/>
        <v>-70.3</v>
      </c>
      <c r="L30" s="82">
        <v>3.1</v>
      </c>
      <c r="M30" s="93">
        <v>3.1</v>
      </c>
      <c r="N30" s="93">
        <f t="shared" si="6"/>
        <v>0</v>
      </c>
    </row>
    <row r="31" spans="1:14" ht="15" customHeight="1">
      <c r="A31" s="77">
        <v>19</v>
      </c>
      <c r="B31" s="54" t="s">
        <v>316</v>
      </c>
      <c r="C31" s="142">
        <f t="shared" si="0"/>
        <v>8.9</v>
      </c>
      <c r="D31" s="142">
        <f t="shared" si="1"/>
        <v>7.5</v>
      </c>
      <c r="E31" s="142">
        <f t="shared" si="2"/>
        <v>-1.4</v>
      </c>
      <c r="F31" s="82">
        <v>0</v>
      </c>
      <c r="G31" s="82"/>
      <c r="H31" s="82">
        <f t="shared" si="4"/>
        <v>0</v>
      </c>
      <c r="I31" s="82">
        <v>0</v>
      </c>
      <c r="J31" s="82"/>
      <c r="K31" s="82">
        <f t="shared" si="5"/>
        <v>0</v>
      </c>
      <c r="L31" s="82">
        <v>8.9</v>
      </c>
      <c r="M31" s="93">
        <v>7.5</v>
      </c>
      <c r="N31" s="93">
        <f t="shared" si="6"/>
        <v>-1.4</v>
      </c>
    </row>
    <row r="32" spans="1:14" ht="15" customHeight="1">
      <c r="A32" s="77">
        <v>20</v>
      </c>
      <c r="B32" s="54" t="s">
        <v>317</v>
      </c>
      <c r="C32" s="142">
        <f t="shared" si="0"/>
        <v>392</v>
      </c>
      <c r="D32" s="142">
        <f t="shared" si="1"/>
        <v>362.5</v>
      </c>
      <c r="E32" s="142">
        <f t="shared" si="2"/>
        <v>-29.5</v>
      </c>
      <c r="F32" s="82">
        <v>65.4</v>
      </c>
      <c r="G32" s="82">
        <v>47.6</v>
      </c>
      <c r="H32" s="82">
        <f t="shared" si="4"/>
        <v>-17.8</v>
      </c>
      <c r="I32" s="82">
        <v>318.1</v>
      </c>
      <c r="J32" s="82">
        <v>306.6</v>
      </c>
      <c r="K32" s="82">
        <f t="shared" si="5"/>
        <v>-11.5</v>
      </c>
      <c r="L32" s="82">
        <v>8.5</v>
      </c>
      <c r="M32" s="93">
        <v>8.3</v>
      </c>
      <c r="N32" s="93">
        <f t="shared" si="6"/>
        <v>-0.2</v>
      </c>
    </row>
    <row r="33" spans="1:14" ht="15" customHeight="1">
      <c r="A33" s="77">
        <v>21</v>
      </c>
      <c r="B33" s="54" t="s">
        <v>115</v>
      </c>
      <c r="C33" s="142">
        <f t="shared" si="0"/>
        <v>129.1</v>
      </c>
      <c r="D33" s="142">
        <f t="shared" si="1"/>
        <v>132.3</v>
      </c>
      <c r="E33" s="142">
        <f t="shared" si="2"/>
        <v>3.2</v>
      </c>
      <c r="F33" s="82">
        <v>0</v>
      </c>
      <c r="G33" s="82"/>
      <c r="H33" s="82">
        <f t="shared" si="4"/>
        <v>0</v>
      </c>
      <c r="I33" s="82">
        <v>129.1</v>
      </c>
      <c r="J33" s="82">
        <v>132.3</v>
      </c>
      <c r="K33" s="82">
        <f t="shared" si="5"/>
        <v>3.2</v>
      </c>
      <c r="L33" s="82">
        <v>0</v>
      </c>
      <c r="M33" s="93"/>
      <c r="N33" s="93">
        <f t="shared" si="6"/>
        <v>0</v>
      </c>
    </row>
    <row r="34" spans="1:14" ht="17.25" customHeight="1">
      <c r="A34" s="77">
        <v>22</v>
      </c>
      <c r="B34" s="54" t="s">
        <v>116</v>
      </c>
      <c r="C34" s="142">
        <f t="shared" si="0"/>
        <v>156.8</v>
      </c>
      <c r="D34" s="142">
        <f t="shared" si="1"/>
        <v>107.1</v>
      </c>
      <c r="E34" s="142">
        <f t="shared" si="2"/>
        <v>-49.7</v>
      </c>
      <c r="F34" s="82">
        <v>0</v>
      </c>
      <c r="G34" s="82"/>
      <c r="H34" s="82">
        <f t="shared" si="4"/>
        <v>0</v>
      </c>
      <c r="I34" s="82">
        <v>154.8</v>
      </c>
      <c r="J34" s="82">
        <v>105.8</v>
      </c>
      <c r="K34" s="82">
        <f t="shared" si="5"/>
        <v>-49</v>
      </c>
      <c r="L34" s="82">
        <v>2</v>
      </c>
      <c r="M34" s="93">
        <v>1.3</v>
      </c>
      <c r="N34" s="93">
        <f t="shared" si="6"/>
        <v>-0.7</v>
      </c>
    </row>
    <row r="35" spans="1:14" ht="15" customHeight="1">
      <c r="A35" s="77">
        <v>23</v>
      </c>
      <c r="B35" s="54" t="s">
        <v>117</v>
      </c>
      <c r="C35" s="142">
        <f t="shared" si="0"/>
        <v>568.8</v>
      </c>
      <c r="D35" s="142">
        <f t="shared" si="1"/>
        <v>532.6</v>
      </c>
      <c r="E35" s="142">
        <f t="shared" si="2"/>
        <v>-36.2</v>
      </c>
      <c r="F35" s="82">
        <v>355</v>
      </c>
      <c r="G35" s="82">
        <v>321.5</v>
      </c>
      <c r="H35" s="82">
        <f t="shared" si="4"/>
        <v>-33.5</v>
      </c>
      <c r="I35" s="82">
        <v>210</v>
      </c>
      <c r="J35" s="82">
        <v>208</v>
      </c>
      <c r="K35" s="82">
        <f t="shared" si="5"/>
        <v>-2</v>
      </c>
      <c r="L35" s="82">
        <v>3.8</v>
      </c>
      <c r="M35" s="93">
        <v>3.1</v>
      </c>
      <c r="N35" s="93">
        <f t="shared" si="6"/>
        <v>-0.7</v>
      </c>
    </row>
    <row r="36" spans="1:14" ht="15.75">
      <c r="A36" s="77">
        <v>24</v>
      </c>
      <c r="B36" s="54" t="s">
        <v>318</v>
      </c>
      <c r="C36" s="142">
        <f t="shared" si="0"/>
        <v>192.8</v>
      </c>
      <c r="D36" s="142">
        <f t="shared" si="1"/>
        <v>142.9</v>
      </c>
      <c r="E36" s="142">
        <f t="shared" si="2"/>
        <v>-49.9</v>
      </c>
      <c r="F36" s="82">
        <v>7.6</v>
      </c>
      <c r="G36" s="82">
        <v>1.8</v>
      </c>
      <c r="H36" s="82">
        <f t="shared" si="4"/>
        <v>-5.8</v>
      </c>
      <c r="I36" s="82">
        <v>176</v>
      </c>
      <c r="J36" s="82">
        <v>130.2</v>
      </c>
      <c r="K36" s="82">
        <f t="shared" si="5"/>
        <v>-45.8</v>
      </c>
      <c r="L36" s="82">
        <v>9.2</v>
      </c>
      <c r="M36" s="93">
        <v>10.9</v>
      </c>
      <c r="N36" s="93">
        <f t="shared" si="6"/>
        <v>1.7</v>
      </c>
    </row>
    <row r="37" spans="1:14" ht="15" customHeight="1">
      <c r="A37" s="77">
        <v>25</v>
      </c>
      <c r="B37" s="54" t="s">
        <v>118</v>
      </c>
      <c r="C37" s="142">
        <f t="shared" si="0"/>
        <v>97</v>
      </c>
      <c r="D37" s="142">
        <f t="shared" si="1"/>
        <v>96.4</v>
      </c>
      <c r="E37" s="142">
        <f t="shared" si="2"/>
        <v>-0.6</v>
      </c>
      <c r="F37" s="82">
        <v>7.2</v>
      </c>
      <c r="G37" s="82">
        <v>10.7</v>
      </c>
      <c r="H37" s="82">
        <f t="shared" si="4"/>
        <v>3.5</v>
      </c>
      <c r="I37" s="82">
        <v>82.9</v>
      </c>
      <c r="J37" s="82">
        <v>82.8</v>
      </c>
      <c r="K37" s="82">
        <f t="shared" si="5"/>
        <v>-0.1</v>
      </c>
      <c r="L37" s="82">
        <v>6.9</v>
      </c>
      <c r="M37" s="93">
        <v>2.9</v>
      </c>
      <c r="N37" s="93">
        <f t="shared" si="6"/>
        <v>-4</v>
      </c>
    </row>
    <row r="38" spans="1:14" ht="30" customHeight="1">
      <c r="A38" s="77">
        <v>26</v>
      </c>
      <c r="B38" s="54" t="s">
        <v>119</v>
      </c>
      <c r="C38" s="142">
        <f t="shared" si="0"/>
        <v>218.4</v>
      </c>
      <c r="D38" s="142">
        <f t="shared" si="1"/>
        <v>196.9</v>
      </c>
      <c r="E38" s="142">
        <f t="shared" si="2"/>
        <v>-21.5</v>
      </c>
      <c r="F38" s="82">
        <v>2.4</v>
      </c>
      <c r="G38" s="82">
        <v>2.4</v>
      </c>
      <c r="H38" s="82">
        <f t="shared" si="4"/>
        <v>0</v>
      </c>
      <c r="I38" s="82">
        <v>200</v>
      </c>
      <c r="J38" s="82">
        <v>181.5</v>
      </c>
      <c r="K38" s="82">
        <f t="shared" si="5"/>
        <v>-18.5</v>
      </c>
      <c r="L38" s="82">
        <v>16</v>
      </c>
      <c r="M38" s="93">
        <v>13</v>
      </c>
      <c r="N38" s="93">
        <f t="shared" si="6"/>
        <v>-3</v>
      </c>
    </row>
    <row r="39" spans="1:14" ht="15" customHeight="1">
      <c r="A39" s="77">
        <v>27</v>
      </c>
      <c r="B39" s="54" t="s">
        <v>120</v>
      </c>
      <c r="C39" s="142">
        <f t="shared" si="0"/>
        <v>12.9</v>
      </c>
      <c r="D39" s="142">
        <f t="shared" si="1"/>
        <v>16</v>
      </c>
      <c r="E39" s="142">
        <f t="shared" si="2"/>
        <v>3.1</v>
      </c>
      <c r="F39" s="82">
        <v>5.5</v>
      </c>
      <c r="G39" s="82">
        <v>8.1</v>
      </c>
      <c r="H39" s="82">
        <f t="shared" si="4"/>
        <v>2.6</v>
      </c>
      <c r="I39" s="82">
        <v>0</v>
      </c>
      <c r="J39" s="82"/>
      <c r="K39" s="82">
        <f t="shared" si="5"/>
        <v>0</v>
      </c>
      <c r="L39" s="82">
        <v>7.4</v>
      </c>
      <c r="M39" s="93">
        <v>7.9</v>
      </c>
      <c r="N39" s="93">
        <f t="shared" si="6"/>
        <v>0.5</v>
      </c>
    </row>
    <row r="40" spans="1:14" ht="17.25" customHeight="1">
      <c r="A40" s="77">
        <v>28</v>
      </c>
      <c r="B40" s="54" t="s">
        <v>319</v>
      </c>
      <c r="C40" s="142">
        <f t="shared" si="0"/>
        <v>152.5</v>
      </c>
      <c r="D40" s="142">
        <f t="shared" si="1"/>
        <v>105.8</v>
      </c>
      <c r="E40" s="142">
        <f t="shared" si="2"/>
        <v>-46.7</v>
      </c>
      <c r="F40" s="82">
        <v>0</v>
      </c>
      <c r="G40" s="82"/>
      <c r="H40" s="82">
        <f t="shared" si="4"/>
        <v>0</v>
      </c>
      <c r="I40" s="82">
        <v>150</v>
      </c>
      <c r="J40" s="82">
        <v>104.1</v>
      </c>
      <c r="K40" s="82">
        <f t="shared" si="5"/>
        <v>-45.9</v>
      </c>
      <c r="L40" s="82">
        <v>2.5</v>
      </c>
      <c r="M40" s="93">
        <v>1.7</v>
      </c>
      <c r="N40" s="93">
        <f t="shared" si="6"/>
        <v>-0.8</v>
      </c>
    </row>
    <row r="41" spans="1:14" ht="17.25" customHeight="1">
      <c r="A41" s="77">
        <v>29</v>
      </c>
      <c r="B41" s="54" t="s">
        <v>320</v>
      </c>
      <c r="C41" s="142">
        <f t="shared" si="0"/>
        <v>143.6</v>
      </c>
      <c r="D41" s="142">
        <f t="shared" si="1"/>
        <v>123</v>
      </c>
      <c r="E41" s="142">
        <f t="shared" si="2"/>
        <v>-20.6</v>
      </c>
      <c r="F41" s="82">
        <v>0</v>
      </c>
      <c r="G41" s="82"/>
      <c r="H41" s="82">
        <f t="shared" si="4"/>
        <v>0</v>
      </c>
      <c r="I41" s="82">
        <v>140</v>
      </c>
      <c r="J41" s="82">
        <v>119.4</v>
      </c>
      <c r="K41" s="82">
        <f t="shared" si="5"/>
        <v>-20.6</v>
      </c>
      <c r="L41" s="82">
        <v>3.6</v>
      </c>
      <c r="M41" s="93">
        <v>3.6</v>
      </c>
      <c r="N41" s="93">
        <f t="shared" si="6"/>
        <v>0</v>
      </c>
    </row>
    <row r="42" spans="1:14" ht="16.5" customHeight="1">
      <c r="A42" s="77">
        <v>30</v>
      </c>
      <c r="B42" s="54" t="s">
        <v>121</v>
      </c>
      <c r="C42" s="142">
        <f t="shared" si="0"/>
        <v>2</v>
      </c>
      <c r="D42" s="142">
        <f t="shared" si="1"/>
        <v>2.3</v>
      </c>
      <c r="E42" s="142">
        <f t="shared" si="2"/>
        <v>0.3</v>
      </c>
      <c r="F42" s="82">
        <v>0</v>
      </c>
      <c r="G42" s="82"/>
      <c r="H42" s="82">
        <f t="shared" si="4"/>
        <v>0</v>
      </c>
      <c r="I42" s="82">
        <v>0</v>
      </c>
      <c r="J42" s="82"/>
      <c r="K42" s="82">
        <f t="shared" si="5"/>
        <v>0</v>
      </c>
      <c r="L42" s="82">
        <v>2</v>
      </c>
      <c r="M42" s="93">
        <v>2.3</v>
      </c>
      <c r="N42" s="93">
        <f t="shared" si="6"/>
        <v>0.3</v>
      </c>
    </row>
    <row r="43" spans="1:14" ht="18.75" customHeight="1">
      <c r="A43" s="77">
        <v>31</v>
      </c>
      <c r="B43" s="54" t="s">
        <v>122</v>
      </c>
      <c r="C43" s="142">
        <f t="shared" si="0"/>
        <v>97.9</v>
      </c>
      <c r="D43" s="142">
        <f t="shared" si="1"/>
        <v>86.5</v>
      </c>
      <c r="E43" s="142">
        <f t="shared" si="2"/>
        <v>-11.4</v>
      </c>
      <c r="F43" s="82">
        <v>4</v>
      </c>
      <c r="G43" s="82">
        <v>5.4</v>
      </c>
      <c r="H43" s="82">
        <f t="shared" si="4"/>
        <v>1.4</v>
      </c>
      <c r="I43" s="82">
        <v>85.9</v>
      </c>
      <c r="J43" s="82">
        <v>75.1</v>
      </c>
      <c r="K43" s="82">
        <f t="shared" si="5"/>
        <v>-10.8</v>
      </c>
      <c r="L43" s="82">
        <v>8</v>
      </c>
      <c r="M43" s="93">
        <v>6</v>
      </c>
      <c r="N43" s="93">
        <f t="shared" si="6"/>
        <v>-2</v>
      </c>
    </row>
    <row r="44" spans="1:14" ht="15" customHeight="1">
      <c r="A44" s="77">
        <v>32</v>
      </c>
      <c r="B44" s="54" t="s">
        <v>123</v>
      </c>
      <c r="C44" s="142">
        <f t="shared" si="0"/>
        <v>101.6</v>
      </c>
      <c r="D44" s="142">
        <f t="shared" si="1"/>
        <v>98.3</v>
      </c>
      <c r="E44" s="142">
        <f t="shared" si="2"/>
        <v>-3.3</v>
      </c>
      <c r="F44" s="82">
        <v>0</v>
      </c>
      <c r="G44" s="82"/>
      <c r="H44" s="82">
        <f t="shared" si="4"/>
        <v>0</v>
      </c>
      <c r="I44" s="82">
        <v>100</v>
      </c>
      <c r="J44" s="82">
        <v>96.7</v>
      </c>
      <c r="K44" s="82">
        <f t="shared" si="5"/>
        <v>-3.3</v>
      </c>
      <c r="L44" s="82">
        <v>1.6</v>
      </c>
      <c r="M44" s="93">
        <v>1.6</v>
      </c>
      <c r="N44" s="93">
        <f t="shared" si="6"/>
        <v>0</v>
      </c>
    </row>
    <row r="45" spans="1:14" ht="15" customHeight="1">
      <c r="A45" s="77">
        <v>33</v>
      </c>
      <c r="B45" s="54" t="s">
        <v>124</v>
      </c>
      <c r="C45" s="142">
        <f t="shared" si="0"/>
        <v>50.5</v>
      </c>
      <c r="D45" s="142">
        <f t="shared" si="1"/>
        <v>44.2</v>
      </c>
      <c r="E45" s="142">
        <f t="shared" si="2"/>
        <v>-6.3</v>
      </c>
      <c r="F45" s="82">
        <v>0</v>
      </c>
      <c r="G45" s="82"/>
      <c r="H45" s="82">
        <f t="shared" si="4"/>
        <v>0</v>
      </c>
      <c r="I45" s="82">
        <v>42</v>
      </c>
      <c r="J45" s="82">
        <v>37.5</v>
      </c>
      <c r="K45" s="82">
        <f t="shared" si="5"/>
        <v>-4.5</v>
      </c>
      <c r="L45" s="82">
        <v>8.5</v>
      </c>
      <c r="M45" s="93">
        <v>6.7</v>
      </c>
      <c r="N45" s="93">
        <f t="shared" si="6"/>
        <v>-1.8</v>
      </c>
    </row>
    <row r="46" spans="1:14" ht="33.75" customHeight="1">
      <c r="A46" s="77">
        <v>34</v>
      </c>
      <c r="B46" s="54" t="s">
        <v>321</v>
      </c>
      <c r="C46" s="142">
        <f t="shared" si="0"/>
        <v>64.3</v>
      </c>
      <c r="D46" s="142">
        <f t="shared" si="1"/>
        <v>48.8</v>
      </c>
      <c r="E46" s="142">
        <f t="shared" si="2"/>
        <v>-15.5</v>
      </c>
      <c r="F46" s="82">
        <v>0</v>
      </c>
      <c r="G46" s="82"/>
      <c r="H46" s="82">
        <f t="shared" si="4"/>
        <v>0</v>
      </c>
      <c r="I46" s="82">
        <v>60</v>
      </c>
      <c r="J46" s="82">
        <v>46.5</v>
      </c>
      <c r="K46" s="82">
        <f t="shared" si="5"/>
        <v>-13.5</v>
      </c>
      <c r="L46" s="82">
        <v>4.3</v>
      </c>
      <c r="M46" s="93">
        <v>2.3</v>
      </c>
      <c r="N46" s="93">
        <f t="shared" si="6"/>
        <v>-2</v>
      </c>
    </row>
    <row r="47" spans="1:14" ht="15" customHeight="1">
      <c r="A47" s="77">
        <v>35</v>
      </c>
      <c r="B47" s="54" t="s">
        <v>125</v>
      </c>
      <c r="C47" s="142">
        <f t="shared" si="0"/>
        <v>28.3</v>
      </c>
      <c r="D47" s="142">
        <f t="shared" si="1"/>
        <v>32.4</v>
      </c>
      <c r="E47" s="142">
        <f t="shared" si="2"/>
        <v>4.1</v>
      </c>
      <c r="F47" s="82">
        <v>27.7</v>
      </c>
      <c r="G47" s="82">
        <v>31.9</v>
      </c>
      <c r="H47" s="82">
        <f t="shared" si="4"/>
        <v>4.2</v>
      </c>
      <c r="I47" s="82">
        <v>0</v>
      </c>
      <c r="J47" s="82"/>
      <c r="K47" s="82">
        <f t="shared" si="5"/>
        <v>0</v>
      </c>
      <c r="L47" s="82">
        <v>0.6</v>
      </c>
      <c r="M47" s="93">
        <v>0.5</v>
      </c>
      <c r="N47" s="93">
        <f t="shared" si="6"/>
        <v>-0.1</v>
      </c>
    </row>
    <row r="48" spans="1:14" ht="35.25" customHeight="1">
      <c r="A48" s="77">
        <v>36</v>
      </c>
      <c r="B48" s="54" t="s">
        <v>126</v>
      </c>
      <c r="C48" s="142">
        <f t="shared" si="0"/>
        <v>2.7</v>
      </c>
      <c r="D48" s="142">
        <f t="shared" si="1"/>
        <v>2.7</v>
      </c>
      <c r="E48" s="142">
        <f t="shared" si="2"/>
        <v>0</v>
      </c>
      <c r="F48" s="82">
        <v>0</v>
      </c>
      <c r="G48" s="82"/>
      <c r="H48" s="82">
        <f t="shared" si="4"/>
        <v>0</v>
      </c>
      <c r="I48" s="82">
        <v>0</v>
      </c>
      <c r="J48" s="82"/>
      <c r="K48" s="82">
        <f t="shared" si="5"/>
        <v>0</v>
      </c>
      <c r="L48" s="82">
        <v>2.7</v>
      </c>
      <c r="M48" s="93">
        <v>2.7</v>
      </c>
      <c r="N48" s="93">
        <f t="shared" si="6"/>
        <v>0</v>
      </c>
    </row>
    <row r="49" spans="1:14" ht="34.5" customHeight="1">
      <c r="A49" s="77">
        <v>37</v>
      </c>
      <c r="B49" s="54" t="s">
        <v>322</v>
      </c>
      <c r="C49" s="142">
        <f t="shared" si="0"/>
        <v>452</v>
      </c>
      <c r="D49" s="142">
        <f t="shared" si="1"/>
        <v>454.2</v>
      </c>
      <c r="E49" s="142">
        <f t="shared" si="2"/>
        <v>2.2</v>
      </c>
      <c r="F49" s="82">
        <v>0</v>
      </c>
      <c r="G49" s="82"/>
      <c r="H49" s="82">
        <f t="shared" si="4"/>
        <v>0</v>
      </c>
      <c r="I49" s="82">
        <v>450</v>
      </c>
      <c r="J49" s="82">
        <v>452.4</v>
      </c>
      <c r="K49" s="82">
        <f t="shared" si="5"/>
        <v>2.4</v>
      </c>
      <c r="L49" s="82">
        <v>2</v>
      </c>
      <c r="M49" s="93">
        <v>1.8</v>
      </c>
      <c r="N49" s="93">
        <f t="shared" si="6"/>
        <v>-0.2</v>
      </c>
    </row>
    <row r="50" spans="1:14" ht="15" customHeight="1">
      <c r="A50" s="77">
        <v>38</v>
      </c>
      <c r="B50" s="54" t="s">
        <v>127</v>
      </c>
      <c r="C50" s="142">
        <f t="shared" si="0"/>
        <v>161</v>
      </c>
      <c r="D50" s="142">
        <f t="shared" si="1"/>
        <v>143.6</v>
      </c>
      <c r="E50" s="142">
        <f t="shared" si="2"/>
        <v>-17.4</v>
      </c>
      <c r="F50" s="82">
        <v>0</v>
      </c>
      <c r="G50" s="82"/>
      <c r="H50" s="82">
        <f t="shared" si="4"/>
        <v>0</v>
      </c>
      <c r="I50" s="82">
        <v>160</v>
      </c>
      <c r="J50" s="82">
        <v>143.2</v>
      </c>
      <c r="K50" s="82">
        <f t="shared" si="5"/>
        <v>-16.8</v>
      </c>
      <c r="L50" s="82">
        <v>1</v>
      </c>
      <c r="M50" s="93">
        <v>0.4</v>
      </c>
      <c r="N50" s="93">
        <f t="shared" si="6"/>
        <v>-0.6</v>
      </c>
    </row>
    <row r="51" spans="1:14" ht="18" customHeight="1">
      <c r="A51" s="77">
        <v>39</v>
      </c>
      <c r="B51" s="54" t="s">
        <v>323</v>
      </c>
      <c r="C51" s="142">
        <f t="shared" si="0"/>
        <v>116.5</v>
      </c>
      <c r="D51" s="142">
        <f t="shared" si="1"/>
        <v>116.7</v>
      </c>
      <c r="E51" s="142">
        <f t="shared" si="2"/>
        <v>0.2</v>
      </c>
      <c r="F51" s="82">
        <v>53.5</v>
      </c>
      <c r="G51" s="82">
        <v>61.8</v>
      </c>
      <c r="H51" s="82">
        <f t="shared" si="4"/>
        <v>8.3</v>
      </c>
      <c r="I51" s="82">
        <v>63</v>
      </c>
      <c r="J51" s="82">
        <v>54.9</v>
      </c>
      <c r="K51" s="82">
        <f t="shared" si="5"/>
        <v>-8.1</v>
      </c>
      <c r="L51" s="82">
        <v>0</v>
      </c>
      <c r="M51" s="93"/>
      <c r="N51" s="93">
        <f t="shared" si="6"/>
        <v>0</v>
      </c>
    </row>
    <row r="52" spans="1:14" ht="36" customHeight="1">
      <c r="A52" s="77">
        <v>40</v>
      </c>
      <c r="B52" s="54" t="s">
        <v>128</v>
      </c>
      <c r="C52" s="142">
        <f t="shared" si="0"/>
        <v>129.3</v>
      </c>
      <c r="D52" s="142">
        <f t="shared" si="1"/>
        <v>119.9</v>
      </c>
      <c r="E52" s="142">
        <f t="shared" si="2"/>
        <v>-9.4</v>
      </c>
      <c r="F52" s="82">
        <v>7.5</v>
      </c>
      <c r="G52" s="82">
        <v>3.1</v>
      </c>
      <c r="H52" s="82">
        <f t="shared" si="4"/>
        <v>-4.4</v>
      </c>
      <c r="I52" s="82">
        <v>120</v>
      </c>
      <c r="J52" s="82">
        <v>115</v>
      </c>
      <c r="K52" s="82">
        <f t="shared" si="5"/>
        <v>-5</v>
      </c>
      <c r="L52" s="82">
        <v>1.8</v>
      </c>
      <c r="M52" s="93">
        <v>1.8</v>
      </c>
      <c r="N52" s="93">
        <f t="shared" si="6"/>
        <v>0</v>
      </c>
    </row>
    <row r="53" spans="1:14" ht="35.25" customHeight="1">
      <c r="A53" s="77">
        <v>41</v>
      </c>
      <c r="B53" s="54" t="s">
        <v>129</v>
      </c>
      <c r="C53" s="142">
        <f t="shared" si="0"/>
        <v>7</v>
      </c>
      <c r="D53" s="142">
        <f t="shared" si="1"/>
        <v>6.1</v>
      </c>
      <c r="E53" s="142">
        <f t="shared" si="2"/>
        <v>-0.9</v>
      </c>
      <c r="F53" s="82">
        <v>0</v>
      </c>
      <c r="G53" s="82"/>
      <c r="H53" s="82">
        <f t="shared" si="4"/>
        <v>0</v>
      </c>
      <c r="I53" s="82">
        <v>0</v>
      </c>
      <c r="J53" s="82"/>
      <c r="K53" s="82">
        <f t="shared" si="5"/>
        <v>0</v>
      </c>
      <c r="L53" s="82">
        <v>7</v>
      </c>
      <c r="M53" s="93">
        <v>6.1</v>
      </c>
      <c r="N53" s="93">
        <f t="shared" si="6"/>
        <v>-0.9</v>
      </c>
    </row>
    <row r="54" spans="1:14" ht="15.75">
      <c r="A54" s="77">
        <v>42</v>
      </c>
      <c r="B54" s="54" t="s">
        <v>324</v>
      </c>
      <c r="C54" s="142">
        <f t="shared" si="0"/>
        <v>0.2</v>
      </c>
      <c r="D54" s="142">
        <f t="shared" si="1"/>
        <v>0.2</v>
      </c>
      <c r="E54" s="142">
        <f t="shared" si="2"/>
        <v>0</v>
      </c>
      <c r="F54" s="82">
        <v>0</v>
      </c>
      <c r="G54" s="82"/>
      <c r="H54" s="82">
        <f t="shared" si="4"/>
        <v>0</v>
      </c>
      <c r="I54" s="82">
        <v>0</v>
      </c>
      <c r="J54" s="82"/>
      <c r="K54" s="82">
        <f t="shared" si="5"/>
        <v>0</v>
      </c>
      <c r="L54" s="82">
        <v>0.2</v>
      </c>
      <c r="M54" s="93">
        <v>0.2</v>
      </c>
      <c r="N54" s="93">
        <f t="shared" si="6"/>
        <v>0</v>
      </c>
    </row>
    <row r="55" spans="1:14" ht="15.75">
      <c r="A55" s="77">
        <v>43</v>
      </c>
      <c r="B55" s="54" t="s">
        <v>325</v>
      </c>
      <c r="C55" s="142">
        <f t="shared" si="0"/>
        <v>2.5</v>
      </c>
      <c r="D55" s="142">
        <f t="shared" si="1"/>
        <v>2.3</v>
      </c>
      <c r="E55" s="142">
        <f t="shared" si="2"/>
        <v>-0.2</v>
      </c>
      <c r="F55" s="82">
        <v>2.5</v>
      </c>
      <c r="G55" s="82">
        <v>2.3</v>
      </c>
      <c r="H55" s="82">
        <f t="shared" si="4"/>
        <v>-0.2</v>
      </c>
      <c r="I55" s="82">
        <v>0</v>
      </c>
      <c r="J55" s="82"/>
      <c r="K55" s="82">
        <f t="shared" si="5"/>
        <v>0</v>
      </c>
      <c r="L55" s="82">
        <v>0</v>
      </c>
      <c r="M55" s="93"/>
      <c r="N55" s="93">
        <f t="shared" si="6"/>
        <v>0</v>
      </c>
    </row>
    <row r="56" spans="1:14" ht="31.5" customHeight="1">
      <c r="A56" s="77">
        <v>44</v>
      </c>
      <c r="B56" s="54" t="s">
        <v>130</v>
      </c>
      <c r="C56" s="142">
        <f t="shared" si="0"/>
        <v>15.6</v>
      </c>
      <c r="D56" s="142">
        <f t="shared" si="1"/>
        <v>15</v>
      </c>
      <c r="E56" s="142">
        <f t="shared" si="2"/>
        <v>-0.6</v>
      </c>
      <c r="F56" s="82">
        <v>2.6</v>
      </c>
      <c r="G56" s="82">
        <v>1.4</v>
      </c>
      <c r="H56" s="82">
        <f t="shared" si="4"/>
        <v>-1.2</v>
      </c>
      <c r="I56" s="82">
        <v>0</v>
      </c>
      <c r="J56" s="82"/>
      <c r="K56" s="82">
        <f t="shared" si="5"/>
        <v>0</v>
      </c>
      <c r="L56" s="82">
        <v>13</v>
      </c>
      <c r="M56" s="93">
        <v>13.6</v>
      </c>
      <c r="N56" s="93">
        <f t="shared" si="6"/>
        <v>0.6</v>
      </c>
    </row>
    <row r="57" spans="1:14" ht="33" customHeight="1">
      <c r="A57" s="77">
        <v>45</v>
      </c>
      <c r="B57" s="54" t="s">
        <v>326</v>
      </c>
      <c r="C57" s="142">
        <f t="shared" si="0"/>
        <v>1.3</v>
      </c>
      <c r="D57" s="142">
        <f t="shared" si="1"/>
        <v>1.5</v>
      </c>
      <c r="E57" s="142">
        <f t="shared" si="2"/>
        <v>0.2</v>
      </c>
      <c r="F57" s="82">
        <v>1.3</v>
      </c>
      <c r="G57" s="82">
        <v>1.5</v>
      </c>
      <c r="H57" s="82">
        <f t="shared" si="4"/>
        <v>0.2</v>
      </c>
      <c r="I57" s="82">
        <v>0</v>
      </c>
      <c r="J57" s="82"/>
      <c r="K57" s="82">
        <f t="shared" si="5"/>
        <v>0</v>
      </c>
      <c r="L57" s="82">
        <v>0</v>
      </c>
      <c r="M57" s="93"/>
      <c r="N57" s="93">
        <f t="shared" si="6"/>
        <v>0</v>
      </c>
    </row>
    <row r="58" spans="1:14" ht="17.25" customHeight="1">
      <c r="A58" s="77">
        <v>46</v>
      </c>
      <c r="B58" s="54" t="s">
        <v>131</v>
      </c>
      <c r="C58" s="142">
        <f t="shared" si="0"/>
        <v>240</v>
      </c>
      <c r="D58" s="142">
        <f t="shared" si="1"/>
        <v>251.8</v>
      </c>
      <c r="E58" s="142">
        <f t="shared" si="2"/>
        <v>11.8</v>
      </c>
      <c r="F58" s="82">
        <v>238.2</v>
      </c>
      <c r="G58" s="82">
        <v>250.4</v>
      </c>
      <c r="H58" s="82">
        <f t="shared" si="4"/>
        <v>12.2</v>
      </c>
      <c r="I58" s="82">
        <v>0</v>
      </c>
      <c r="J58" s="82"/>
      <c r="K58" s="82">
        <f t="shared" si="5"/>
        <v>0</v>
      </c>
      <c r="L58" s="82">
        <v>1.8</v>
      </c>
      <c r="M58" s="93">
        <v>1.4</v>
      </c>
      <c r="N58" s="93">
        <f t="shared" si="6"/>
        <v>-0.4</v>
      </c>
    </row>
    <row r="59" spans="1:14" ht="15" customHeight="1">
      <c r="A59" s="77">
        <v>47</v>
      </c>
      <c r="B59" s="54" t="s">
        <v>132</v>
      </c>
      <c r="C59" s="142">
        <f t="shared" si="0"/>
        <v>226.1</v>
      </c>
      <c r="D59" s="142">
        <f t="shared" si="1"/>
        <v>162.5</v>
      </c>
      <c r="E59" s="142">
        <f t="shared" si="2"/>
        <v>-63.6</v>
      </c>
      <c r="F59" s="82">
        <v>224.9</v>
      </c>
      <c r="G59" s="82">
        <v>161.3</v>
      </c>
      <c r="H59" s="82">
        <f t="shared" si="4"/>
        <v>-63.6</v>
      </c>
      <c r="I59" s="82">
        <v>0</v>
      </c>
      <c r="J59" s="82"/>
      <c r="K59" s="82">
        <f t="shared" si="5"/>
        <v>0</v>
      </c>
      <c r="L59" s="82">
        <v>1.2</v>
      </c>
      <c r="M59" s="93">
        <v>1.2</v>
      </c>
      <c r="N59" s="93">
        <f t="shared" si="6"/>
        <v>0</v>
      </c>
    </row>
    <row r="60" spans="1:14" ht="15" customHeight="1">
      <c r="A60" s="77">
        <v>48</v>
      </c>
      <c r="B60" s="54" t="s">
        <v>133</v>
      </c>
      <c r="C60" s="142">
        <f t="shared" si="0"/>
        <v>157.7</v>
      </c>
      <c r="D60" s="142">
        <f t="shared" si="1"/>
        <v>143.9</v>
      </c>
      <c r="E60" s="142">
        <f t="shared" si="2"/>
        <v>-13.8</v>
      </c>
      <c r="F60" s="82">
        <v>157.7</v>
      </c>
      <c r="G60" s="82">
        <v>143.9</v>
      </c>
      <c r="H60" s="82">
        <f t="shared" si="4"/>
        <v>-13.8</v>
      </c>
      <c r="I60" s="82">
        <v>0</v>
      </c>
      <c r="J60" s="82"/>
      <c r="K60" s="82">
        <f t="shared" si="5"/>
        <v>0</v>
      </c>
      <c r="L60" s="82">
        <v>0</v>
      </c>
      <c r="M60" s="93"/>
      <c r="N60" s="93">
        <f t="shared" si="6"/>
        <v>0</v>
      </c>
    </row>
    <row r="61" spans="1:14" ht="14.25" customHeight="1">
      <c r="A61" s="77">
        <v>49</v>
      </c>
      <c r="B61" s="54" t="s">
        <v>134</v>
      </c>
      <c r="C61" s="142">
        <f t="shared" si="0"/>
        <v>334.6</v>
      </c>
      <c r="D61" s="142">
        <f t="shared" si="1"/>
        <v>305.5</v>
      </c>
      <c r="E61" s="142">
        <f t="shared" si="2"/>
        <v>-29.1</v>
      </c>
      <c r="F61" s="82">
        <v>331.9</v>
      </c>
      <c r="G61" s="82">
        <v>302.8</v>
      </c>
      <c r="H61" s="82">
        <f t="shared" si="4"/>
        <v>-29.1</v>
      </c>
      <c r="I61" s="82">
        <v>0</v>
      </c>
      <c r="J61" s="82"/>
      <c r="K61" s="82">
        <f t="shared" si="5"/>
        <v>0</v>
      </c>
      <c r="L61" s="82">
        <v>2.7</v>
      </c>
      <c r="M61" s="93">
        <v>2.7</v>
      </c>
      <c r="N61" s="93">
        <f t="shared" si="6"/>
        <v>0</v>
      </c>
    </row>
    <row r="62" spans="1:14" ht="15" customHeight="1">
      <c r="A62" s="77">
        <v>50</v>
      </c>
      <c r="B62" s="54" t="s">
        <v>135</v>
      </c>
      <c r="C62" s="142">
        <f t="shared" si="0"/>
        <v>192.6</v>
      </c>
      <c r="D62" s="142">
        <f t="shared" si="1"/>
        <v>160</v>
      </c>
      <c r="E62" s="142">
        <f t="shared" si="2"/>
        <v>-32.6</v>
      </c>
      <c r="F62" s="82">
        <v>191.5</v>
      </c>
      <c r="G62" s="82">
        <v>158.9</v>
      </c>
      <c r="H62" s="82">
        <f t="shared" si="4"/>
        <v>-32.6</v>
      </c>
      <c r="I62" s="82">
        <v>0</v>
      </c>
      <c r="J62" s="82"/>
      <c r="K62" s="82">
        <f t="shared" si="5"/>
        <v>0</v>
      </c>
      <c r="L62" s="82">
        <v>1.1</v>
      </c>
      <c r="M62" s="93">
        <v>1.1</v>
      </c>
      <c r="N62" s="93">
        <f t="shared" si="6"/>
        <v>0</v>
      </c>
    </row>
    <row r="63" spans="1:14" ht="15" customHeight="1">
      <c r="A63" s="77">
        <v>51</v>
      </c>
      <c r="B63" s="54" t="s">
        <v>136</v>
      </c>
      <c r="C63" s="142">
        <f t="shared" si="0"/>
        <v>181.8</v>
      </c>
      <c r="D63" s="142">
        <f t="shared" si="1"/>
        <v>127.1</v>
      </c>
      <c r="E63" s="142">
        <f t="shared" si="2"/>
        <v>-54.7</v>
      </c>
      <c r="F63" s="82">
        <v>181.8</v>
      </c>
      <c r="G63" s="82">
        <v>127.1</v>
      </c>
      <c r="H63" s="82">
        <f t="shared" si="4"/>
        <v>-54.7</v>
      </c>
      <c r="I63" s="82">
        <v>0</v>
      </c>
      <c r="J63" s="82"/>
      <c r="K63" s="82">
        <f t="shared" si="5"/>
        <v>0</v>
      </c>
      <c r="L63" s="82">
        <v>0</v>
      </c>
      <c r="M63" s="93"/>
      <c r="N63" s="93">
        <f t="shared" si="6"/>
        <v>0</v>
      </c>
    </row>
    <row r="64" spans="1:14" ht="30.75" customHeight="1">
      <c r="A64" s="77">
        <v>52</v>
      </c>
      <c r="B64" s="54" t="s">
        <v>137</v>
      </c>
      <c r="C64" s="142">
        <f t="shared" si="0"/>
        <v>257.5</v>
      </c>
      <c r="D64" s="142">
        <f t="shared" si="1"/>
        <v>247.9</v>
      </c>
      <c r="E64" s="142">
        <f t="shared" si="2"/>
        <v>-9.6</v>
      </c>
      <c r="F64" s="82">
        <v>257.5</v>
      </c>
      <c r="G64" s="82">
        <v>247.9</v>
      </c>
      <c r="H64" s="82">
        <f t="shared" si="4"/>
        <v>-9.6</v>
      </c>
      <c r="I64" s="82">
        <v>0</v>
      </c>
      <c r="J64" s="82"/>
      <c r="K64" s="82">
        <f t="shared" si="5"/>
        <v>0</v>
      </c>
      <c r="L64" s="82">
        <v>0</v>
      </c>
      <c r="M64" s="93"/>
      <c r="N64" s="93">
        <f t="shared" si="6"/>
        <v>0</v>
      </c>
    </row>
    <row r="65" spans="1:14" ht="15" customHeight="1">
      <c r="A65" s="77">
        <v>53</v>
      </c>
      <c r="B65" s="54" t="s">
        <v>138</v>
      </c>
      <c r="C65" s="142">
        <f t="shared" si="0"/>
        <v>230.8</v>
      </c>
      <c r="D65" s="142">
        <f t="shared" si="1"/>
        <v>177.2</v>
      </c>
      <c r="E65" s="142">
        <f t="shared" si="2"/>
        <v>-53.6</v>
      </c>
      <c r="F65" s="82">
        <v>230.8</v>
      </c>
      <c r="G65" s="82">
        <v>177.2</v>
      </c>
      <c r="H65" s="82">
        <f t="shared" si="4"/>
        <v>-53.6</v>
      </c>
      <c r="I65" s="82">
        <v>0</v>
      </c>
      <c r="J65" s="82"/>
      <c r="K65" s="82">
        <f t="shared" si="5"/>
        <v>0</v>
      </c>
      <c r="L65" s="82">
        <v>0</v>
      </c>
      <c r="M65" s="93"/>
      <c r="N65" s="93">
        <f t="shared" si="6"/>
        <v>0</v>
      </c>
    </row>
    <row r="66" spans="1:14" ht="15" customHeight="1">
      <c r="A66" s="77">
        <v>54</v>
      </c>
      <c r="B66" s="54" t="s">
        <v>327</v>
      </c>
      <c r="C66" s="142">
        <f t="shared" si="0"/>
        <v>272.2</v>
      </c>
      <c r="D66" s="142">
        <f t="shared" si="1"/>
        <v>208.9</v>
      </c>
      <c r="E66" s="142">
        <f t="shared" si="2"/>
        <v>-63.3</v>
      </c>
      <c r="F66" s="82">
        <v>271.4</v>
      </c>
      <c r="G66" s="82">
        <v>208.2</v>
      </c>
      <c r="H66" s="82">
        <f t="shared" si="4"/>
        <v>-63.2</v>
      </c>
      <c r="I66" s="82">
        <v>0</v>
      </c>
      <c r="J66" s="82"/>
      <c r="K66" s="82">
        <f t="shared" si="5"/>
        <v>0</v>
      </c>
      <c r="L66" s="82">
        <v>0.8</v>
      </c>
      <c r="M66" s="93">
        <v>0.7</v>
      </c>
      <c r="N66" s="93">
        <f t="shared" si="6"/>
        <v>-0.1</v>
      </c>
    </row>
    <row r="67" spans="1:14" ht="15" customHeight="1">
      <c r="A67" s="77">
        <v>55</v>
      </c>
      <c r="B67" s="54" t="s">
        <v>139</v>
      </c>
      <c r="C67" s="142">
        <f t="shared" si="0"/>
        <v>282.4</v>
      </c>
      <c r="D67" s="142">
        <f t="shared" si="1"/>
        <v>225.2</v>
      </c>
      <c r="E67" s="142">
        <f t="shared" si="2"/>
        <v>-57.2</v>
      </c>
      <c r="F67" s="82">
        <v>281.6</v>
      </c>
      <c r="G67" s="82">
        <v>224.1</v>
      </c>
      <c r="H67" s="82">
        <f t="shared" si="4"/>
        <v>-57.5</v>
      </c>
      <c r="I67" s="82">
        <v>0</v>
      </c>
      <c r="J67" s="82"/>
      <c r="K67" s="82">
        <f t="shared" si="5"/>
        <v>0</v>
      </c>
      <c r="L67" s="82">
        <v>0.8</v>
      </c>
      <c r="M67" s="93">
        <v>1.1</v>
      </c>
      <c r="N67" s="93">
        <f t="shared" si="6"/>
        <v>0.3</v>
      </c>
    </row>
    <row r="68" spans="1:14" ht="30.75" customHeight="1">
      <c r="A68" s="77">
        <v>56</v>
      </c>
      <c r="B68" s="54" t="s">
        <v>140</v>
      </c>
      <c r="C68" s="142">
        <f t="shared" si="0"/>
        <v>168</v>
      </c>
      <c r="D68" s="142">
        <f t="shared" si="1"/>
        <v>123.1</v>
      </c>
      <c r="E68" s="142">
        <f t="shared" si="2"/>
        <v>-44.9</v>
      </c>
      <c r="F68" s="82">
        <v>166.4</v>
      </c>
      <c r="G68" s="82">
        <v>121</v>
      </c>
      <c r="H68" s="82">
        <f t="shared" si="4"/>
        <v>-45.4</v>
      </c>
      <c r="I68" s="82">
        <v>0</v>
      </c>
      <c r="J68" s="82"/>
      <c r="K68" s="82">
        <f t="shared" si="5"/>
        <v>0</v>
      </c>
      <c r="L68" s="82">
        <v>1.6</v>
      </c>
      <c r="M68" s="93">
        <v>2.1</v>
      </c>
      <c r="N68" s="93">
        <f t="shared" si="6"/>
        <v>0.5</v>
      </c>
    </row>
    <row r="69" spans="1:14" ht="15" customHeight="1">
      <c r="A69" s="77">
        <v>57</v>
      </c>
      <c r="B69" s="54" t="s">
        <v>141</v>
      </c>
      <c r="C69" s="142">
        <f t="shared" si="0"/>
        <v>125.4</v>
      </c>
      <c r="D69" s="142">
        <f t="shared" si="1"/>
        <v>121.2</v>
      </c>
      <c r="E69" s="142">
        <f t="shared" si="2"/>
        <v>-4.2</v>
      </c>
      <c r="F69" s="82">
        <v>125.4</v>
      </c>
      <c r="G69" s="82">
        <v>121.2</v>
      </c>
      <c r="H69" s="82">
        <f t="shared" si="4"/>
        <v>-4.2</v>
      </c>
      <c r="I69" s="82">
        <v>0</v>
      </c>
      <c r="J69" s="82"/>
      <c r="K69" s="82">
        <f t="shared" si="5"/>
        <v>0</v>
      </c>
      <c r="L69" s="82">
        <v>0</v>
      </c>
      <c r="M69" s="93"/>
      <c r="N69" s="93">
        <f t="shared" si="6"/>
        <v>0</v>
      </c>
    </row>
    <row r="70" spans="1:14" ht="15" customHeight="1">
      <c r="A70" s="77">
        <v>58</v>
      </c>
      <c r="B70" s="54" t="s">
        <v>142</v>
      </c>
      <c r="C70" s="142">
        <f t="shared" si="0"/>
        <v>163</v>
      </c>
      <c r="D70" s="142">
        <f t="shared" si="1"/>
        <v>135.7</v>
      </c>
      <c r="E70" s="142">
        <f t="shared" si="2"/>
        <v>-27.3</v>
      </c>
      <c r="F70" s="82">
        <v>161.6</v>
      </c>
      <c r="G70" s="82">
        <v>134.3</v>
      </c>
      <c r="H70" s="82">
        <f t="shared" si="4"/>
        <v>-27.3</v>
      </c>
      <c r="I70" s="82">
        <v>0</v>
      </c>
      <c r="J70" s="82"/>
      <c r="K70" s="82">
        <f t="shared" si="5"/>
        <v>0</v>
      </c>
      <c r="L70" s="82">
        <v>1.4</v>
      </c>
      <c r="M70" s="93">
        <v>1.4</v>
      </c>
      <c r="N70" s="93">
        <f t="shared" si="6"/>
        <v>0</v>
      </c>
    </row>
    <row r="71" spans="1:14" ht="15" customHeight="1">
      <c r="A71" s="77">
        <v>59</v>
      </c>
      <c r="B71" s="54" t="s">
        <v>143</v>
      </c>
      <c r="C71" s="142">
        <f t="shared" si="0"/>
        <v>147</v>
      </c>
      <c r="D71" s="142">
        <f t="shared" si="1"/>
        <v>135.4</v>
      </c>
      <c r="E71" s="142">
        <f t="shared" si="2"/>
        <v>-11.6</v>
      </c>
      <c r="F71" s="82">
        <v>147</v>
      </c>
      <c r="G71" s="82">
        <v>135.4</v>
      </c>
      <c r="H71" s="82">
        <f t="shared" si="4"/>
        <v>-11.6</v>
      </c>
      <c r="I71" s="82">
        <v>0</v>
      </c>
      <c r="J71" s="82"/>
      <c r="K71" s="82">
        <f t="shared" si="5"/>
        <v>0</v>
      </c>
      <c r="L71" s="82">
        <v>0</v>
      </c>
      <c r="M71" s="93"/>
      <c r="N71" s="93">
        <f t="shared" si="6"/>
        <v>0</v>
      </c>
    </row>
    <row r="72" spans="1:14" ht="30" customHeight="1">
      <c r="A72" s="77">
        <v>60</v>
      </c>
      <c r="B72" s="59" t="s">
        <v>144</v>
      </c>
      <c r="C72" s="142">
        <f t="shared" si="0"/>
        <v>186.4</v>
      </c>
      <c r="D72" s="142">
        <f t="shared" si="1"/>
        <v>172.8</v>
      </c>
      <c r="E72" s="142">
        <f t="shared" si="2"/>
        <v>-13.6</v>
      </c>
      <c r="F72" s="82">
        <v>186.4</v>
      </c>
      <c r="G72" s="82">
        <v>172.8</v>
      </c>
      <c r="H72" s="82">
        <f t="shared" si="4"/>
        <v>-13.6</v>
      </c>
      <c r="I72" s="82">
        <v>0</v>
      </c>
      <c r="J72" s="82"/>
      <c r="K72" s="82">
        <f t="shared" si="5"/>
        <v>0</v>
      </c>
      <c r="L72" s="82">
        <v>0</v>
      </c>
      <c r="M72" s="93"/>
      <c r="N72" s="93">
        <f t="shared" si="6"/>
        <v>0</v>
      </c>
    </row>
    <row r="73" spans="1:14" ht="32.25" customHeight="1">
      <c r="A73" s="77">
        <v>61</v>
      </c>
      <c r="B73" s="59" t="s">
        <v>145</v>
      </c>
      <c r="C73" s="142">
        <f t="shared" si="0"/>
        <v>219.3</v>
      </c>
      <c r="D73" s="142">
        <f t="shared" si="1"/>
        <v>213.6</v>
      </c>
      <c r="E73" s="142">
        <f t="shared" si="2"/>
        <v>-5.7</v>
      </c>
      <c r="F73" s="82">
        <v>219.3</v>
      </c>
      <c r="G73" s="82">
        <v>213.6</v>
      </c>
      <c r="H73" s="82">
        <f t="shared" si="4"/>
        <v>-5.7</v>
      </c>
      <c r="I73" s="82">
        <v>0</v>
      </c>
      <c r="J73" s="82"/>
      <c r="K73" s="82">
        <f t="shared" si="5"/>
        <v>0</v>
      </c>
      <c r="L73" s="82">
        <v>0</v>
      </c>
      <c r="M73" s="93"/>
      <c r="N73" s="93">
        <f t="shared" si="6"/>
        <v>0</v>
      </c>
    </row>
    <row r="74" spans="1:14" ht="31.5" customHeight="1">
      <c r="A74" s="77">
        <v>62</v>
      </c>
      <c r="B74" s="59" t="s">
        <v>146</v>
      </c>
      <c r="C74" s="142">
        <f t="shared" si="0"/>
        <v>310.4</v>
      </c>
      <c r="D74" s="142">
        <f t="shared" si="1"/>
        <v>250.4</v>
      </c>
      <c r="E74" s="142">
        <f t="shared" si="2"/>
        <v>-60</v>
      </c>
      <c r="F74" s="82">
        <v>309.4</v>
      </c>
      <c r="G74" s="82">
        <v>249.4</v>
      </c>
      <c r="H74" s="82">
        <f t="shared" si="4"/>
        <v>-60</v>
      </c>
      <c r="I74" s="82">
        <v>0</v>
      </c>
      <c r="J74" s="82"/>
      <c r="K74" s="82">
        <f t="shared" si="5"/>
        <v>0</v>
      </c>
      <c r="L74" s="82">
        <v>1</v>
      </c>
      <c r="M74" s="93">
        <v>1</v>
      </c>
      <c r="N74" s="93">
        <f t="shared" si="6"/>
        <v>0</v>
      </c>
    </row>
    <row r="75" spans="1:14" ht="15" customHeight="1">
      <c r="A75" s="77">
        <v>63</v>
      </c>
      <c r="B75" s="54" t="s">
        <v>147</v>
      </c>
      <c r="C75" s="142">
        <f t="shared" si="0"/>
        <v>182.2</v>
      </c>
      <c r="D75" s="142">
        <f t="shared" si="1"/>
        <v>115.9</v>
      </c>
      <c r="E75" s="142">
        <f t="shared" si="2"/>
        <v>-66.3</v>
      </c>
      <c r="F75" s="82">
        <v>182.2</v>
      </c>
      <c r="G75" s="82">
        <v>115.9</v>
      </c>
      <c r="H75" s="82">
        <f t="shared" si="4"/>
        <v>-66.3</v>
      </c>
      <c r="I75" s="82">
        <v>0</v>
      </c>
      <c r="J75" s="82"/>
      <c r="K75" s="82">
        <f t="shared" si="5"/>
        <v>0</v>
      </c>
      <c r="L75" s="82">
        <v>0</v>
      </c>
      <c r="M75" s="93"/>
      <c r="N75" s="93">
        <f t="shared" si="6"/>
        <v>0</v>
      </c>
    </row>
    <row r="76" spans="1:14" ht="32.25" customHeight="1">
      <c r="A76" s="77">
        <v>64</v>
      </c>
      <c r="B76" s="54" t="s">
        <v>148</v>
      </c>
      <c r="C76" s="142">
        <f t="shared" si="0"/>
        <v>259.1</v>
      </c>
      <c r="D76" s="142">
        <f t="shared" si="1"/>
        <v>191.7</v>
      </c>
      <c r="E76" s="142">
        <f t="shared" si="2"/>
        <v>-67.4</v>
      </c>
      <c r="F76" s="82">
        <v>256.8</v>
      </c>
      <c r="G76" s="82">
        <v>189.6</v>
      </c>
      <c r="H76" s="82">
        <f t="shared" si="4"/>
        <v>-67.2</v>
      </c>
      <c r="I76" s="82">
        <v>0</v>
      </c>
      <c r="J76" s="82"/>
      <c r="K76" s="82">
        <f t="shared" si="5"/>
        <v>0</v>
      </c>
      <c r="L76" s="82">
        <v>2.3</v>
      </c>
      <c r="M76" s="93">
        <v>2.1</v>
      </c>
      <c r="N76" s="93">
        <f t="shared" si="6"/>
        <v>-0.2</v>
      </c>
    </row>
    <row r="77" spans="1:14" ht="15" customHeight="1">
      <c r="A77" s="77">
        <v>65</v>
      </c>
      <c r="B77" s="54" t="s">
        <v>149</v>
      </c>
      <c r="C77" s="142">
        <f t="shared" si="0"/>
        <v>221.7</v>
      </c>
      <c r="D77" s="142">
        <f t="shared" si="1"/>
        <v>130</v>
      </c>
      <c r="E77" s="142">
        <f t="shared" si="2"/>
        <v>-91.7</v>
      </c>
      <c r="F77" s="82">
        <v>221.7</v>
      </c>
      <c r="G77" s="82">
        <v>130</v>
      </c>
      <c r="H77" s="82">
        <f t="shared" si="4"/>
        <v>-91.7</v>
      </c>
      <c r="I77" s="82">
        <v>0</v>
      </c>
      <c r="J77" s="82"/>
      <c r="K77" s="82">
        <f t="shared" si="5"/>
        <v>0</v>
      </c>
      <c r="L77" s="82">
        <v>0</v>
      </c>
      <c r="M77" s="93"/>
      <c r="N77" s="93">
        <f t="shared" si="6"/>
        <v>0</v>
      </c>
    </row>
    <row r="78" spans="1:14" ht="15" customHeight="1">
      <c r="A78" s="77">
        <v>66</v>
      </c>
      <c r="B78" s="54" t="s">
        <v>328</v>
      </c>
      <c r="C78" s="142">
        <f aca="true" t="shared" si="8" ref="C78:C129">+F78+I78+L78</f>
        <v>96.7</v>
      </c>
      <c r="D78" s="142">
        <f aca="true" t="shared" si="9" ref="D78:D129">+G78+J78+M78</f>
        <v>88.4</v>
      </c>
      <c r="E78" s="142">
        <f aca="true" t="shared" si="10" ref="E78:E129">+D78-C78</f>
        <v>-8.3</v>
      </c>
      <c r="F78" s="82">
        <v>96.3</v>
      </c>
      <c r="G78" s="82">
        <v>88</v>
      </c>
      <c r="H78" s="82">
        <f aca="true" t="shared" si="11" ref="H78:H129">+G78-F78</f>
        <v>-8.3</v>
      </c>
      <c r="I78" s="82">
        <v>0</v>
      </c>
      <c r="J78" s="82"/>
      <c r="K78" s="82">
        <f aca="true" t="shared" si="12" ref="K78:K129">+J78-I78</f>
        <v>0</v>
      </c>
      <c r="L78" s="82">
        <v>0.4</v>
      </c>
      <c r="M78" s="93">
        <v>0.4</v>
      </c>
      <c r="N78" s="93">
        <f aca="true" t="shared" si="13" ref="N78:N129">+M78-L78</f>
        <v>0</v>
      </c>
    </row>
    <row r="79" spans="1:14" ht="15" customHeight="1">
      <c r="A79" s="77">
        <v>67</v>
      </c>
      <c r="B79" s="54" t="s">
        <v>150</v>
      </c>
      <c r="C79" s="142">
        <f t="shared" si="8"/>
        <v>254.5</v>
      </c>
      <c r="D79" s="142">
        <f t="shared" si="9"/>
        <v>193.8</v>
      </c>
      <c r="E79" s="142">
        <f t="shared" si="10"/>
        <v>-60.7</v>
      </c>
      <c r="F79" s="82">
        <v>252.9</v>
      </c>
      <c r="G79" s="82">
        <v>192.5</v>
      </c>
      <c r="H79" s="82">
        <f t="shared" si="11"/>
        <v>-60.4</v>
      </c>
      <c r="I79" s="82">
        <v>0</v>
      </c>
      <c r="J79" s="82"/>
      <c r="K79" s="82">
        <f t="shared" si="12"/>
        <v>0</v>
      </c>
      <c r="L79" s="82">
        <v>1.6</v>
      </c>
      <c r="M79" s="93">
        <v>1.3</v>
      </c>
      <c r="N79" s="93">
        <f t="shared" si="13"/>
        <v>-0.3</v>
      </c>
    </row>
    <row r="80" spans="1:14" ht="15" customHeight="1">
      <c r="A80" s="77">
        <v>68</v>
      </c>
      <c r="B80" s="54" t="s">
        <v>151</v>
      </c>
      <c r="C80" s="142">
        <f t="shared" si="8"/>
        <v>212.1</v>
      </c>
      <c r="D80" s="142">
        <f t="shared" si="9"/>
        <v>158.3</v>
      </c>
      <c r="E80" s="142">
        <f t="shared" si="10"/>
        <v>-53.8</v>
      </c>
      <c r="F80" s="82">
        <v>210</v>
      </c>
      <c r="G80" s="82">
        <v>156.2</v>
      </c>
      <c r="H80" s="82">
        <f t="shared" si="11"/>
        <v>-53.8</v>
      </c>
      <c r="I80" s="82">
        <v>0</v>
      </c>
      <c r="J80" s="82"/>
      <c r="K80" s="82">
        <f t="shared" si="12"/>
        <v>0</v>
      </c>
      <c r="L80" s="82">
        <v>2.1</v>
      </c>
      <c r="M80" s="93">
        <v>2.1</v>
      </c>
      <c r="N80" s="93">
        <f t="shared" si="13"/>
        <v>0</v>
      </c>
    </row>
    <row r="81" spans="1:14" ht="14.25" customHeight="1">
      <c r="A81" s="77">
        <v>69</v>
      </c>
      <c r="B81" s="54" t="s">
        <v>152</v>
      </c>
      <c r="C81" s="142">
        <f t="shared" si="8"/>
        <v>172.8</v>
      </c>
      <c r="D81" s="142">
        <f t="shared" si="9"/>
        <v>153.7</v>
      </c>
      <c r="E81" s="142">
        <f t="shared" si="10"/>
        <v>-19.1</v>
      </c>
      <c r="F81" s="82">
        <v>172.8</v>
      </c>
      <c r="G81" s="82">
        <v>153.7</v>
      </c>
      <c r="H81" s="82">
        <f t="shared" si="11"/>
        <v>-19.1</v>
      </c>
      <c r="I81" s="82">
        <v>0</v>
      </c>
      <c r="J81" s="82"/>
      <c r="K81" s="82">
        <f t="shared" si="12"/>
        <v>0</v>
      </c>
      <c r="L81" s="82">
        <v>0</v>
      </c>
      <c r="M81" s="93"/>
      <c r="N81" s="93">
        <f t="shared" si="13"/>
        <v>0</v>
      </c>
    </row>
    <row r="82" spans="1:14" ht="15.75">
      <c r="A82" s="77">
        <v>70</v>
      </c>
      <c r="B82" s="54" t="s">
        <v>153</v>
      </c>
      <c r="C82" s="142">
        <f t="shared" si="8"/>
        <v>135.2</v>
      </c>
      <c r="D82" s="142">
        <f t="shared" si="9"/>
        <v>94.7</v>
      </c>
      <c r="E82" s="142">
        <f t="shared" si="10"/>
        <v>-40.5</v>
      </c>
      <c r="F82" s="82">
        <v>132.4</v>
      </c>
      <c r="G82" s="82">
        <v>91.7</v>
      </c>
      <c r="H82" s="82">
        <f t="shared" si="11"/>
        <v>-40.7</v>
      </c>
      <c r="I82" s="82">
        <v>0</v>
      </c>
      <c r="J82" s="82"/>
      <c r="K82" s="82">
        <f t="shared" si="12"/>
        <v>0</v>
      </c>
      <c r="L82" s="82">
        <v>2.8</v>
      </c>
      <c r="M82" s="93">
        <v>3</v>
      </c>
      <c r="N82" s="93">
        <f t="shared" si="13"/>
        <v>0.2</v>
      </c>
    </row>
    <row r="83" spans="1:14" ht="15.75">
      <c r="A83" s="77">
        <v>71</v>
      </c>
      <c r="B83" s="54" t="s">
        <v>154</v>
      </c>
      <c r="C83" s="142">
        <f t="shared" si="8"/>
        <v>187.4</v>
      </c>
      <c r="D83" s="142">
        <f t="shared" si="9"/>
        <v>191.2</v>
      </c>
      <c r="E83" s="142">
        <f t="shared" si="10"/>
        <v>3.8</v>
      </c>
      <c r="F83" s="82">
        <v>186.3</v>
      </c>
      <c r="G83" s="82">
        <v>190.2</v>
      </c>
      <c r="H83" s="82">
        <f t="shared" si="11"/>
        <v>3.9</v>
      </c>
      <c r="I83" s="82">
        <v>0</v>
      </c>
      <c r="J83" s="82"/>
      <c r="K83" s="82">
        <f t="shared" si="12"/>
        <v>0</v>
      </c>
      <c r="L83" s="82">
        <v>1.1</v>
      </c>
      <c r="M83" s="93">
        <v>1</v>
      </c>
      <c r="N83" s="93">
        <f t="shared" si="13"/>
        <v>-0.1</v>
      </c>
    </row>
    <row r="84" spans="1:14" ht="15.75">
      <c r="A84" s="77">
        <v>72</v>
      </c>
      <c r="B84" s="84" t="s">
        <v>155</v>
      </c>
      <c r="C84" s="142">
        <f t="shared" si="8"/>
        <v>144</v>
      </c>
      <c r="D84" s="142">
        <f t="shared" si="9"/>
        <v>106.8</v>
      </c>
      <c r="E84" s="142">
        <f t="shared" si="10"/>
        <v>-37.2</v>
      </c>
      <c r="F84" s="82">
        <v>144</v>
      </c>
      <c r="G84" s="82">
        <v>106.8</v>
      </c>
      <c r="H84" s="82">
        <f t="shared" si="11"/>
        <v>-37.2</v>
      </c>
      <c r="I84" s="82">
        <v>0</v>
      </c>
      <c r="J84" s="82"/>
      <c r="K84" s="82">
        <f t="shared" si="12"/>
        <v>0</v>
      </c>
      <c r="L84" s="82">
        <v>0</v>
      </c>
      <c r="M84" s="93"/>
      <c r="N84" s="93">
        <f t="shared" si="13"/>
        <v>0</v>
      </c>
    </row>
    <row r="85" spans="1:14" ht="15.75">
      <c r="A85" s="77">
        <v>73</v>
      </c>
      <c r="B85" s="54" t="s">
        <v>156</v>
      </c>
      <c r="C85" s="142">
        <f t="shared" si="8"/>
        <v>152.4</v>
      </c>
      <c r="D85" s="142">
        <f t="shared" si="9"/>
        <v>136.6</v>
      </c>
      <c r="E85" s="142">
        <f t="shared" si="10"/>
        <v>-15.8</v>
      </c>
      <c r="F85" s="82">
        <v>152.4</v>
      </c>
      <c r="G85" s="82">
        <v>136.6</v>
      </c>
      <c r="H85" s="82">
        <f t="shared" si="11"/>
        <v>-15.8</v>
      </c>
      <c r="I85" s="82">
        <v>0</v>
      </c>
      <c r="J85" s="82"/>
      <c r="K85" s="82">
        <f t="shared" si="12"/>
        <v>0</v>
      </c>
      <c r="L85" s="82">
        <v>0</v>
      </c>
      <c r="M85" s="93"/>
      <c r="N85" s="93">
        <f t="shared" si="13"/>
        <v>0</v>
      </c>
    </row>
    <row r="86" spans="1:14" ht="15.75">
      <c r="A86" s="77">
        <v>74</v>
      </c>
      <c r="B86" s="54" t="s">
        <v>157</v>
      </c>
      <c r="C86" s="142">
        <f t="shared" si="8"/>
        <v>133.5</v>
      </c>
      <c r="D86" s="142">
        <f t="shared" si="9"/>
        <v>105.2</v>
      </c>
      <c r="E86" s="142">
        <f t="shared" si="10"/>
        <v>-28.3</v>
      </c>
      <c r="F86" s="82">
        <v>133.5</v>
      </c>
      <c r="G86" s="82">
        <v>105.2</v>
      </c>
      <c r="H86" s="82">
        <f t="shared" si="11"/>
        <v>-28.3</v>
      </c>
      <c r="I86" s="82">
        <v>0</v>
      </c>
      <c r="J86" s="82"/>
      <c r="K86" s="82">
        <f t="shared" si="12"/>
        <v>0</v>
      </c>
      <c r="L86" s="82">
        <v>0</v>
      </c>
      <c r="M86" s="93"/>
      <c r="N86" s="93">
        <f t="shared" si="13"/>
        <v>0</v>
      </c>
    </row>
    <row r="87" spans="1:14" ht="15.75">
      <c r="A87" s="77">
        <v>75</v>
      </c>
      <c r="B87" s="54" t="s">
        <v>158</v>
      </c>
      <c r="C87" s="142">
        <f t="shared" si="8"/>
        <v>229.9</v>
      </c>
      <c r="D87" s="142">
        <f t="shared" si="9"/>
        <v>174.2</v>
      </c>
      <c r="E87" s="142">
        <f t="shared" si="10"/>
        <v>-55.7</v>
      </c>
      <c r="F87" s="82">
        <v>227.3</v>
      </c>
      <c r="G87" s="82">
        <v>171.6</v>
      </c>
      <c r="H87" s="82">
        <f t="shared" si="11"/>
        <v>-55.7</v>
      </c>
      <c r="I87" s="82">
        <v>0</v>
      </c>
      <c r="J87" s="82"/>
      <c r="K87" s="82">
        <f t="shared" si="12"/>
        <v>0</v>
      </c>
      <c r="L87" s="82">
        <v>2.6</v>
      </c>
      <c r="M87" s="93">
        <v>2.6</v>
      </c>
      <c r="N87" s="93">
        <f t="shared" si="13"/>
        <v>0</v>
      </c>
    </row>
    <row r="88" spans="1:14" ht="15.75">
      <c r="A88" s="77">
        <v>76</v>
      </c>
      <c r="B88" s="54" t="s">
        <v>159</v>
      </c>
      <c r="C88" s="142">
        <f t="shared" si="8"/>
        <v>125.7</v>
      </c>
      <c r="D88" s="142">
        <f t="shared" si="9"/>
        <v>38.6</v>
      </c>
      <c r="E88" s="142">
        <f t="shared" si="10"/>
        <v>-87.1</v>
      </c>
      <c r="F88" s="82">
        <v>124.9</v>
      </c>
      <c r="G88" s="82">
        <v>37.8</v>
      </c>
      <c r="H88" s="82">
        <f t="shared" si="11"/>
        <v>-87.1</v>
      </c>
      <c r="I88" s="82">
        <v>0</v>
      </c>
      <c r="J88" s="82"/>
      <c r="K88" s="82">
        <f t="shared" si="12"/>
        <v>0</v>
      </c>
      <c r="L88" s="82">
        <v>0.8</v>
      </c>
      <c r="M88" s="93">
        <v>0.8</v>
      </c>
      <c r="N88" s="93">
        <f t="shared" si="13"/>
        <v>0</v>
      </c>
    </row>
    <row r="89" spans="1:14" ht="15.75">
      <c r="A89" s="77">
        <v>77</v>
      </c>
      <c r="B89" s="54" t="s">
        <v>160</v>
      </c>
      <c r="C89" s="142">
        <f t="shared" si="8"/>
        <v>259.1</v>
      </c>
      <c r="D89" s="142">
        <f t="shared" si="9"/>
        <v>243.9</v>
      </c>
      <c r="E89" s="142">
        <f t="shared" si="10"/>
        <v>-15.2</v>
      </c>
      <c r="F89" s="82">
        <v>258.5</v>
      </c>
      <c r="G89" s="82">
        <v>243.3</v>
      </c>
      <c r="H89" s="82">
        <f t="shared" si="11"/>
        <v>-15.2</v>
      </c>
      <c r="I89" s="82">
        <v>0</v>
      </c>
      <c r="J89" s="82"/>
      <c r="K89" s="82">
        <f t="shared" si="12"/>
        <v>0</v>
      </c>
      <c r="L89" s="82">
        <v>0.6</v>
      </c>
      <c r="M89" s="93">
        <v>0.6</v>
      </c>
      <c r="N89" s="93">
        <f t="shared" si="13"/>
        <v>0</v>
      </c>
    </row>
    <row r="90" spans="1:14" ht="15" customHeight="1">
      <c r="A90" s="77">
        <v>78</v>
      </c>
      <c r="B90" s="54" t="s">
        <v>161</v>
      </c>
      <c r="C90" s="142">
        <f t="shared" si="8"/>
        <v>228.6</v>
      </c>
      <c r="D90" s="142">
        <f t="shared" si="9"/>
        <v>167.8</v>
      </c>
      <c r="E90" s="142">
        <f t="shared" si="10"/>
        <v>-60.8</v>
      </c>
      <c r="F90" s="82">
        <v>228.1</v>
      </c>
      <c r="G90" s="82">
        <v>167.4</v>
      </c>
      <c r="H90" s="82">
        <f t="shared" si="11"/>
        <v>-60.7</v>
      </c>
      <c r="I90" s="82">
        <v>0</v>
      </c>
      <c r="J90" s="82"/>
      <c r="K90" s="82">
        <f t="shared" si="12"/>
        <v>0</v>
      </c>
      <c r="L90" s="82">
        <v>0.5</v>
      </c>
      <c r="M90" s="93">
        <v>0.4</v>
      </c>
      <c r="N90" s="93">
        <f t="shared" si="13"/>
        <v>-0.1</v>
      </c>
    </row>
    <row r="91" spans="1:14" ht="15" customHeight="1">
      <c r="A91" s="77">
        <v>79</v>
      </c>
      <c r="B91" s="54" t="s">
        <v>162</v>
      </c>
      <c r="C91" s="142">
        <f t="shared" si="8"/>
        <v>217.5</v>
      </c>
      <c r="D91" s="142">
        <f t="shared" si="9"/>
        <v>184.1</v>
      </c>
      <c r="E91" s="142">
        <f t="shared" si="10"/>
        <v>-33.4</v>
      </c>
      <c r="F91" s="82">
        <v>215.5</v>
      </c>
      <c r="G91" s="82">
        <v>182.4</v>
      </c>
      <c r="H91" s="82">
        <f t="shared" si="11"/>
        <v>-33.1</v>
      </c>
      <c r="I91" s="82">
        <v>0</v>
      </c>
      <c r="J91" s="82"/>
      <c r="K91" s="82">
        <f t="shared" si="12"/>
        <v>0</v>
      </c>
      <c r="L91" s="82">
        <v>2</v>
      </c>
      <c r="M91" s="93">
        <v>1.7</v>
      </c>
      <c r="N91" s="93">
        <f t="shared" si="13"/>
        <v>-0.3</v>
      </c>
    </row>
    <row r="92" spans="1:14" ht="15" customHeight="1">
      <c r="A92" s="77">
        <v>80</v>
      </c>
      <c r="B92" s="54" t="s">
        <v>163</v>
      </c>
      <c r="C92" s="142">
        <f t="shared" si="8"/>
        <v>191</v>
      </c>
      <c r="D92" s="142">
        <f t="shared" si="9"/>
        <v>172.9</v>
      </c>
      <c r="E92" s="142">
        <f t="shared" si="10"/>
        <v>-18.1</v>
      </c>
      <c r="F92" s="82">
        <v>191</v>
      </c>
      <c r="G92" s="82">
        <v>172.9</v>
      </c>
      <c r="H92" s="82">
        <f t="shared" si="11"/>
        <v>-18.1</v>
      </c>
      <c r="I92" s="82">
        <v>0</v>
      </c>
      <c r="J92" s="82"/>
      <c r="K92" s="82">
        <f t="shared" si="12"/>
        <v>0</v>
      </c>
      <c r="L92" s="82">
        <v>0</v>
      </c>
      <c r="M92" s="93"/>
      <c r="N92" s="93">
        <f t="shared" si="13"/>
        <v>0</v>
      </c>
    </row>
    <row r="93" spans="1:14" ht="15" customHeight="1">
      <c r="A93" s="77">
        <v>81</v>
      </c>
      <c r="B93" s="54" t="s">
        <v>164</v>
      </c>
      <c r="C93" s="142">
        <f t="shared" si="8"/>
        <v>134</v>
      </c>
      <c r="D93" s="142">
        <f t="shared" si="9"/>
        <v>117.3</v>
      </c>
      <c r="E93" s="142">
        <f t="shared" si="10"/>
        <v>-16.7</v>
      </c>
      <c r="F93" s="82">
        <v>134</v>
      </c>
      <c r="G93" s="82">
        <v>117.3</v>
      </c>
      <c r="H93" s="82">
        <f t="shared" si="11"/>
        <v>-16.7</v>
      </c>
      <c r="I93" s="82">
        <v>0</v>
      </c>
      <c r="J93" s="82"/>
      <c r="K93" s="82">
        <f t="shared" si="12"/>
        <v>0</v>
      </c>
      <c r="L93" s="82">
        <v>0</v>
      </c>
      <c r="M93" s="93"/>
      <c r="N93" s="93">
        <f t="shared" si="13"/>
        <v>0</v>
      </c>
    </row>
    <row r="94" spans="1:14" ht="33" customHeight="1">
      <c r="A94" s="77">
        <v>82</v>
      </c>
      <c r="B94" s="54" t="s">
        <v>165</v>
      </c>
      <c r="C94" s="142">
        <f t="shared" si="8"/>
        <v>173.5</v>
      </c>
      <c r="D94" s="142">
        <f t="shared" si="9"/>
        <v>161.3</v>
      </c>
      <c r="E94" s="142">
        <f t="shared" si="10"/>
        <v>-12.2</v>
      </c>
      <c r="F94" s="82">
        <v>173.5</v>
      </c>
      <c r="G94" s="82">
        <v>161.3</v>
      </c>
      <c r="H94" s="82">
        <f t="shared" si="11"/>
        <v>-12.2</v>
      </c>
      <c r="I94" s="82">
        <v>0</v>
      </c>
      <c r="J94" s="82"/>
      <c r="K94" s="82">
        <f t="shared" si="12"/>
        <v>0</v>
      </c>
      <c r="L94" s="82">
        <v>0</v>
      </c>
      <c r="M94" s="93"/>
      <c r="N94" s="93">
        <f t="shared" si="13"/>
        <v>0</v>
      </c>
    </row>
    <row r="95" spans="1:14" ht="15" customHeight="1">
      <c r="A95" s="77">
        <v>83</v>
      </c>
      <c r="B95" s="54" t="s">
        <v>166</v>
      </c>
      <c r="C95" s="142">
        <f t="shared" si="8"/>
        <v>217.2</v>
      </c>
      <c r="D95" s="142">
        <f t="shared" si="9"/>
        <v>195.1</v>
      </c>
      <c r="E95" s="142">
        <f t="shared" si="10"/>
        <v>-22.1</v>
      </c>
      <c r="F95" s="82">
        <v>217.2</v>
      </c>
      <c r="G95" s="82">
        <v>195.1</v>
      </c>
      <c r="H95" s="82">
        <f t="shared" si="11"/>
        <v>-22.1</v>
      </c>
      <c r="I95" s="82">
        <v>0</v>
      </c>
      <c r="J95" s="82"/>
      <c r="K95" s="82">
        <f t="shared" si="12"/>
        <v>0</v>
      </c>
      <c r="L95" s="82">
        <v>0</v>
      </c>
      <c r="M95" s="93"/>
      <c r="N95" s="93">
        <f t="shared" si="13"/>
        <v>0</v>
      </c>
    </row>
    <row r="96" spans="1:14" ht="15" customHeight="1">
      <c r="A96" s="77">
        <v>84</v>
      </c>
      <c r="B96" s="54" t="s">
        <v>167</v>
      </c>
      <c r="C96" s="142">
        <f t="shared" si="8"/>
        <v>274.9</v>
      </c>
      <c r="D96" s="142">
        <f t="shared" si="9"/>
        <v>235.7</v>
      </c>
      <c r="E96" s="142">
        <f t="shared" si="10"/>
        <v>-39.2</v>
      </c>
      <c r="F96" s="82">
        <v>274.1</v>
      </c>
      <c r="G96" s="82">
        <v>234.9</v>
      </c>
      <c r="H96" s="82">
        <f t="shared" si="11"/>
        <v>-39.2</v>
      </c>
      <c r="I96" s="82">
        <v>0</v>
      </c>
      <c r="J96" s="82"/>
      <c r="K96" s="82">
        <f t="shared" si="12"/>
        <v>0</v>
      </c>
      <c r="L96" s="82">
        <v>0.8</v>
      </c>
      <c r="M96" s="93">
        <v>0.8</v>
      </c>
      <c r="N96" s="93">
        <f t="shared" si="13"/>
        <v>0</v>
      </c>
    </row>
    <row r="97" spans="1:14" ht="14.25" customHeight="1">
      <c r="A97" s="77">
        <v>85</v>
      </c>
      <c r="B97" s="54" t="s">
        <v>168</v>
      </c>
      <c r="C97" s="142">
        <f t="shared" si="8"/>
        <v>250.4</v>
      </c>
      <c r="D97" s="142">
        <f t="shared" si="9"/>
        <v>172</v>
      </c>
      <c r="E97" s="142">
        <f t="shared" si="10"/>
        <v>-78.4</v>
      </c>
      <c r="F97" s="82">
        <v>248.2</v>
      </c>
      <c r="G97" s="82">
        <v>170.9</v>
      </c>
      <c r="H97" s="82">
        <f t="shared" si="11"/>
        <v>-77.3</v>
      </c>
      <c r="I97" s="82">
        <v>0</v>
      </c>
      <c r="J97" s="82"/>
      <c r="K97" s="82">
        <f t="shared" si="12"/>
        <v>0</v>
      </c>
      <c r="L97" s="82">
        <v>2.2</v>
      </c>
      <c r="M97" s="93">
        <v>1.1</v>
      </c>
      <c r="N97" s="93">
        <f t="shared" si="13"/>
        <v>-1.1</v>
      </c>
    </row>
    <row r="98" spans="1:14" ht="15" customHeight="1">
      <c r="A98" s="77">
        <v>86</v>
      </c>
      <c r="B98" s="54" t="s">
        <v>169</v>
      </c>
      <c r="C98" s="142">
        <f t="shared" si="8"/>
        <v>253.2</v>
      </c>
      <c r="D98" s="142">
        <f t="shared" si="9"/>
        <v>185</v>
      </c>
      <c r="E98" s="142">
        <f t="shared" si="10"/>
        <v>-68.2</v>
      </c>
      <c r="F98" s="82">
        <v>251.9</v>
      </c>
      <c r="G98" s="82">
        <v>183.9</v>
      </c>
      <c r="H98" s="82">
        <f t="shared" si="11"/>
        <v>-68</v>
      </c>
      <c r="I98" s="82">
        <v>0</v>
      </c>
      <c r="J98" s="82"/>
      <c r="K98" s="82">
        <f t="shared" si="12"/>
        <v>0</v>
      </c>
      <c r="L98" s="82">
        <v>1.3</v>
      </c>
      <c r="M98" s="93">
        <v>1.1</v>
      </c>
      <c r="N98" s="93">
        <f t="shared" si="13"/>
        <v>-0.2</v>
      </c>
    </row>
    <row r="99" spans="1:14" ht="15" customHeight="1">
      <c r="A99" s="77">
        <v>87</v>
      </c>
      <c r="B99" s="54" t="s">
        <v>170</v>
      </c>
      <c r="C99" s="142">
        <f t="shared" si="8"/>
        <v>192.5</v>
      </c>
      <c r="D99" s="142">
        <f t="shared" si="9"/>
        <v>150.7</v>
      </c>
      <c r="E99" s="142">
        <f t="shared" si="10"/>
        <v>-41.8</v>
      </c>
      <c r="F99" s="82">
        <v>192.5</v>
      </c>
      <c r="G99" s="82">
        <v>150.7</v>
      </c>
      <c r="H99" s="82">
        <f t="shared" si="11"/>
        <v>-41.8</v>
      </c>
      <c r="I99" s="82">
        <v>0</v>
      </c>
      <c r="J99" s="82"/>
      <c r="K99" s="82">
        <f t="shared" si="12"/>
        <v>0</v>
      </c>
      <c r="L99" s="82">
        <v>0</v>
      </c>
      <c r="M99" s="93"/>
      <c r="N99" s="93">
        <f t="shared" si="13"/>
        <v>0</v>
      </c>
    </row>
    <row r="100" spans="1:14" ht="15" customHeight="1">
      <c r="A100" s="77">
        <v>88</v>
      </c>
      <c r="B100" s="54" t="s">
        <v>171</v>
      </c>
      <c r="C100" s="142">
        <f t="shared" si="8"/>
        <v>123.6</v>
      </c>
      <c r="D100" s="142">
        <f t="shared" si="9"/>
        <v>129.5</v>
      </c>
      <c r="E100" s="142">
        <f t="shared" si="10"/>
        <v>5.9</v>
      </c>
      <c r="F100" s="82">
        <v>123.6</v>
      </c>
      <c r="G100" s="82">
        <v>129.5</v>
      </c>
      <c r="H100" s="82">
        <f t="shared" si="11"/>
        <v>5.9</v>
      </c>
      <c r="I100" s="82">
        <v>0</v>
      </c>
      <c r="J100" s="82"/>
      <c r="K100" s="82">
        <f t="shared" si="12"/>
        <v>0</v>
      </c>
      <c r="L100" s="82">
        <v>0</v>
      </c>
      <c r="M100" s="93"/>
      <c r="N100" s="93">
        <f t="shared" si="13"/>
        <v>0</v>
      </c>
    </row>
    <row r="101" spans="1:14" ht="15" customHeight="1">
      <c r="A101" s="77">
        <v>89</v>
      </c>
      <c r="B101" s="54" t="s">
        <v>172</v>
      </c>
      <c r="C101" s="142">
        <f t="shared" si="8"/>
        <v>238.3</v>
      </c>
      <c r="D101" s="142">
        <f t="shared" si="9"/>
        <v>181.3</v>
      </c>
      <c r="E101" s="142">
        <f t="shared" si="10"/>
        <v>-57</v>
      </c>
      <c r="F101" s="82">
        <v>236.9</v>
      </c>
      <c r="G101" s="82">
        <v>180.2</v>
      </c>
      <c r="H101" s="82">
        <f t="shared" si="11"/>
        <v>-56.7</v>
      </c>
      <c r="I101" s="82">
        <v>0</v>
      </c>
      <c r="J101" s="82"/>
      <c r="K101" s="82">
        <f t="shared" si="12"/>
        <v>0</v>
      </c>
      <c r="L101" s="82">
        <v>1.4</v>
      </c>
      <c r="M101" s="93">
        <v>1.1</v>
      </c>
      <c r="N101" s="93">
        <f t="shared" si="13"/>
        <v>-0.3</v>
      </c>
    </row>
    <row r="102" spans="1:14" ht="15" customHeight="1">
      <c r="A102" s="77">
        <v>90</v>
      </c>
      <c r="B102" s="54" t="s">
        <v>173</v>
      </c>
      <c r="C102" s="142">
        <f t="shared" si="8"/>
        <v>140.9</v>
      </c>
      <c r="D102" s="142">
        <f t="shared" si="9"/>
        <v>133.7</v>
      </c>
      <c r="E102" s="142">
        <f t="shared" si="10"/>
        <v>-7.2</v>
      </c>
      <c r="F102" s="82">
        <v>138.8</v>
      </c>
      <c r="G102" s="82">
        <v>131.6</v>
      </c>
      <c r="H102" s="82">
        <f t="shared" si="11"/>
        <v>-7.2</v>
      </c>
      <c r="I102" s="82">
        <v>0</v>
      </c>
      <c r="J102" s="82"/>
      <c r="K102" s="82">
        <f t="shared" si="12"/>
        <v>0</v>
      </c>
      <c r="L102" s="82">
        <v>2.1</v>
      </c>
      <c r="M102" s="93">
        <v>2.1</v>
      </c>
      <c r="N102" s="93">
        <f t="shared" si="13"/>
        <v>0</v>
      </c>
    </row>
    <row r="103" spans="1:14" ht="15" customHeight="1">
      <c r="A103" s="77">
        <v>91</v>
      </c>
      <c r="B103" s="54" t="s">
        <v>174</v>
      </c>
      <c r="C103" s="142">
        <f t="shared" si="8"/>
        <v>176.8</v>
      </c>
      <c r="D103" s="142">
        <f t="shared" si="9"/>
        <v>160.9</v>
      </c>
      <c r="E103" s="142">
        <f t="shared" si="10"/>
        <v>-15.9</v>
      </c>
      <c r="F103" s="82">
        <v>176.8</v>
      </c>
      <c r="G103" s="82">
        <v>160.9</v>
      </c>
      <c r="H103" s="82">
        <f t="shared" si="11"/>
        <v>-15.9</v>
      </c>
      <c r="I103" s="82">
        <v>0</v>
      </c>
      <c r="J103" s="82"/>
      <c r="K103" s="82">
        <f t="shared" si="12"/>
        <v>0</v>
      </c>
      <c r="L103" s="82">
        <v>0</v>
      </c>
      <c r="M103" s="93"/>
      <c r="N103" s="93">
        <f t="shared" si="13"/>
        <v>0</v>
      </c>
    </row>
    <row r="104" spans="1:14" ht="15" customHeight="1">
      <c r="A104" s="77">
        <v>92</v>
      </c>
      <c r="B104" s="54" t="s">
        <v>175</v>
      </c>
      <c r="C104" s="142">
        <f t="shared" si="8"/>
        <v>190.1</v>
      </c>
      <c r="D104" s="142">
        <f t="shared" si="9"/>
        <v>154.5</v>
      </c>
      <c r="E104" s="142">
        <f t="shared" si="10"/>
        <v>-35.6</v>
      </c>
      <c r="F104" s="82">
        <v>190.1</v>
      </c>
      <c r="G104" s="82">
        <v>154.5</v>
      </c>
      <c r="H104" s="82">
        <f t="shared" si="11"/>
        <v>-35.6</v>
      </c>
      <c r="I104" s="82">
        <v>0</v>
      </c>
      <c r="J104" s="82"/>
      <c r="K104" s="82">
        <f t="shared" si="12"/>
        <v>0</v>
      </c>
      <c r="L104" s="82">
        <v>0</v>
      </c>
      <c r="M104" s="93"/>
      <c r="N104" s="93">
        <f t="shared" si="13"/>
        <v>0</v>
      </c>
    </row>
    <row r="105" spans="1:14" ht="15.75">
      <c r="A105" s="77">
        <v>93</v>
      </c>
      <c r="B105" s="54" t="s">
        <v>176</v>
      </c>
      <c r="C105" s="142">
        <f t="shared" si="8"/>
        <v>250.5</v>
      </c>
      <c r="D105" s="142">
        <f t="shared" si="9"/>
        <v>206.7</v>
      </c>
      <c r="E105" s="142">
        <f t="shared" si="10"/>
        <v>-43.8</v>
      </c>
      <c r="F105" s="82">
        <v>250</v>
      </c>
      <c r="G105" s="82">
        <v>206</v>
      </c>
      <c r="H105" s="82">
        <f t="shared" si="11"/>
        <v>-44</v>
      </c>
      <c r="I105" s="82">
        <v>0</v>
      </c>
      <c r="J105" s="82"/>
      <c r="K105" s="82">
        <f t="shared" si="12"/>
        <v>0</v>
      </c>
      <c r="L105" s="82">
        <v>0.5</v>
      </c>
      <c r="M105" s="93">
        <v>0.7</v>
      </c>
      <c r="N105" s="93">
        <f t="shared" si="13"/>
        <v>0.2</v>
      </c>
    </row>
    <row r="106" spans="1:14" ht="15" customHeight="1">
      <c r="A106" s="77">
        <v>94</v>
      </c>
      <c r="B106" s="54" t="s">
        <v>177</v>
      </c>
      <c r="C106" s="142">
        <f t="shared" si="8"/>
        <v>254.1</v>
      </c>
      <c r="D106" s="142">
        <f t="shared" si="9"/>
        <v>198.5</v>
      </c>
      <c r="E106" s="142">
        <f t="shared" si="10"/>
        <v>-55.6</v>
      </c>
      <c r="F106" s="82">
        <v>252.9</v>
      </c>
      <c r="G106" s="82">
        <v>197.6</v>
      </c>
      <c r="H106" s="82">
        <f t="shared" si="11"/>
        <v>-55.3</v>
      </c>
      <c r="I106" s="82">
        <v>0</v>
      </c>
      <c r="J106" s="82"/>
      <c r="K106" s="82">
        <f t="shared" si="12"/>
        <v>0</v>
      </c>
      <c r="L106" s="82">
        <v>1.2</v>
      </c>
      <c r="M106" s="93">
        <v>0.9</v>
      </c>
      <c r="N106" s="93">
        <f t="shared" si="13"/>
        <v>-0.3</v>
      </c>
    </row>
    <row r="107" spans="1:14" ht="15" customHeight="1">
      <c r="A107" s="77">
        <v>95</v>
      </c>
      <c r="B107" s="54" t="s">
        <v>178</v>
      </c>
      <c r="C107" s="142">
        <f t="shared" si="8"/>
        <v>234.5</v>
      </c>
      <c r="D107" s="142">
        <f t="shared" si="9"/>
        <v>236.3</v>
      </c>
      <c r="E107" s="142">
        <f t="shared" si="10"/>
        <v>1.8</v>
      </c>
      <c r="F107" s="82">
        <v>232.4</v>
      </c>
      <c r="G107" s="82">
        <v>234.3</v>
      </c>
      <c r="H107" s="82">
        <f t="shared" si="11"/>
        <v>1.9</v>
      </c>
      <c r="I107" s="82">
        <v>0</v>
      </c>
      <c r="J107" s="82"/>
      <c r="K107" s="82">
        <f t="shared" si="12"/>
        <v>0</v>
      </c>
      <c r="L107" s="82">
        <v>2.1</v>
      </c>
      <c r="M107" s="93">
        <v>2</v>
      </c>
      <c r="N107" s="93">
        <f t="shared" si="13"/>
        <v>-0.1</v>
      </c>
    </row>
    <row r="108" spans="1:14" ht="15" customHeight="1">
      <c r="A108" s="77">
        <v>96</v>
      </c>
      <c r="B108" s="54" t="s">
        <v>179</v>
      </c>
      <c r="C108" s="142">
        <f t="shared" si="8"/>
        <v>283.4</v>
      </c>
      <c r="D108" s="142">
        <f t="shared" si="9"/>
        <v>210</v>
      </c>
      <c r="E108" s="142">
        <f t="shared" si="10"/>
        <v>-73.4</v>
      </c>
      <c r="F108" s="82">
        <v>282.2</v>
      </c>
      <c r="G108" s="82">
        <v>209.1</v>
      </c>
      <c r="H108" s="82">
        <f t="shared" si="11"/>
        <v>-73.1</v>
      </c>
      <c r="I108" s="82">
        <v>0</v>
      </c>
      <c r="J108" s="82"/>
      <c r="K108" s="82">
        <f t="shared" si="12"/>
        <v>0</v>
      </c>
      <c r="L108" s="82">
        <v>1.2</v>
      </c>
      <c r="M108" s="93">
        <v>0.9</v>
      </c>
      <c r="N108" s="93">
        <f t="shared" si="13"/>
        <v>-0.3</v>
      </c>
    </row>
    <row r="109" spans="1:14" ht="33" customHeight="1">
      <c r="A109" s="77">
        <v>97</v>
      </c>
      <c r="B109" s="54" t="s">
        <v>180</v>
      </c>
      <c r="C109" s="142">
        <f t="shared" si="8"/>
        <v>211.1</v>
      </c>
      <c r="D109" s="142">
        <f t="shared" si="9"/>
        <v>199.4</v>
      </c>
      <c r="E109" s="142">
        <f t="shared" si="10"/>
        <v>-11.7</v>
      </c>
      <c r="F109" s="82">
        <v>208.6</v>
      </c>
      <c r="G109" s="82">
        <v>196.9</v>
      </c>
      <c r="H109" s="82">
        <f t="shared" si="11"/>
        <v>-11.7</v>
      </c>
      <c r="I109" s="82">
        <v>1.6</v>
      </c>
      <c r="J109" s="82">
        <v>2.2</v>
      </c>
      <c r="K109" s="82">
        <f t="shared" si="12"/>
        <v>0.6</v>
      </c>
      <c r="L109" s="82">
        <v>0.9</v>
      </c>
      <c r="M109" s="93">
        <v>0.3</v>
      </c>
      <c r="N109" s="93">
        <f t="shared" si="13"/>
        <v>-0.6</v>
      </c>
    </row>
    <row r="110" spans="1:14" ht="30.75" customHeight="1">
      <c r="A110" s="77">
        <v>98</v>
      </c>
      <c r="B110" s="54" t="s">
        <v>181</v>
      </c>
      <c r="C110" s="142">
        <f t="shared" si="8"/>
        <v>261.7</v>
      </c>
      <c r="D110" s="142">
        <f t="shared" si="9"/>
        <v>261.9</v>
      </c>
      <c r="E110" s="142">
        <f t="shared" si="10"/>
        <v>0.2</v>
      </c>
      <c r="F110" s="82">
        <v>260</v>
      </c>
      <c r="G110" s="82">
        <v>259.6</v>
      </c>
      <c r="H110" s="82">
        <f t="shared" si="11"/>
        <v>-0.4</v>
      </c>
      <c r="I110" s="82">
        <v>1.7</v>
      </c>
      <c r="J110" s="82">
        <v>2.3</v>
      </c>
      <c r="K110" s="82">
        <f t="shared" si="12"/>
        <v>0.6</v>
      </c>
      <c r="L110" s="82">
        <v>0</v>
      </c>
      <c r="M110" s="93"/>
      <c r="N110" s="93">
        <f t="shared" si="13"/>
        <v>0</v>
      </c>
    </row>
    <row r="111" spans="1:14" ht="15" customHeight="1">
      <c r="A111" s="77">
        <v>99</v>
      </c>
      <c r="B111" s="54" t="s">
        <v>182</v>
      </c>
      <c r="C111" s="142">
        <f t="shared" si="8"/>
        <v>80</v>
      </c>
      <c r="D111" s="142">
        <f t="shared" si="9"/>
        <v>81.1</v>
      </c>
      <c r="E111" s="142">
        <f t="shared" si="10"/>
        <v>1.1</v>
      </c>
      <c r="F111" s="82">
        <v>70</v>
      </c>
      <c r="G111" s="82">
        <v>72.6</v>
      </c>
      <c r="H111" s="82">
        <f t="shared" si="11"/>
        <v>2.6</v>
      </c>
      <c r="I111" s="82">
        <v>0</v>
      </c>
      <c r="J111" s="82"/>
      <c r="K111" s="82">
        <f t="shared" si="12"/>
        <v>0</v>
      </c>
      <c r="L111" s="82">
        <v>10</v>
      </c>
      <c r="M111" s="93">
        <v>8.5</v>
      </c>
      <c r="N111" s="93">
        <f t="shared" si="13"/>
        <v>-1.5</v>
      </c>
    </row>
    <row r="112" spans="1:14" ht="15" customHeight="1">
      <c r="A112" s="77">
        <v>100</v>
      </c>
      <c r="B112" s="54" t="s">
        <v>183</v>
      </c>
      <c r="C112" s="142">
        <f t="shared" si="8"/>
        <v>140</v>
      </c>
      <c r="D112" s="142">
        <f t="shared" si="9"/>
        <v>150</v>
      </c>
      <c r="E112" s="142">
        <f t="shared" si="10"/>
        <v>10</v>
      </c>
      <c r="F112" s="82">
        <v>140</v>
      </c>
      <c r="G112" s="82">
        <v>150</v>
      </c>
      <c r="H112" s="82">
        <f t="shared" si="11"/>
        <v>10</v>
      </c>
      <c r="I112" s="82">
        <v>0</v>
      </c>
      <c r="J112" s="82"/>
      <c r="K112" s="82">
        <f t="shared" si="12"/>
        <v>0</v>
      </c>
      <c r="L112" s="82">
        <v>0</v>
      </c>
      <c r="M112" s="93"/>
      <c r="N112" s="93">
        <f t="shared" si="13"/>
        <v>0</v>
      </c>
    </row>
    <row r="113" spans="1:14" ht="15" customHeight="1">
      <c r="A113" s="77">
        <v>101</v>
      </c>
      <c r="B113" s="54" t="s">
        <v>186</v>
      </c>
      <c r="C113" s="142">
        <f t="shared" si="8"/>
        <v>117.5</v>
      </c>
      <c r="D113" s="142">
        <f t="shared" si="9"/>
        <v>144.1</v>
      </c>
      <c r="E113" s="142">
        <f t="shared" si="10"/>
        <v>26.6</v>
      </c>
      <c r="F113" s="82">
        <v>115</v>
      </c>
      <c r="G113" s="82">
        <v>143.6</v>
      </c>
      <c r="H113" s="82">
        <f t="shared" si="11"/>
        <v>28.6</v>
      </c>
      <c r="I113" s="82">
        <v>0</v>
      </c>
      <c r="J113" s="82"/>
      <c r="K113" s="82">
        <f t="shared" si="12"/>
        <v>0</v>
      </c>
      <c r="L113" s="82">
        <v>2.5</v>
      </c>
      <c r="M113" s="93">
        <v>0.5</v>
      </c>
      <c r="N113" s="93">
        <f t="shared" si="13"/>
        <v>-2</v>
      </c>
    </row>
    <row r="114" spans="1:14" ht="15" customHeight="1">
      <c r="A114" s="77">
        <v>102</v>
      </c>
      <c r="B114" s="54" t="s">
        <v>187</v>
      </c>
      <c r="C114" s="142">
        <f t="shared" si="8"/>
        <v>115</v>
      </c>
      <c r="D114" s="142">
        <f t="shared" si="9"/>
        <v>105.2</v>
      </c>
      <c r="E114" s="142">
        <f t="shared" si="10"/>
        <v>-9.8</v>
      </c>
      <c r="F114" s="82">
        <v>114.2</v>
      </c>
      <c r="G114" s="82">
        <v>104.4</v>
      </c>
      <c r="H114" s="82">
        <f t="shared" si="11"/>
        <v>-9.8</v>
      </c>
      <c r="I114" s="82">
        <v>0</v>
      </c>
      <c r="J114" s="82"/>
      <c r="K114" s="82">
        <f t="shared" si="12"/>
        <v>0</v>
      </c>
      <c r="L114" s="82">
        <v>0.8</v>
      </c>
      <c r="M114" s="93">
        <v>0.8</v>
      </c>
      <c r="N114" s="93">
        <f t="shared" si="13"/>
        <v>0</v>
      </c>
    </row>
    <row r="115" spans="1:14" ht="33.75" customHeight="1">
      <c r="A115" s="77">
        <v>103</v>
      </c>
      <c r="B115" s="54" t="s">
        <v>329</v>
      </c>
      <c r="C115" s="142">
        <f t="shared" si="8"/>
        <v>220</v>
      </c>
      <c r="D115" s="142">
        <f t="shared" si="9"/>
        <v>217.9</v>
      </c>
      <c r="E115" s="142">
        <f t="shared" si="10"/>
        <v>-2.1</v>
      </c>
      <c r="F115" s="82">
        <v>0</v>
      </c>
      <c r="G115" s="82"/>
      <c r="H115" s="82">
        <f t="shared" si="11"/>
        <v>0</v>
      </c>
      <c r="I115" s="82">
        <v>220</v>
      </c>
      <c r="J115" s="82">
        <v>217.9</v>
      </c>
      <c r="K115" s="82">
        <f t="shared" si="12"/>
        <v>-2.1</v>
      </c>
      <c r="L115" s="82">
        <v>0</v>
      </c>
      <c r="M115" s="93"/>
      <c r="N115" s="93">
        <f t="shared" si="13"/>
        <v>0</v>
      </c>
    </row>
    <row r="116" spans="1:14" ht="32.25" customHeight="1">
      <c r="A116" s="77">
        <v>104</v>
      </c>
      <c r="B116" s="54" t="s">
        <v>188</v>
      </c>
      <c r="C116" s="142">
        <f t="shared" si="8"/>
        <v>2.8</v>
      </c>
      <c r="D116" s="142">
        <f t="shared" si="9"/>
        <v>2.9</v>
      </c>
      <c r="E116" s="142">
        <f t="shared" si="10"/>
        <v>0.1</v>
      </c>
      <c r="F116" s="82">
        <v>0</v>
      </c>
      <c r="G116" s="82"/>
      <c r="H116" s="82">
        <f t="shared" si="11"/>
        <v>0</v>
      </c>
      <c r="I116" s="82">
        <v>1.3</v>
      </c>
      <c r="J116" s="82">
        <v>1.2</v>
      </c>
      <c r="K116" s="82">
        <f t="shared" si="12"/>
        <v>-0.1</v>
      </c>
      <c r="L116" s="82">
        <v>1.5</v>
      </c>
      <c r="M116" s="93">
        <v>1.7</v>
      </c>
      <c r="N116" s="93">
        <f t="shared" si="13"/>
        <v>0.2</v>
      </c>
    </row>
    <row r="117" spans="1:14" ht="15" customHeight="1">
      <c r="A117" s="77">
        <v>105</v>
      </c>
      <c r="B117" s="54" t="s">
        <v>189</v>
      </c>
      <c r="C117" s="142">
        <f t="shared" si="8"/>
        <v>98.4</v>
      </c>
      <c r="D117" s="142">
        <f t="shared" si="9"/>
        <v>102.5</v>
      </c>
      <c r="E117" s="142">
        <f t="shared" si="10"/>
        <v>4.1</v>
      </c>
      <c r="F117" s="82">
        <v>95</v>
      </c>
      <c r="G117" s="82">
        <v>101.9</v>
      </c>
      <c r="H117" s="82">
        <f t="shared" si="11"/>
        <v>6.9</v>
      </c>
      <c r="I117" s="82">
        <v>0</v>
      </c>
      <c r="J117" s="82"/>
      <c r="K117" s="82">
        <f t="shared" si="12"/>
        <v>0</v>
      </c>
      <c r="L117" s="82">
        <v>3.4</v>
      </c>
      <c r="M117" s="93">
        <v>0.6</v>
      </c>
      <c r="N117" s="93">
        <f t="shared" si="13"/>
        <v>-2.8</v>
      </c>
    </row>
    <row r="118" spans="1:14" ht="15" customHeight="1">
      <c r="A118" s="77">
        <v>106</v>
      </c>
      <c r="B118" s="54" t="s">
        <v>185</v>
      </c>
      <c r="C118" s="142">
        <f t="shared" si="8"/>
        <v>16.4</v>
      </c>
      <c r="D118" s="142">
        <f t="shared" si="9"/>
        <v>14</v>
      </c>
      <c r="E118" s="142">
        <f t="shared" si="10"/>
        <v>-2.4</v>
      </c>
      <c r="F118" s="82">
        <v>0</v>
      </c>
      <c r="G118" s="82"/>
      <c r="H118" s="82">
        <f t="shared" si="11"/>
        <v>0</v>
      </c>
      <c r="I118" s="82">
        <v>0</v>
      </c>
      <c r="J118" s="82"/>
      <c r="K118" s="82">
        <f t="shared" si="12"/>
        <v>0</v>
      </c>
      <c r="L118" s="82">
        <v>16.4</v>
      </c>
      <c r="M118" s="93">
        <v>14</v>
      </c>
      <c r="N118" s="93">
        <f t="shared" si="13"/>
        <v>-2.4</v>
      </c>
    </row>
    <row r="119" spans="1:14" ht="15" customHeight="1">
      <c r="A119" s="77">
        <v>107</v>
      </c>
      <c r="B119" s="54" t="s">
        <v>184</v>
      </c>
      <c r="C119" s="142">
        <f t="shared" si="8"/>
        <v>3.7</v>
      </c>
      <c r="D119" s="142">
        <f t="shared" si="9"/>
        <v>5.2</v>
      </c>
      <c r="E119" s="142">
        <f t="shared" si="10"/>
        <v>1.5</v>
      </c>
      <c r="F119" s="82">
        <v>0</v>
      </c>
      <c r="G119" s="82"/>
      <c r="H119" s="82">
        <f t="shared" si="11"/>
        <v>0</v>
      </c>
      <c r="I119" s="82">
        <v>0</v>
      </c>
      <c r="J119" s="82"/>
      <c r="K119" s="82">
        <f t="shared" si="12"/>
        <v>0</v>
      </c>
      <c r="L119" s="82">
        <v>3.7</v>
      </c>
      <c r="M119" s="93">
        <v>5.2</v>
      </c>
      <c r="N119" s="93">
        <f t="shared" si="13"/>
        <v>1.5</v>
      </c>
    </row>
    <row r="120" spans="1:14" ht="15" customHeight="1">
      <c r="A120" s="77">
        <v>108</v>
      </c>
      <c r="B120" s="54" t="s">
        <v>360</v>
      </c>
      <c r="C120" s="142"/>
      <c r="D120" s="142">
        <f t="shared" si="9"/>
        <v>0.1</v>
      </c>
      <c r="E120" s="142"/>
      <c r="F120" s="82"/>
      <c r="G120" s="82"/>
      <c r="H120" s="82">
        <f t="shared" si="11"/>
        <v>0</v>
      </c>
      <c r="I120" s="82"/>
      <c r="J120" s="82"/>
      <c r="K120" s="82">
        <f t="shared" si="12"/>
        <v>0</v>
      </c>
      <c r="L120" s="82"/>
      <c r="M120" s="93">
        <v>0.1</v>
      </c>
      <c r="N120" s="93">
        <f t="shared" si="13"/>
        <v>0.1</v>
      </c>
    </row>
    <row r="121" spans="1:14" s="63" customFormat="1" ht="15" customHeight="1">
      <c r="A121" s="77">
        <v>109</v>
      </c>
      <c r="B121" s="71" t="s">
        <v>264</v>
      </c>
      <c r="C121" s="141">
        <f t="shared" si="8"/>
        <v>1638.7</v>
      </c>
      <c r="D121" s="141">
        <f t="shared" si="9"/>
        <v>1662.6</v>
      </c>
      <c r="E121" s="141">
        <f t="shared" si="10"/>
        <v>23.9</v>
      </c>
      <c r="F121" s="94">
        <f aca="true" t="shared" si="14" ref="F121:M121">SUM(F122:F129)</f>
        <v>1414</v>
      </c>
      <c r="G121" s="94">
        <f t="shared" si="14"/>
        <v>1432.3</v>
      </c>
      <c r="H121" s="80">
        <f t="shared" si="11"/>
        <v>18.3</v>
      </c>
      <c r="I121" s="94">
        <f t="shared" si="14"/>
        <v>224.7</v>
      </c>
      <c r="J121" s="94">
        <f t="shared" si="14"/>
        <v>230.3</v>
      </c>
      <c r="K121" s="80">
        <f t="shared" si="12"/>
        <v>5.6</v>
      </c>
      <c r="L121" s="94">
        <f t="shared" si="14"/>
        <v>0</v>
      </c>
      <c r="M121" s="94">
        <f t="shared" si="14"/>
        <v>0</v>
      </c>
      <c r="N121" s="92">
        <f t="shared" si="13"/>
        <v>0</v>
      </c>
    </row>
    <row r="122" spans="1:14" ht="33" customHeight="1">
      <c r="A122" s="77">
        <v>110</v>
      </c>
      <c r="B122" s="81" t="s">
        <v>101</v>
      </c>
      <c r="C122" s="142">
        <f t="shared" si="8"/>
        <v>98</v>
      </c>
      <c r="D122" s="142">
        <f t="shared" si="9"/>
        <v>102.3</v>
      </c>
      <c r="E122" s="142">
        <f t="shared" si="10"/>
        <v>4.3</v>
      </c>
      <c r="F122" s="82">
        <v>0</v>
      </c>
      <c r="G122" s="82"/>
      <c r="H122" s="80">
        <f t="shared" si="11"/>
        <v>0</v>
      </c>
      <c r="I122" s="82">
        <v>98</v>
      </c>
      <c r="J122" s="82">
        <v>102.3</v>
      </c>
      <c r="K122" s="82">
        <f t="shared" si="12"/>
        <v>4.3</v>
      </c>
      <c r="L122" s="82">
        <v>0</v>
      </c>
      <c r="M122" s="93"/>
      <c r="N122" s="93">
        <f t="shared" si="13"/>
        <v>0</v>
      </c>
    </row>
    <row r="123" spans="1:14" ht="15.75">
      <c r="A123" s="77">
        <v>111</v>
      </c>
      <c r="B123" s="81" t="s">
        <v>102</v>
      </c>
      <c r="C123" s="142">
        <f t="shared" si="8"/>
        <v>818</v>
      </c>
      <c r="D123" s="142">
        <f t="shared" si="9"/>
        <v>894.3</v>
      </c>
      <c r="E123" s="142">
        <f t="shared" si="10"/>
        <v>76.3</v>
      </c>
      <c r="F123" s="82">
        <v>811.1</v>
      </c>
      <c r="G123" s="82">
        <v>884.8</v>
      </c>
      <c r="H123" s="82">
        <f t="shared" si="11"/>
        <v>73.7</v>
      </c>
      <c r="I123" s="82">
        <v>6.9</v>
      </c>
      <c r="J123" s="82">
        <v>9.5</v>
      </c>
      <c r="K123" s="82">
        <f t="shared" si="12"/>
        <v>2.6</v>
      </c>
      <c r="L123" s="82">
        <v>0</v>
      </c>
      <c r="M123" s="93"/>
      <c r="N123" s="93">
        <f t="shared" si="13"/>
        <v>0</v>
      </c>
    </row>
    <row r="124" spans="1:14" ht="18" customHeight="1">
      <c r="A124" s="77">
        <v>112</v>
      </c>
      <c r="B124" s="81" t="s">
        <v>98</v>
      </c>
      <c r="C124" s="142">
        <f t="shared" si="8"/>
        <v>123.8</v>
      </c>
      <c r="D124" s="142">
        <f t="shared" si="9"/>
        <v>132.1</v>
      </c>
      <c r="E124" s="142">
        <f t="shared" si="10"/>
        <v>8.3</v>
      </c>
      <c r="F124" s="82">
        <v>119</v>
      </c>
      <c r="G124" s="82">
        <v>127.3</v>
      </c>
      <c r="H124" s="82">
        <f t="shared" si="11"/>
        <v>8.3</v>
      </c>
      <c r="I124" s="82">
        <v>4.8</v>
      </c>
      <c r="J124" s="82">
        <v>4.8</v>
      </c>
      <c r="K124" s="82">
        <f t="shared" si="12"/>
        <v>0</v>
      </c>
      <c r="L124" s="82">
        <v>0</v>
      </c>
      <c r="M124" s="93"/>
      <c r="N124" s="93">
        <f t="shared" si="13"/>
        <v>0</v>
      </c>
    </row>
    <row r="125" spans="1:14" ht="15.75">
      <c r="A125" s="77">
        <v>113</v>
      </c>
      <c r="B125" s="81" t="s">
        <v>103</v>
      </c>
      <c r="C125" s="142">
        <f t="shared" si="8"/>
        <v>36</v>
      </c>
      <c r="D125" s="142">
        <f t="shared" si="9"/>
        <v>34.9</v>
      </c>
      <c r="E125" s="142">
        <f t="shared" si="10"/>
        <v>-1.1</v>
      </c>
      <c r="F125" s="82">
        <v>36</v>
      </c>
      <c r="G125" s="82">
        <v>34.9</v>
      </c>
      <c r="H125" s="82">
        <f t="shared" si="11"/>
        <v>-1.1</v>
      </c>
      <c r="I125" s="82">
        <v>0</v>
      </c>
      <c r="J125" s="82"/>
      <c r="K125" s="82">
        <f t="shared" si="12"/>
        <v>0</v>
      </c>
      <c r="L125" s="82">
        <v>0</v>
      </c>
      <c r="M125" s="93"/>
      <c r="N125" s="93">
        <f t="shared" si="13"/>
        <v>0</v>
      </c>
    </row>
    <row r="126" spans="1:14" ht="15" customHeight="1">
      <c r="A126" s="77">
        <v>114</v>
      </c>
      <c r="B126" s="54" t="s">
        <v>190</v>
      </c>
      <c r="C126" s="142">
        <f t="shared" si="8"/>
        <v>42.4</v>
      </c>
      <c r="D126" s="142">
        <f t="shared" si="9"/>
        <v>33</v>
      </c>
      <c r="E126" s="142">
        <f t="shared" si="10"/>
        <v>-9.4</v>
      </c>
      <c r="F126" s="82">
        <v>42.4</v>
      </c>
      <c r="G126" s="82">
        <v>33</v>
      </c>
      <c r="H126" s="82">
        <f t="shared" si="11"/>
        <v>-9.4</v>
      </c>
      <c r="I126" s="82">
        <v>0</v>
      </c>
      <c r="J126" s="82"/>
      <c r="K126" s="82">
        <f t="shared" si="12"/>
        <v>0</v>
      </c>
      <c r="L126" s="82">
        <v>0</v>
      </c>
      <c r="M126" s="93"/>
      <c r="N126" s="93">
        <f t="shared" si="13"/>
        <v>0</v>
      </c>
    </row>
    <row r="127" spans="1:14" ht="15" customHeight="1">
      <c r="A127" s="77">
        <v>115</v>
      </c>
      <c r="B127" s="54" t="s">
        <v>191</v>
      </c>
      <c r="C127" s="142">
        <f t="shared" si="8"/>
        <v>381</v>
      </c>
      <c r="D127" s="142">
        <f t="shared" si="9"/>
        <v>330</v>
      </c>
      <c r="E127" s="142">
        <f t="shared" si="10"/>
        <v>-51</v>
      </c>
      <c r="F127" s="82">
        <v>381</v>
      </c>
      <c r="G127" s="82">
        <v>330</v>
      </c>
      <c r="H127" s="82">
        <f t="shared" si="11"/>
        <v>-51</v>
      </c>
      <c r="I127" s="82">
        <v>0</v>
      </c>
      <c r="J127" s="82"/>
      <c r="K127" s="82">
        <f t="shared" si="12"/>
        <v>0</v>
      </c>
      <c r="L127" s="82">
        <v>0</v>
      </c>
      <c r="M127" s="93"/>
      <c r="N127" s="93">
        <f t="shared" si="13"/>
        <v>0</v>
      </c>
    </row>
    <row r="128" spans="1:14" ht="15" customHeight="1">
      <c r="A128" s="77">
        <v>116</v>
      </c>
      <c r="B128" s="54" t="s">
        <v>192</v>
      </c>
      <c r="C128" s="142">
        <f t="shared" si="8"/>
        <v>24.5</v>
      </c>
      <c r="D128" s="142">
        <f t="shared" si="9"/>
        <v>22.3</v>
      </c>
      <c r="E128" s="142">
        <f t="shared" si="10"/>
        <v>-2.2</v>
      </c>
      <c r="F128" s="82">
        <v>24.5</v>
      </c>
      <c r="G128" s="82">
        <v>22.3</v>
      </c>
      <c r="H128" s="82">
        <f t="shared" si="11"/>
        <v>-2.2</v>
      </c>
      <c r="I128" s="82">
        <v>0</v>
      </c>
      <c r="J128" s="82"/>
      <c r="K128" s="82">
        <f t="shared" si="12"/>
        <v>0</v>
      </c>
      <c r="L128" s="82">
        <v>0</v>
      </c>
      <c r="M128" s="93"/>
      <c r="N128" s="93">
        <f t="shared" si="13"/>
        <v>0</v>
      </c>
    </row>
    <row r="129" spans="1:14" ht="15" customHeight="1">
      <c r="A129" s="77">
        <v>117</v>
      </c>
      <c r="B129" s="54" t="s">
        <v>193</v>
      </c>
      <c r="C129" s="142">
        <f t="shared" si="8"/>
        <v>115</v>
      </c>
      <c r="D129" s="142">
        <f t="shared" si="9"/>
        <v>113.7</v>
      </c>
      <c r="E129" s="142">
        <f t="shared" si="10"/>
        <v>-1.3</v>
      </c>
      <c r="F129" s="82">
        <v>0</v>
      </c>
      <c r="G129" s="82"/>
      <c r="H129" s="82">
        <f t="shared" si="11"/>
        <v>0</v>
      </c>
      <c r="I129" s="82">
        <v>115</v>
      </c>
      <c r="J129" s="82">
        <v>113.7</v>
      </c>
      <c r="K129" s="82">
        <f t="shared" si="12"/>
        <v>-1.3</v>
      </c>
      <c r="L129" s="82">
        <v>0</v>
      </c>
      <c r="M129" s="93"/>
      <c r="N129" s="93">
        <f t="shared" si="13"/>
        <v>0</v>
      </c>
    </row>
    <row r="130" spans="1:14" ht="15" customHeight="1">
      <c r="A130" s="77">
        <v>118</v>
      </c>
      <c r="B130" s="85" t="s">
        <v>92</v>
      </c>
      <c r="C130" s="141">
        <f aca="true" t="shared" si="15" ref="C130:N130">+C121+C17+C14+C13</f>
        <v>18477.4</v>
      </c>
      <c r="D130" s="141">
        <f t="shared" si="15"/>
        <v>16346</v>
      </c>
      <c r="E130" s="141">
        <f t="shared" si="15"/>
        <v>-2131.4</v>
      </c>
      <c r="F130" s="79">
        <f t="shared" si="15"/>
        <v>13403.5</v>
      </c>
      <c r="G130" s="79">
        <f t="shared" si="15"/>
        <v>11559.9</v>
      </c>
      <c r="H130" s="79">
        <f t="shared" si="15"/>
        <v>-1843.6</v>
      </c>
      <c r="I130" s="79">
        <f t="shared" si="15"/>
        <v>4531.7</v>
      </c>
      <c r="J130" s="79">
        <f t="shared" si="15"/>
        <v>4309.6</v>
      </c>
      <c r="K130" s="79">
        <f t="shared" si="15"/>
        <v>-222.1</v>
      </c>
      <c r="L130" s="79">
        <f t="shared" si="15"/>
        <v>542.2</v>
      </c>
      <c r="M130" s="79">
        <f t="shared" si="15"/>
        <v>476.5</v>
      </c>
      <c r="N130" s="79">
        <f t="shared" si="15"/>
        <v>-65.7</v>
      </c>
    </row>
    <row r="131" spans="1:12" ht="12.75">
      <c r="A131" s="86"/>
      <c r="B131" s="87"/>
      <c r="C131" s="87"/>
      <c r="D131" s="87"/>
      <c r="E131" s="87"/>
      <c r="F131" s="66"/>
      <c r="G131" s="66"/>
      <c r="H131" s="66"/>
      <c r="I131" s="66"/>
      <c r="J131" s="66"/>
      <c r="K131" s="66"/>
      <c r="L131" s="66"/>
    </row>
    <row r="132" spans="1:12" ht="12.75">
      <c r="A132" s="88"/>
      <c r="B132" s="89"/>
      <c r="C132" s="89"/>
      <c r="D132" s="89"/>
      <c r="E132" s="89"/>
      <c r="F132" s="90"/>
      <c r="G132" s="91"/>
      <c r="H132" s="91"/>
      <c r="I132" s="66"/>
      <c r="J132" s="66"/>
      <c r="K132" s="66"/>
      <c r="L132" s="66"/>
    </row>
  </sheetData>
  <sheetProtection/>
  <mergeCells count="8">
    <mergeCell ref="F10:H10"/>
    <mergeCell ref="I10:K10"/>
    <mergeCell ref="L10:N10"/>
    <mergeCell ref="F9:N9"/>
    <mergeCell ref="A5:N6"/>
    <mergeCell ref="C9:E10"/>
    <mergeCell ref="A9:A11"/>
    <mergeCell ref="B9:B11"/>
  </mergeCells>
  <printOptions/>
  <pageMargins left="0.7480314960629921" right="0.15748031496062992" top="0.7874015748031497" bottom="0.3937007874015748" header="0" footer="0"/>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K32"/>
  <sheetViews>
    <sheetView workbookViewId="0" topLeftCell="A25">
      <selection activeCell="I26" sqref="I26"/>
    </sheetView>
  </sheetViews>
  <sheetFormatPr defaultColWidth="9.140625" defaultRowHeight="12.75"/>
  <cols>
    <col min="1" max="1" width="4.28125" style="117" customWidth="1"/>
    <col min="2" max="2" width="49.7109375" style="117" customWidth="1"/>
    <col min="3" max="3" width="11.421875" style="117" customWidth="1"/>
    <col min="4" max="4" width="11.7109375" style="118" customWidth="1"/>
    <col min="5" max="5" width="10.57421875" style="117" customWidth="1"/>
    <col min="6" max="7" width="9.140625" style="117" customWidth="1"/>
    <col min="8" max="8" width="10.7109375" style="117" bestFit="1" customWidth="1"/>
    <col min="9" max="16384" width="9.140625" style="117" customWidth="1"/>
  </cols>
  <sheetData>
    <row r="1" spans="2:5" s="95" customFormat="1" ht="15.75">
      <c r="B1" s="96"/>
      <c r="C1" s="96" t="s">
        <v>336</v>
      </c>
      <c r="D1" s="97"/>
      <c r="E1" s="96"/>
    </row>
    <row r="2" spans="2:5" s="95" customFormat="1" ht="15.75">
      <c r="B2" s="96"/>
      <c r="C2" s="96" t="s">
        <v>354</v>
      </c>
      <c r="D2" s="97"/>
      <c r="E2" s="96"/>
    </row>
    <row r="3" spans="2:5" s="95" customFormat="1" ht="15.75">
      <c r="B3" s="96"/>
      <c r="C3" s="96" t="s">
        <v>355</v>
      </c>
      <c r="D3" s="97"/>
      <c r="E3" s="96"/>
    </row>
    <row r="4" spans="2:5" s="95" customFormat="1" ht="15.75">
      <c r="B4" s="96"/>
      <c r="C4" s="96" t="s">
        <v>337</v>
      </c>
      <c r="D4" s="97"/>
      <c r="E4" s="96"/>
    </row>
    <row r="5" spans="2:5" s="95" customFormat="1" ht="15.75">
      <c r="B5" s="96"/>
      <c r="C5" s="96"/>
      <c r="D5" s="97"/>
      <c r="E5" s="96"/>
    </row>
    <row r="6" spans="2:5" s="95" customFormat="1" ht="30.75" customHeight="1">
      <c r="B6" s="174" t="s">
        <v>338</v>
      </c>
      <c r="C6" s="174"/>
      <c r="D6" s="174"/>
      <c r="E6" s="174"/>
    </row>
    <row r="7" spans="2:5" s="95" customFormat="1" ht="15.75">
      <c r="B7" s="98"/>
      <c r="C7" s="98"/>
      <c r="D7" s="99"/>
      <c r="E7" s="100" t="s">
        <v>339</v>
      </c>
    </row>
    <row r="8" spans="1:5" s="95" customFormat="1" ht="47.25">
      <c r="A8" s="101" t="s">
        <v>84</v>
      </c>
      <c r="B8" s="101" t="s">
        <v>340</v>
      </c>
      <c r="C8" s="101" t="s">
        <v>81</v>
      </c>
      <c r="D8" s="102" t="s">
        <v>78</v>
      </c>
      <c r="E8" s="101" t="s">
        <v>341</v>
      </c>
    </row>
    <row r="9" spans="1:5" s="100" customFormat="1" ht="15.75">
      <c r="A9" s="101">
        <v>1</v>
      </c>
      <c r="B9" s="101">
        <v>2</v>
      </c>
      <c r="C9" s="103">
        <v>3</v>
      </c>
      <c r="D9" s="103">
        <v>4</v>
      </c>
      <c r="E9" s="101">
        <v>5</v>
      </c>
    </row>
    <row r="10" spans="1:5" s="100" customFormat="1" ht="146.25" customHeight="1">
      <c r="A10" s="104">
        <v>1</v>
      </c>
      <c r="B10" s="105" t="s">
        <v>342</v>
      </c>
      <c r="C10" s="103"/>
      <c r="D10" s="106">
        <v>21500</v>
      </c>
      <c r="E10" s="101"/>
    </row>
    <row r="11" spans="1:5" s="100" customFormat="1" ht="204.75">
      <c r="A11" s="104">
        <v>2</v>
      </c>
      <c r="B11" s="105" t="s">
        <v>343</v>
      </c>
      <c r="C11" s="103"/>
      <c r="D11" s="106">
        <v>146867.86</v>
      </c>
      <c r="E11" s="101"/>
    </row>
    <row r="12" spans="1:11" s="100" customFormat="1" ht="63">
      <c r="A12" s="104">
        <v>3</v>
      </c>
      <c r="B12" s="105" t="s">
        <v>344</v>
      </c>
      <c r="C12" s="103"/>
      <c r="D12" s="106">
        <v>50000</v>
      </c>
      <c r="E12" s="101"/>
      <c r="H12" s="107"/>
      <c r="I12" s="107"/>
      <c r="J12" s="107"/>
      <c r="K12" s="107"/>
    </row>
    <row r="13" spans="1:5" s="100" customFormat="1" ht="47.25">
      <c r="A13" s="104">
        <v>4</v>
      </c>
      <c r="B13" s="105" t="s">
        <v>345</v>
      </c>
      <c r="C13" s="103"/>
      <c r="D13" s="106">
        <f>SUM(D15:D24)</f>
        <v>179388.56</v>
      </c>
      <c r="E13" s="101"/>
    </row>
    <row r="14" spans="1:5" s="100" customFormat="1" ht="15.75">
      <c r="A14" s="104">
        <v>5</v>
      </c>
      <c r="B14" s="101" t="s">
        <v>44</v>
      </c>
      <c r="C14" s="103"/>
      <c r="D14" s="106"/>
      <c r="E14" s="101"/>
    </row>
    <row r="15" spans="1:10" s="100" customFormat="1" ht="63">
      <c r="A15" s="104">
        <v>6</v>
      </c>
      <c r="B15" s="108" t="s">
        <v>346</v>
      </c>
      <c r="C15" s="103"/>
      <c r="D15" s="109">
        <v>7241.75</v>
      </c>
      <c r="E15" s="101"/>
      <c r="G15" s="107"/>
      <c r="H15" s="107"/>
      <c r="I15" s="107"/>
      <c r="J15" s="107"/>
    </row>
    <row r="16" spans="1:6" s="100" customFormat="1" ht="31.5">
      <c r="A16" s="104">
        <v>7</v>
      </c>
      <c r="B16" s="110" t="s">
        <v>347</v>
      </c>
      <c r="C16" s="103"/>
      <c r="D16" s="109">
        <v>1868.25</v>
      </c>
      <c r="E16" s="101"/>
      <c r="F16" s="111"/>
    </row>
    <row r="17" spans="1:10" s="100" customFormat="1" ht="102" customHeight="1">
      <c r="A17" s="104">
        <v>8</v>
      </c>
      <c r="B17" s="110" t="s">
        <v>348</v>
      </c>
      <c r="C17" s="103"/>
      <c r="D17" s="109">
        <v>102076.64</v>
      </c>
      <c r="E17" s="101"/>
      <c r="F17" s="111"/>
      <c r="G17" s="107"/>
      <c r="H17" s="107"/>
      <c r="I17" s="107"/>
      <c r="J17" s="107"/>
    </row>
    <row r="18" spans="1:10" s="100" customFormat="1" ht="130.5" customHeight="1">
      <c r="A18" s="104">
        <v>9</v>
      </c>
      <c r="B18" s="110" t="s">
        <v>364</v>
      </c>
      <c r="C18" s="103"/>
      <c r="D18" s="109">
        <v>17985.44</v>
      </c>
      <c r="E18" s="101"/>
      <c r="F18" s="111"/>
      <c r="G18" s="107"/>
      <c r="H18" s="112"/>
      <c r="I18" s="107"/>
      <c r="J18" s="107"/>
    </row>
    <row r="19" spans="1:10" s="100" customFormat="1" ht="31.5">
      <c r="A19" s="104">
        <v>10</v>
      </c>
      <c r="B19" s="110" t="s">
        <v>349</v>
      </c>
      <c r="C19" s="103"/>
      <c r="D19" s="109">
        <v>16942.49</v>
      </c>
      <c r="E19" s="101"/>
      <c r="F19" s="111"/>
      <c r="G19" s="107"/>
      <c r="H19" s="107"/>
      <c r="I19" s="107"/>
      <c r="J19" s="107"/>
    </row>
    <row r="20" spans="1:10" s="100" customFormat="1" ht="31.5">
      <c r="A20" s="104">
        <v>11</v>
      </c>
      <c r="B20" s="110" t="s">
        <v>350</v>
      </c>
      <c r="C20" s="103"/>
      <c r="D20" s="109">
        <v>8928</v>
      </c>
      <c r="E20" s="101"/>
      <c r="F20" s="111"/>
      <c r="G20" s="107"/>
      <c r="H20" s="107"/>
      <c r="I20" s="107"/>
      <c r="J20" s="107"/>
    </row>
    <row r="21" spans="1:6" s="100" customFormat="1" ht="99" customHeight="1">
      <c r="A21" s="104">
        <v>12</v>
      </c>
      <c r="B21" s="110" t="s">
        <v>351</v>
      </c>
      <c r="C21" s="103"/>
      <c r="D21" s="109">
        <v>9000</v>
      </c>
      <c r="E21" s="101"/>
      <c r="F21" s="111"/>
    </row>
    <row r="22" spans="1:6" s="100" customFormat="1" ht="33" customHeight="1">
      <c r="A22" s="104">
        <v>13</v>
      </c>
      <c r="B22" s="110" t="s">
        <v>365</v>
      </c>
      <c r="C22" s="103"/>
      <c r="D22" s="109">
        <v>3649</v>
      </c>
      <c r="E22" s="101"/>
      <c r="F22" s="111"/>
    </row>
    <row r="23" spans="1:6" s="100" customFormat="1" ht="47.25">
      <c r="A23" s="104">
        <v>14</v>
      </c>
      <c r="B23" s="110" t="s">
        <v>366</v>
      </c>
      <c r="C23" s="103"/>
      <c r="D23" s="109">
        <v>8196.99</v>
      </c>
      <c r="E23" s="101"/>
      <c r="F23" s="111"/>
    </row>
    <row r="24" spans="1:6" s="100" customFormat="1" ht="63">
      <c r="A24" s="104">
        <v>15</v>
      </c>
      <c r="B24" s="110" t="s">
        <v>367</v>
      </c>
      <c r="C24" s="103"/>
      <c r="D24" s="113">
        <v>3500</v>
      </c>
      <c r="E24" s="101"/>
      <c r="F24" s="111"/>
    </row>
    <row r="25" spans="1:5" s="100" customFormat="1" ht="78.75">
      <c r="A25" s="104">
        <v>16</v>
      </c>
      <c r="B25" s="105" t="s">
        <v>352</v>
      </c>
      <c r="C25" s="103"/>
      <c r="D25" s="106">
        <v>3000</v>
      </c>
      <c r="E25" s="101"/>
    </row>
    <row r="26" spans="1:5" s="100" customFormat="1" ht="78.75">
      <c r="A26" s="104">
        <v>17</v>
      </c>
      <c r="B26" s="105" t="s">
        <v>353</v>
      </c>
      <c r="C26" s="103"/>
      <c r="D26" s="106">
        <v>41601.58</v>
      </c>
      <c r="E26" s="101"/>
    </row>
    <row r="27" spans="1:5" ht="15.75">
      <c r="A27" s="104" t="s">
        <v>296</v>
      </c>
      <c r="B27" s="114" t="s">
        <v>92</v>
      </c>
      <c r="C27" s="115">
        <v>460000</v>
      </c>
      <c r="D27" s="116">
        <f>D10+D11+D12+D13+D25+D26</f>
        <v>442358</v>
      </c>
      <c r="E27" s="115">
        <f>C27-D27</f>
        <v>17642</v>
      </c>
    </row>
    <row r="28" spans="2:4" ht="28.5" customHeight="1">
      <c r="B28" s="147"/>
      <c r="C28" s="147"/>
      <c r="D28" s="120"/>
    </row>
    <row r="30" ht="15.75">
      <c r="B30" s="42"/>
    </row>
    <row r="32" ht="15">
      <c r="D32" s="119"/>
    </row>
  </sheetData>
  <sheetProtection/>
  <mergeCells count="1">
    <mergeCell ref="B6:E6"/>
  </mergeCells>
  <printOptions/>
  <pageMargins left="0.984251968503937" right="0.3937007874015748" top="0.35433070866141736" bottom="0.07874015748031496" header="0.236220472440944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audrenas24</dc:creator>
  <cp:keywords/>
  <dc:description/>
  <cp:lastModifiedBy>Virginija Jurksiene</cp:lastModifiedBy>
  <cp:lastPrinted>2012-05-08T13:01:34Z</cp:lastPrinted>
  <dcterms:created xsi:type="dcterms:W3CDTF">2010-11-11T18:16:18Z</dcterms:created>
  <dcterms:modified xsi:type="dcterms:W3CDTF">2012-06-04T06:37:32Z</dcterms:modified>
  <cp:category/>
  <cp:version/>
  <cp:contentType/>
  <cp:contentStatus/>
</cp:coreProperties>
</file>