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7-2019 SVP\2016-12-22 SPRENDIMAS T2-290\"/>
    </mc:Choice>
  </mc:AlternateContent>
  <bookViews>
    <workbookView xWindow="30" yWindow="3285" windowWidth="15480" windowHeight="8100" firstSheet="1" activeTab="1"/>
  </bookViews>
  <sheets>
    <sheet name="Lyginamasis variantas " sheetId="6" state="hidden" r:id="rId1"/>
    <sheet name="7 programa" sheetId="13" r:id="rId2"/>
    <sheet name="aiškinamoji lentelė" sheetId="10" state="hidden" r:id="rId3"/>
    <sheet name="lyginamasis variantas" sheetId="9" state="hidden" r:id="rId4"/>
    <sheet name="2015 m. 7 pr." sheetId="11" state="hidden" r:id="rId5"/>
    <sheet name="Viešoji tvarka" sheetId="12" state="hidden" r:id="rId6"/>
  </sheets>
  <definedNames>
    <definedName name="_xlnm.Print_Area" localSheetId="4">'2015 m. 7 pr.'!$A$1:$N$152</definedName>
    <definedName name="_xlnm.Print_Area" localSheetId="1">'7 programa'!$A$1:$N$208</definedName>
    <definedName name="_xlnm.Print_Area" localSheetId="2">'aiškinamoji lentelė'!$A$1:$W$278</definedName>
    <definedName name="_xlnm.Print_Area" localSheetId="0">'Lyginamasis variantas '!$A$1:$R$179</definedName>
    <definedName name="_xlnm.Print_Titles" localSheetId="4">'2015 m. 7 pr.'!$5:$7</definedName>
    <definedName name="_xlnm.Print_Titles" localSheetId="1">'7 programa'!$6:$8</definedName>
    <definedName name="_xlnm.Print_Titles" localSheetId="2">'aiškinamoji lentelė'!$6:$8</definedName>
    <definedName name="_xlnm.Print_Titles" localSheetId="0">'Lyginamasis variantas '!$6:$8</definedName>
  </definedNames>
  <calcPr calcId="162913" fullPrecision="0"/>
</workbook>
</file>

<file path=xl/calcChain.xml><?xml version="1.0" encoding="utf-8"?>
<calcChain xmlns="http://schemas.openxmlformats.org/spreadsheetml/2006/main">
  <c r="M277" i="10" l="1"/>
  <c r="H55" i="13"/>
  <c r="I137" i="13" l="1"/>
  <c r="J137" i="13"/>
  <c r="H137" i="13"/>
  <c r="H91" i="13" l="1"/>
  <c r="H157" i="13" l="1"/>
  <c r="K118" i="10" l="1"/>
  <c r="J194" i="13" l="1"/>
  <c r="I194" i="13"/>
  <c r="H194" i="13"/>
  <c r="J195" i="13"/>
  <c r="M216" i="10"/>
  <c r="J171" i="13"/>
  <c r="I171" i="13"/>
  <c r="H171" i="13"/>
  <c r="H158" i="13"/>
  <c r="I157" i="13"/>
  <c r="I158" i="13" s="1"/>
  <c r="J157" i="13"/>
  <c r="J158" i="13" s="1"/>
  <c r="J13" i="13"/>
  <c r="I55" i="13"/>
  <c r="I103" i="13"/>
  <c r="J103" i="13"/>
  <c r="H103" i="13"/>
  <c r="AB125" i="10"/>
  <c r="AB126" i="10"/>
  <c r="AA126" i="10" l="1"/>
  <c r="Z126" i="10"/>
  <c r="AB127" i="10"/>
  <c r="AA125" i="10"/>
  <c r="AA86" i="10"/>
  <c r="AA85" i="10"/>
  <c r="I91" i="13"/>
  <c r="J91" i="13"/>
  <c r="AB87" i="10"/>
  <c r="AA87" i="10"/>
  <c r="Z87" i="10"/>
  <c r="AB86" i="10"/>
  <c r="AB85" i="10"/>
  <c r="AB84" i="10"/>
  <c r="I67" i="13"/>
  <c r="J67" i="13"/>
  <c r="H67" i="13"/>
  <c r="Q65" i="10"/>
  <c r="AA127" i="10" l="1"/>
  <c r="AB89" i="10"/>
  <c r="J55" i="13"/>
  <c r="J207" i="13" l="1"/>
  <c r="I207" i="13"/>
  <c r="J206" i="13"/>
  <c r="I206" i="13"/>
  <c r="H206" i="13"/>
  <c r="J205" i="13"/>
  <c r="I205" i="13"/>
  <c r="J203" i="13"/>
  <c r="I203" i="13"/>
  <c r="H203" i="13"/>
  <c r="J202" i="13"/>
  <c r="I202" i="13"/>
  <c r="H202" i="13"/>
  <c r="J201" i="13"/>
  <c r="I201" i="13"/>
  <c r="H201" i="13"/>
  <c r="J200" i="13"/>
  <c r="I200" i="13"/>
  <c r="H200" i="13"/>
  <c r="J199" i="13"/>
  <c r="I199" i="13"/>
  <c r="H199" i="13"/>
  <c r="J198" i="13"/>
  <c r="I198" i="13"/>
  <c r="H198" i="13"/>
  <c r="J197" i="13"/>
  <c r="I197" i="13"/>
  <c r="H197" i="13"/>
  <c r="J196" i="13"/>
  <c r="I196" i="13"/>
  <c r="I195" i="13"/>
  <c r="H195" i="13"/>
  <c r="J184" i="13"/>
  <c r="I184" i="13"/>
  <c r="H184" i="13"/>
  <c r="J181" i="13"/>
  <c r="I181" i="13"/>
  <c r="H181" i="13"/>
  <c r="N180" i="13"/>
  <c r="M180" i="13"/>
  <c r="L180" i="13"/>
  <c r="J177" i="13"/>
  <c r="I177" i="13"/>
  <c r="H177" i="13"/>
  <c r="J175" i="13"/>
  <c r="I175" i="13"/>
  <c r="H175" i="13"/>
  <c r="J173" i="13"/>
  <c r="I173" i="13"/>
  <c r="H173" i="13"/>
  <c r="J105" i="13"/>
  <c r="J138" i="13" s="1"/>
  <c r="I105" i="13"/>
  <c r="I138" i="13" s="1"/>
  <c r="H105" i="13"/>
  <c r="H138" i="13" s="1"/>
  <c r="N97" i="13"/>
  <c r="M97" i="13"/>
  <c r="H207" i="13"/>
  <c r="H196" i="13"/>
  <c r="H205" i="13"/>
  <c r="H185" i="13" l="1"/>
  <c r="I185" i="13"/>
  <c r="I178" i="13"/>
  <c r="J185" i="13"/>
  <c r="H178" i="13"/>
  <c r="H186" i="13" s="1"/>
  <c r="J178" i="13"/>
  <c r="J204" i="13"/>
  <c r="H204" i="13"/>
  <c r="I204" i="13"/>
  <c r="H193" i="13"/>
  <c r="I193" i="13"/>
  <c r="I192" i="13" s="1"/>
  <c r="I191" i="13" s="1"/>
  <c r="I208" i="13" s="1"/>
  <c r="P48" i="10"/>
  <c r="J186" i="13" l="1"/>
  <c r="J187" i="13" s="1"/>
  <c r="I186" i="13"/>
  <c r="I187" i="13" s="1"/>
  <c r="J193" i="13"/>
  <c r="J192" i="13" l="1"/>
  <c r="J191" i="13" s="1"/>
  <c r="J208" i="13" s="1"/>
  <c r="M170" i="10"/>
  <c r="Q170" i="10"/>
  <c r="R170" i="10"/>
  <c r="K65" i="10"/>
  <c r="R222" i="10" l="1"/>
  <c r="Q222" i="10"/>
  <c r="P222" i="10"/>
  <c r="O222" i="10"/>
  <c r="N222" i="10"/>
  <c r="M222" i="10"/>
  <c r="L222" i="10"/>
  <c r="K222" i="10"/>
  <c r="L67" i="10" l="1"/>
  <c r="M273" i="10" l="1"/>
  <c r="M272" i="10"/>
  <c r="M271" i="10"/>
  <c r="R275" i="10"/>
  <c r="Q275" i="10"/>
  <c r="L275" i="10"/>
  <c r="K275" i="10"/>
  <c r="M136" i="10" l="1"/>
  <c r="M268" i="10"/>
  <c r="L270" i="10"/>
  <c r="M270" i="10"/>
  <c r="K170" i="10"/>
  <c r="N136" i="10"/>
  <c r="K136" i="10"/>
  <c r="K134" i="10"/>
  <c r="K76" i="10"/>
  <c r="L198" i="10"/>
  <c r="L216" i="10"/>
  <c r="K253" i="10"/>
  <c r="R220" i="10"/>
  <c r="Q220" i="10"/>
  <c r="P220" i="10"/>
  <c r="O220" i="10"/>
  <c r="N220" i="10"/>
  <c r="M220" i="10"/>
  <c r="L220" i="10"/>
  <c r="K220" i="10"/>
  <c r="L229" i="10" l="1"/>
  <c r="M229" i="10"/>
  <c r="N229" i="10"/>
  <c r="O229" i="10"/>
  <c r="P229" i="10"/>
  <c r="Q229" i="10"/>
  <c r="R229" i="10"/>
  <c r="K229" i="10"/>
  <c r="W225" i="10"/>
  <c r="V225" i="10"/>
  <c r="U225" i="10"/>
  <c r="O216" i="10" l="1"/>
  <c r="P216" i="10"/>
  <c r="K216" i="10"/>
  <c r="R212" i="10"/>
  <c r="R216" i="10" s="1"/>
  <c r="Q212" i="10"/>
  <c r="Q216" i="10" s="1"/>
  <c r="N177" i="10"/>
  <c r="R177" i="10" s="1"/>
  <c r="R198" i="10" s="1"/>
  <c r="K198" i="10"/>
  <c r="O198" i="10"/>
  <c r="P198" i="10"/>
  <c r="M191" i="10"/>
  <c r="M188" i="10"/>
  <c r="M187" i="10"/>
  <c r="M186" i="10"/>
  <c r="M185" i="10"/>
  <c r="M183" i="10"/>
  <c r="M181" i="10"/>
  <c r="M179" i="10"/>
  <c r="M198" i="10" l="1"/>
  <c r="N198" i="10"/>
  <c r="Q177" i="10"/>
  <c r="Q198" i="10" s="1"/>
  <c r="L127" i="10"/>
  <c r="W124" i="10"/>
  <c r="V124" i="10"/>
  <c r="M124" i="10"/>
  <c r="M123" i="10"/>
  <c r="M121" i="10"/>
  <c r="N118" i="10"/>
  <c r="Z125" i="10" l="1"/>
  <c r="Z127" i="10" s="1"/>
  <c r="M134" i="10"/>
  <c r="O116" i="10" l="1"/>
  <c r="M116" i="10"/>
  <c r="O114" i="10"/>
  <c r="M114" i="10"/>
  <c r="M102" i="10"/>
  <c r="M91" i="10"/>
  <c r="M89" i="10"/>
  <c r="M88" i="10"/>
  <c r="M87" i="10"/>
  <c r="Z85" i="10" s="1"/>
  <c r="M86" i="10"/>
  <c r="Q84" i="10"/>
  <c r="M84" i="10"/>
  <c r="M80" i="10"/>
  <c r="M78" i="10"/>
  <c r="Z86" i="10" l="1"/>
  <c r="AA84" i="10"/>
  <c r="AA89" i="10" s="1"/>
  <c r="M118" i="10"/>
  <c r="Z84" i="10"/>
  <c r="M266" i="10"/>
  <c r="M71" i="10"/>
  <c r="M69" i="10"/>
  <c r="Q69" i="10" s="1"/>
  <c r="Z89" i="10" l="1"/>
  <c r="R69" i="10"/>
  <c r="Q76" i="10"/>
  <c r="M67" i="10"/>
  <c r="M76" i="10" s="1"/>
  <c r="N65" i="10"/>
  <c r="O65" i="10"/>
  <c r="R65" i="10"/>
  <c r="K171" i="10"/>
  <c r="L64" i="10" l="1"/>
  <c r="L65" i="10" s="1"/>
  <c r="P34" i="10"/>
  <c r="M275" i="10"/>
  <c r="M16" i="10"/>
  <c r="M14" i="10"/>
  <c r="M65" i="10" l="1"/>
  <c r="M171" i="10" s="1"/>
  <c r="M263" i="10"/>
  <c r="P65" i="10"/>
  <c r="Q270" i="10"/>
  <c r="R270" i="10"/>
  <c r="K270" i="10"/>
  <c r="K269" i="10"/>
  <c r="N170" i="10"/>
  <c r="O170" i="10" l="1"/>
  <c r="P170" i="10"/>
  <c r="L76" i="10"/>
  <c r="N76" i="10"/>
  <c r="O76" i="10"/>
  <c r="P76" i="10"/>
  <c r="R76" i="10"/>
  <c r="L244" i="10" l="1"/>
  <c r="M267" i="10"/>
  <c r="M265" i="10"/>
  <c r="L277" i="10"/>
  <c r="L265" i="10"/>
  <c r="L267" i="10"/>
  <c r="L272" i="10"/>
  <c r="L273" i="10"/>
  <c r="L276" i="10"/>
  <c r="K277" i="10"/>
  <c r="L266" i="10"/>
  <c r="L268" i="10"/>
  <c r="L271" i="10"/>
  <c r="K266" i="10"/>
  <c r="M269" i="10"/>
  <c r="L269" i="10"/>
  <c r="L274" i="10" l="1"/>
  <c r="L123" i="10"/>
  <c r="L121" i="10"/>
  <c r="L134" i="10" l="1"/>
  <c r="L144" i="10"/>
  <c r="L139" i="10"/>
  <c r="L263" i="10" s="1"/>
  <c r="L170" i="10" l="1"/>
  <c r="M264" i="10"/>
  <c r="L264" i="10" l="1"/>
  <c r="L262" i="10" s="1"/>
  <c r="L261" i="10" s="1"/>
  <c r="L253" i="10"/>
  <c r="M253" i="10"/>
  <c r="M254" i="10" s="1"/>
  <c r="N253" i="10"/>
  <c r="N254" i="10" s="1"/>
  <c r="O253" i="10"/>
  <c r="O254" i="10" s="1"/>
  <c r="P253" i="10"/>
  <c r="P254" i="10" s="1"/>
  <c r="Q253" i="10"/>
  <c r="Q254" i="10" s="1"/>
  <c r="R253" i="10"/>
  <c r="R254" i="10" s="1"/>
  <c r="R277" i="10" l="1"/>
  <c r="Q277" i="10"/>
  <c r="R276" i="10"/>
  <c r="Q276" i="10"/>
  <c r="M276" i="10"/>
  <c r="R273" i="10"/>
  <c r="Q273" i="10"/>
  <c r="R272" i="10"/>
  <c r="Q272" i="10"/>
  <c r="R271" i="10"/>
  <c r="Q271" i="10"/>
  <c r="R269" i="10"/>
  <c r="Q269" i="10"/>
  <c r="R268" i="10"/>
  <c r="Q268" i="10"/>
  <c r="R267" i="10"/>
  <c r="Q267" i="10"/>
  <c r="R266" i="10"/>
  <c r="Q266" i="10"/>
  <c r="Q265" i="10"/>
  <c r="R264" i="10"/>
  <c r="Q264" i="10"/>
  <c r="R263" i="10"/>
  <c r="Q263" i="10"/>
  <c r="M274" i="10" l="1"/>
  <c r="Q262" i="10"/>
  <c r="Q261" i="10" s="1"/>
  <c r="M262" i="10"/>
  <c r="M261" i="10" s="1"/>
  <c r="R274" i="10"/>
  <c r="Q274" i="10"/>
  <c r="M278" i="10" l="1"/>
  <c r="Q278" i="10"/>
  <c r="M233" i="10"/>
  <c r="M237" i="10" s="1"/>
  <c r="L233" i="10"/>
  <c r="L236" i="10" l="1"/>
  <c r="L237" i="10" s="1"/>
  <c r="K236" i="10"/>
  <c r="N233" i="10"/>
  <c r="N237" i="10" s="1"/>
  <c r="O233" i="10"/>
  <c r="O237" i="10" s="1"/>
  <c r="P233" i="10"/>
  <c r="P237" i="10" s="1"/>
  <c r="Q233" i="10"/>
  <c r="Q237" i="10" s="1"/>
  <c r="R233" i="10"/>
  <c r="R237" i="10" s="1"/>
  <c r="M218" i="10"/>
  <c r="M223" i="10" s="1"/>
  <c r="N218" i="10"/>
  <c r="O218" i="10"/>
  <c r="O223" i="10" s="1"/>
  <c r="P218" i="10"/>
  <c r="P223" i="10" s="1"/>
  <c r="Q218" i="10"/>
  <c r="Q223" i="10" s="1"/>
  <c r="R218" i="10"/>
  <c r="R223" i="10" s="1"/>
  <c r="L218" i="10"/>
  <c r="L223" i="10" s="1"/>
  <c r="L199" i="10"/>
  <c r="M199" i="10"/>
  <c r="M255" i="10" s="1"/>
  <c r="N199" i="10"/>
  <c r="P199" i="10"/>
  <c r="Q199" i="10"/>
  <c r="R199" i="10"/>
  <c r="O199" i="10"/>
  <c r="O136" i="10"/>
  <c r="P136" i="10"/>
  <c r="Q136" i="10"/>
  <c r="R136" i="10"/>
  <c r="L136" i="10"/>
  <c r="N134" i="10"/>
  <c r="O134" i="10"/>
  <c r="P134" i="10"/>
  <c r="Q134" i="10"/>
  <c r="R134" i="10"/>
  <c r="L118" i="10" l="1"/>
  <c r="O118" i="10"/>
  <c r="P118" i="10"/>
  <c r="Q118" i="10"/>
  <c r="R118" i="10"/>
  <c r="P171" i="10" l="1"/>
  <c r="P255" i="10" s="1"/>
  <c r="P256" i="10" s="1"/>
  <c r="L171" i="10"/>
  <c r="O171" i="10"/>
  <c r="O255" i="10" s="1"/>
  <c r="O256" i="10" s="1"/>
  <c r="R171" i="10"/>
  <c r="R255" i="10" s="1"/>
  <c r="R256" i="10" s="1"/>
  <c r="N171" i="10"/>
  <c r="Q171" i="10"/>
  <c r="Q255" i="10" s="1"/>
  <c r="Q256" i="10" s="1"/>
  <c r="L254" i="10"/>
  <c r="L255" i="10" l="1"/>
  <c r="L256" i="10" s="1"/>
  <c r="K199" i="10" l="1"/>
  <c r="K218" i="10" l="1"/>
  <c r="K223" i="10" s="1"/>
  <c r="K276" i="10" l="1"/>
  <c r="K274" i="10" s="1"/>
  <c r="K273" i="10"/>
  <c r="K272" i="10"/>
  <c r="K271" i="10"/>
  <c r="K268" i="10"/>
  <c r="K267" i="10"/>
  <c r="K233" i="10" l="1"/>
  <c r="K237" i="10" s="1"/>
  <c r="K39" i="12" l="1"/>
  <c r="K38" i="12"/>
  <c r="K37" i="12"/>
  <c r="K36" i="12"/>
  <c r="K34" i="12"/>
  <c r="K33" i="12"/>
  <c r="K32" i="12"/>
  <c r="K31" i="12"/>
  <c r="K30" i="12"/>
  <c r="X20" i="12"/>
  <c r="X21" i="12" s="1"/>
  <c r="X22" i="12" s="1"/>
  <c r="X23" i="12" s="1"/>
  <c r="W20" i="12"/>
  <c r="W21" i="12" s="1"/>
  <c r="W22" i="12" s="1"/>
  <c r="W23" i="12" s="1"/>
  <c r="V20" i="12"/>
  <c r="V21" i="12" s="1"/>
  <c r="V22" i="12" s="1"/>
  <c r="V23" i="12" s="1"/>
  <c r="U20" i="12"/>
  <c r="U21" i="12" s="1"/>
  <c r="U22" i="12" s="1"/>
  <c r="U23" i="12" s="1"/>
  <c r="T20" i="12"/>
  <c r="T21" i="12" s="1"/>
  <c r="T22" i="12" s="1"/>
  <c r="T23" i="12" s="1"/>
  <c r="S20" i="12"/>
  <c r="S21" i="12" s="1"/>
  <c r="S22" i="12" s="1"/>
  <c r="S23" i="12" s="1"/>
  <c r="R20" i="12"/>
  <c r="R21" i="12" s="1"/>
  <c r="Q20" i="12"/>
  <c r="Q21" i="12" s="1"/>
  <c r="Q22" i="12" s="1"/>
  <c r="Q23" i="12" s="1"/>
  <c r="P20" i="12"/>
  <c r="P21" i="12" s="1"/>
  <c r="P22" i="12" s="1"/>
  <c r="P23" i="12" s="1"/>
  <c r="N20" i="12"/>
  <c r="N21" i="12" s="1"/>
  <c r="N22" i="12" s="1"/>
  <c r="N23" i="12" s="1"/>
  <c r="M20" i="12"/>
  <c r="M21" i="12" s="1"/>
  <c r="M22" i="12" s="1"/>
  <c r="M23" i="12" s="1"/>
  <c r="L20" i="12"/>
  <c r="L21" i="12" s="1"/>
  <c r="L22" i="12" s="1"/>
  <c r="L23" i="12" s="1"/>
  <c r="O19" i="12"/>
  <c r="O18" i="12"/>
  <c r="K17" i="12"/>
  <c r="O16" i="12"/>
  <c r="K16" i="12"/>
  <c r="O15" i="12"/>
  <c r="K15" i="12"/>
  <c r="O14" i="12"/>
  <c r="K14" i="12"/>
  <c r="K35" i="12" l="1"/>
  <c r="K29" i="12"/>
  <c r="K28" i="12" s="1"/>
  <c r="K40" i="12" s="1"/>
  <c r="O29" i="12"/>
  <c r="K20" i="12"/>
  <c r="K21" i="12" s="1"/>
  <c r="K22" i="12" s="1"/>
  <c r="K23" i="12" s="1"/>
  <c r="O39" i="12"/>
  <c r="R22" i="12"/>
  <c r="R23" i="12" s="1"/>
  <c r="S36" i="12" s="1"/>
  <c r="O30" i="12"/>
  <c r="O34" i="12"/>
  <c r="O38" i="12"/>
  <c r="S39" i="12"/>
  <c r="O20" i="12"/>
  <c r="O21" i="12" s="1"/>
  <c r="O22" i="12" s="1"/>
  <c r="O23" i="12" s="1"/>
  <c r="O33" i="12"/>
  <c r="S34" i="12"/>
  <c r="O37" i="12"/>
  <c r="O32" i="12"/>
  <c r="S33" i="12"/>
  <c r="O36" i="12"/>
  <c r="O31" i="12"/>
  <c r="S32" i="12"/>
  <c r="S38" i="12" l="1"/>
  <c r="S29" i="12"/>
  <c r="S37" i="12"/>
  <c r="S30" i="12"/>
  <c r="S31" i="12"/>
  <c r="O35" i="12"/>
  <c r="O28" i="12"/>
  <c r="O40" i="12" s="1"/>
  <c r="S35" i="12" l="1"/>
  <c r="S28" i="12"/>
  <c r="K263" i="10"/>
  <c r="S40" i="12" l="1"/>
  <c r="H39" i="11"/>
  <c r="I39" i="11"/>
  <c r="J39" i="11"/>
  <c r="H40" i="11"/>
  <c r="I40" i="11"/>
  <c r="J40" i="11"/>
  <c r="H41" i="11"/>
  <c r="I41" i="11"/>
  <c r="J41" i="11"/>
  <c r="J13" i="11"/>
  <c r="I13" i="11"/>
  <c r="H13" i="11"/>
  <c r="H83" i="11" l="1"/>
  <c r="H82" i="11"/>
  <c r="H81" i="11"/>
  <c r="H84" i="11" l="1"/>
  <c r="H76" i="11"/>
  <c r="J95" i="11" l="1"/>
  <c r="I95" i="11"/>
  <c r="H95" i="11"/>
  <c r="H96" i="11" s="1"/>
  <c r="J51" i="11" l="1"/>
  <c r="J85" i="11"/>
  <c r="I68" i="11"/>
  <c r="I121" i="11"/>
  <c r="I123" i="11" s="1"/>
  <c r="I126" i="11"/>
  <c r="I132" i="11" s="1"/>
  <c r="I133" i="11" s="1"/>
  <c r="I99" i="11"/>
  <c r="J68" i="11" l="1"/>
  <c r="J126" i="11" l="1"/>
  <c r="H126" i="11"/>
  <c r="J121" i="11"/>
  <c r="H121" i="11"/>
  <c r="H123" i="11" s="1"/>
  <c r="I119" i="11"/>
  <c r="I120" i="11" s="1"/>
  <c r="J119" i="11"/>
  <c r="J120" i="11" s="1"/>
  <c r="H119" i="11"/>
  <c r="H120" i="11" s="1"/>
  <c r="J114" i="11"/>
  <c r="I114" i="11"/>
  <c r="H114" i="11"/>
  <c r="H116" i="11" s="1"/>
  <c r="J99" i="11"/>
  <c r="H99" i="11"/>
  <c r="H93" i="11"/>
  <c r="H94" i="11" s="1"/>
  <c r="H86" i="11"/>
  <c r="I85" i="11"/>
  <c r="H85" i="11"/>
  <c r="J78" i="11"/>
  <c r="I78" i="11"/>
  <c r="I80" i="11" s="1"/>
  <c r="H78" i="11"/>
  <c r="H80" i="11" s="1"/>
  <c r="J75" i="11"/>
  <c r="I75" i="11"/>
  <c r="I77" i="11" s="1"/>
  <c r="H68" i="11"/>
  <c r="H77" i="11" s="1"/>
  <c r="J52" i="11"/>
  <c r="J67" i="11" s="1"/>
  <c r="I52" i="11"/>
  <c r="H52" i="11"/>
  <c r="I51" i="11"/>
  <c r="H51" i="11"/>
  <c r="J50" i="11"/>
  <c r="I50" i="11"/>
  <c r="J37" i="11"/>
  <c r="I37" i="11"/>
  <c r="J36" i="11"/>
  <c r="I36" i="11"/>
  <c r="J35" i="11"/>
  <c r="I35" i="11"/>
  <c r="J34" i="11"/>
  <c r="H33" i="11"/>
  <c r="H32" i="11"/>
  <c r="I31" i="11"/>
  <c r="H30" i="11"/>
  <c r="I25" i="11"/>
  <c r="H25" i="11"/>
  <c r="I67" i="11" l="1"/>
  <c r="J38" i="11"/>
  <c r="I38" i="11"/>
  <c r="H92" i="11"/>
  <c r="H50" i="11"/>
  <c r="J77" i="11"/>
  <c r="I141" i="11"/>
  <c r="J141" i="11"/>
  <c r="H141" i="11"/>
  <c r="H38" i="11"/>
  <c r="I92" i="11"/>
  <c r="I111" i="11"/>
  <c r="I112" i="11" s="1"/>
  <c r="I151" i="11"/>
  <c r="I144" i="11"/>
  <c r="M85" i="11" l="1"/>
  <c r="N85" i="11"/>
  <c r="L85" i="11"/>
  <c r="H67" i="11"/>
  <c r="J92" i="11" l="1"/>
  <c r="J145" i="11" l="1"/>
  <c r="J150" i="11" l="1"/>
  <c r="J142" i="11"/>
  <c r="J143" i="11"/>
  <c r="J144" i="11"/>
  <c r="H144" i="11"/>
  <c r="H148" i="11"/>
  <c r="H150" i="11"/>
  <c r="H151" i="11"/>
  <c r="H111" i="11"/>
  <c r="H112" i="11" s="1"/>
  <c r="J111" i="11"/>
  <c r="J112" i="11" s="1"/>
  <c r="H149" i="11"/>
  <c r="H146" i="11"/>
  <c r="H145" i="11"/>
  <c r="H143" i="11"/>
  <c r="H142" i="11"/>
  <c r="H132" i="11"/>
  <c r="H133" i="11" s="1"/>
  <c r="H117" i="11"/>
  <c r="H124" i="11" l="1"/>
  <c r="H147" i="11"/>
  <c r="H140" i="11"/>
  <c r="J151" i="11"/>
  <c r="I150" i="11"/>
  <c r="J149" i="11"/>
  <c r="I149" i="11"/>
  <c r="J148" i="11"/>
  <c r="I148" i="11"/>
  <c r="J146" i="11"/>
  <c r="I146" i="11"/>
  <c r="I145" i="11"/>
  <c r="I143" i="11"/>
  <c r="I142" i="11"/>
  <c r="J132" i="11"/>
  <c r="J133" i="11" s="1"/>
  <c r="J123" i="11"/>
  <c r="J116" i="11"/>
  <c r="J117" i="11" s="1"/>
  <c r="I116" i="11"/>
  <c r="I117" i="11" s="1"/>
  <c r="J96" i="11"/>
  <c r="I96" i="11"/>
  <c r="J94" i="11"/>
  <c r="I94" i="11"/>
  <c r="J84" i="11"/>
  <c r="I84" i="11"/>
  <c r="I147" i="11" l="1"/>
  <c r="J140" i="11"/>
  <c r="I140" i="11"/>
  <c r="I152" i="11" s="1"/>
  <c r="H97" i="11"/>
  <c r="H152" i="11"/>
  <c r="J147" i="11"/>
  <c r="J152" i="11" s="1"/>
  <c r="J124" i="11"/>
  <c r="J80" i="11"/>
  <c r="I124" i="11"/>
  <c r="I97" i="11"/>
  <c r="J97" i="11" l="1"/>
  <c r="J134" i="11" s="1"/>
  <c r="J135" i="11" s="1"/>
  <c r="H134" i="11"/>
  <c r="H135" i="11" s="1"/>
  <c r="K264" i="10" l="1"/>
  <c r="K265" i="10" l="1"/>
  <c r="K262" i="10" l="1"/>
  <c r="K261" i="10" s="1"/>
  <c r="K278" i="10" s="1"/>
  <c r="K254" i="10"/>
  <c r="I179" i="9" l="1"/>
  <c r="N176" i="9"/>
  <c r="M176" i="9"/>
  <c r="L176" i="9"/>
  <c r="J176" i="9"/>
  <c r="I174" i="9"/>
  <c r="I176" i="9" s="1"/>
  <c r="N173" i="9"/>
  <c r="M173" i="9"/>
  <c r="L173" i="9"/>
  <c r="K173" i="9"/>
  <c r="J173" i="9"/>
  <c r="I171" i="9"/>
  <c r="I173" i="9" s="1"/>
  <c r="N170" i="9"/>
  <c r="M170" i="9"/>
  <c r="L170" i="9"/>
  <c r="K170" i="9"/>
  <c r="J170" i="9"/>
  <c r="I164" i="9"/>
  <c r="I170" i="9" s="1"/>
  <c r="N161" i="9"/>
  <c r="M161" i="9"/>
  <c r="L161" i="9"/>
  <c r="K161" i="9"/>
  <c r="J161" i="9"/>
  <c r="J162" i="9" s="1"/>
  <c r="I159" i="9"/>
  <c r="I161" i="9" s="1"/>
  <c r="N158" i="9"/>
  <c r="K158" i="9"/>
  <c r="I156" i="9"/>
  <c r="N149" i="9"/>
  <c r="M149" i="9"/>
  <c r="L149" i="9"/>
  <c r="J149" i="9"/>
  <c r="I148" i="9"/>
  <c r="N147" i="9"/>
  <c r="M147" i="9"/>
  <c r="L147" i="9"/>
  <c r="K147" i="9"/>
  <c r="J147" i="9"/>
  <c r="I146" i="9"/>
  <c r="I145" i="9"/>
  <c r="N144" i="9"/>
  <c r="M144" i="9"/>
  <c r="L144" i="9"/>
  <c r="K144" i="9"/>
  <c r="J144" i="9"/>
  <c r="I143" i="9"/>
  <c r="I142" i="9"/>
  <c r="N141" i="9"/>
  <c r="M141" i="9"/>
  <c r="L141" i="9"/>
  <c r="K141" i="9"/>
  <c r="J141" i="9"/>
  <c r="I140" i="9"/>
  <c r="I139" i="9"/>
  <c r="I138" i="9"/>
  <c r="N135" i="9"/>
  <c r="M135" i="9"/>
  <c r="L135" i="9"/>
  <c r="K135" i="9"/>
  <c r="J135" i="9"/>
  <c r="I134" i="9"/>
  <c r="I133" i="9"/>
  <c r="N132" i="9"/>
  <c r="M132" i="9"/>
  <c r="L132" i="9"/>
  <c r="K132" i="9"/>
  <c r="J132" i="9"/>
  <c r="I131" i="9"/>
  <c r="I130" i="9"/>
  <c r="N129" i="9"/>
  <c r="M129" i="9"/>
  <c r="L129" i="9"/>
  <c r="K129" i="9"/>
  <c r="J129" i="9"/>
  <c r="I128" i="9"/>
  <c r="I127" i="9"/>
  <c r="N126" i="9"/>
  <c r="M126" i="9"/>
  <c r="L126" i="9"/>
  <c r="K126" i="9"/>
  <c r="J126" i="9"/>
  <c r="I125" i="9"/>
  <c r="I124" i="9"/>
  <c r="N123" i="9"/>
  <c r="M123" i="9"/>
  <c r="L123" i="9"/>
  <c r="K123" i="9"/>
  <c r="J123" i="9"/>
  <c r="I119" i="9"/>
  <c r="I123" i="9" s="1"/>
  <c r="N118" i="9"/>
  <c r="M118" i="9"/>
  <c r="L118" i="9"/>
  <c r="K118" i="9"/>
  <c r="J118" i="9"/>
  <c r="I116" i="9"/>
  <c r="I118" i="9" s="1"/>
  <c r="N115" i="9"/>
  <c r="M115" i="9"/>
  <c r="L115" i="9"/>
  <c r="K115" i="9"/>
  <c r="J115" i="9"/>
  <c r="I114" i="9"/>
  <c r="I113" i="9"/>
  <c r="I112" i="9"/>
  <c r="N109" i="9"/>
  <c r="M109" i="9"/>
  <c r="L109" i="9"/>
  <c r="K109" i="9"/>
  <c r="J109" i="9"/>
  <c r="I97" i="9"/>
  <c r="P95" i="9"/>
  <c r="I95" i="9"/>
  <c r="N94" i="9"/>
  <c r="M94" i="9"/>
  <c r="L94" i="9"/>
  <c r="K94" i="9"/>
  <c r="J94" i="9"/>
  <c r="I93" i="9"/>
  <c r="I92" i="9"/>
  <c r="I91" i="9"/>
  <c r="N90" i="9"/>
  <c r="M90" i="9"/>
  <c r="L90" i="9"/>
  <c r="K90" i="9"/>
  <c r="J90" i="9"/>
  <c r="I88" i="9"/>
  <c r="I90" i="9" s="1"/>
  <c r="N87" i="9"/>
  <c r="M87" i="9"/>
  <c r="L87" i="9"/>
  <c r="K87" i="9"/>
  <c r="I85" i="9"/>
  <c r="I84" i="9"/>
  <c r="I83" i="9"/>
  <c r="J82" i="9"/>
  <c r="J87" i="9" s="1"/>
  <c r="L81" i="9"/>
  <c r="K81" i="9"/>
  <c r="J81" i="9"/>
  <c r="I80" i="9"/>
  <c r="I79" i="9"/>
  <c r="R78" i="9"/>
  <c r="Q78" i="9"/>
  <c r="P78" i="9"/>
  <c r="N78" i="9"/>
  <c r="N81" i="9" s="1"/>
  <c r="M78" i="9"/>
  <c r="M81" i="9" s="1"/>
  <c r="I78" i="9"/>
  <c r="N77" i="9"/>
  <c r="M77" i="9"/>
  <c r="L77" i="9"/>
  <c r="K77" i="9"/>
  <c r="J77" i="9"/>
  <c r="I73" i="9"/>
  <c r="L62" i="9"/>
  <c r="K62" i="9"/>
  <c r="I62" i="9"/>
  <c r="N61" i="9"/>
  <c r="M61" i="9"/>
  <c r="K61" i="9"/>
  <c r="L46" i="9"/>
  <c r="I46" i="9" s="1"/>
  <c r="L45" i="9"/>
  <c r="J45" i="9"/>
  <c r="L44" i="9"/>
  <c r="K44" i="9"/>
  <c r="J44" i="9"/>
  <c r="I43" i="9"/>
  <c r="I42" i="9"/>
  <c r="I34" i="9"/>
  <c r="N33" i="9"/>
  <c r="N44" i="9" s="1"/>
  <c r="M33" i="9"/>
  <c r="M44" i="9" s="1"/>
  <c r="I33" i="9"/>
  <c r="N32" i="9"/>
  <c r="M32" i="9"/>
  <c r="K32" i="9"/>
  <c r="I30" i="9"/>
  <c r="I28" i="9"/>
  <c r="L13" i="9"/>
  <c r="L32" i="9" s="1"/>
  <c r="J13" i="9"/>
  <c r="I81" i="9" l="1"/>
  <c r="I109" i="9"/>
  <c r="I147" i="9"/>
  <c r="I13" i="9"/>
  <c r="I45" i="9"/>
  <c r="I61" i="9" s="1"/>
  <c r="I129" i="9"/>
  <c r="K162" i="9"/>
  <c r="I77" i="9"/>
  <c r="I44" i="9"/>
  <c r="J136" i="9"/>
  <c r="N136" i="9"/>
  <c r="I135" i="9"/>
  <c r="I144" i="9"/>
  <c r="M150" i="9"/>
  <c r="I149" i="9"/>
  <c r="J177" i="9"/>
  <c r="N177" i="9"/>
  <c r="K136" i="9"/>
  <c r="J150" i="9"/>
  <c r="N150" i="9"/>
  <c r="K177" i="9"/>
  <c r="L61" i="9"/>
  <c r="L110" i="9" s="1"/>
  <c r="L136" i="9"/>
  <c r="I132" i="9"/>
  <c r="K150" i="9"/>
  <c r="L177" i="9"/>
  <c r="I82" i="9"/>
  <c r="I87" i="9" s="1"/>
  <c r="I94" i="9"/>
  <c r="K110" i="9"/>
  <c r="I115" i="9"/>
  <c r="I126" i="9"/>
  <c r="M136" i="9"/>
  <c r="I141" i="9"/>
  <c r="L150" i="9"/>
  <c r="N162" i="9"/>
  <c r="M177" i="9"/>
  <c r="N110" i="9"/>
  <c r="I177" i="9"/>
  <c r="M110" i="9"/>
  <c r="J61" i="9"/>
  <c r="K178" i="9" l="1"/>
  <c r="K179" i="9" s="1"/>
  <c r="I136" i="9"/>
  <c r="I150" i="9"/>
  <c r="N178" i="9"/>
  <c r="N179" i="9" s="1"/>
  <c r="I30" i="6"/>
  <c r="J44" i="6" l="1"/>
  <c r="I43" i="6" l="1"/>
  <c r="M32" i="6" l="1"/>
  <c r="I95" i="6"/>
  <c r="J45" i="6" l="1"/>
  <c r="L45" i="6"/>
  <c r="J13" i="6"/>
  <c r="L13" i="6"/>
  <c r="P95" i="6" l="1"/>
  <c r="J77" i="6"/>
  <c r="I73" i="6"/>
  <c r="I28" i="6"/>
  <c r="J82" i="6" l="1"/>
  <c r="J109" i="6"/>
  <c r="K109" i="6"/>
  <c r="L109" i="6"/>
  <c r="I97" i="6"/>
  <c r="K158" i="6" l="1"/>
  <c r="N158" i="6"/>
  <c r="I13" i="6"/>
  <c r="M109" i="6"/>
  <c r="N109" i="6"/>
  <c r="I109" i="6"/>
  <c r="N77" i="6"/>
  <c r="M77" i="6"/>
  <c r="I62" i="6"/>
  <c r="I77" i="6" s="1"/>
  <c r="K62" i="6"/>
  <c r="L62" i="6"/>
  <c r="J61" i="6"/>
  <c r="K61" i="6"/>
  <c r="M61" i="6"/>
  <c r="N61" i="6"/>
  <c r="L46" i="6"/>
  <c r="I46" i="6" s="1"/>
  <c r="I45" i="6"/>
  <c r="K44" i="6"/>
  <c r="L44" i="6"/>
  <c r="I34" i="6"/>
  <c r="I42" i="6"/>
  <c r="N33" i="6"/>
  <c r="N44" i="6" s="1"/>
  <c r="M33" i="6"/>
  <c r="M44" i="6" s="1"/>
  <c r="I33" i="6"/>
  <c r="N32" i="6"/>
  <c r="K32" i="6"/>
  <c r="L32" i="6"/>
  <c r="I44" i="6" l="1"/>
  <c r="I61" i="6"/>
  <c r="L61" i="6"/>
  <c r="N176" i="6"/>
  <c r="M176" i="6"/>
  <c r="L176" i="6"/>
  <c r="J176" i="6"/>
  <c r="I174" i="6"/>
  <c r="I176" i="6" s="1"/>
  <c r="N173" i="6"/>
  <c r="M173" i="6"/>
  <c r="L173" i="6"/>
  <c r="K173" i="6"/>
  <c r="J173" i="6"/>
  <c r="I171" i="6"/>
  <c r="I173" i="6" s="1"/>
  <c r="N170" i="6"/>
  <c r="M170" i="6"/>
  <c r="L170" i="6"/>
  <c r="K170" i="6"/>
  <c r="J170" i="6"/>
  <c r="I164" i="6"/>
  <c r="N161" i="6"/>
  <c r="N162" i="6" s="1"/>
  <c r="M161" i="6"/>
  <c r="L161" i="6"/>
  <c r="K161" i="6"/>
  <c r="K162" i="6" s="1"/>
  <c r="J161" i="6"/>
  <c r="J162" i="6" s="1"/>
  <c r="I159" i="6"/>
  <c r="I161" i="6" s="1"/>
  <c r="I156" i="6"/>
  <c r="N149" i="6"/>
  <c r="M149" i="6"/>
  <c r="L149" i="6"/>
  <c r="J149" i="6"/>
  <c r="I148" i="6"/>
  <c r="N147" i="6"/>
  <c r="M147" i="6"/>
  <c r="L147" i="6"/>
  <c r="K147" i="6"/>
  <c r="J147" i="6"/>
  <c r="I146" i="6"/>
  <c r="I145" i="6"/>
  <c r="N144" i="6"/>
  <c r="M144" i="6"/>
  <c r="L144" i="6"/>
  <c r="K144" i="6"/>
  <c r="J144" i="6"/>
  <c r="I143" i="6"/>
  <c r="I142" i="6"/>
  <c r="N141" i="6"/>
  <c r="M141" i="6"/>
  <c r="L141" i="6"/>
  <c r="K141" i="6"/>
  <c r="J141" i="6"/>
  <c r="I140" i="6"/>
  <c r="I139" i="6"/>
  <c r="I138" i="6"/>
  <c r="N135" i="6"/>
  <c r="M135" i="6"/>
  <c r="L135" i="6"/>
  <c r="K135" i="6"/>
  <c r="J135" i="6"/>
  <c r="I134" i="6"/>
  <c r="I133" i="6"/>
  <c r="N132" i="6"/>
  <c r="M132" i="6"/>
  <c r="L132" i="6"/>
  <c r="K132" i="6"/>
  <c r="J132" i="6"/>
  <c r="I131" i="6"/>
  <c r="I130" i="6"/>
  <c r="N129" i="6"/>
  <c r="M129" i="6"/>
  <c r="L129" i="6"/>
  <c r="K129" i="6"/>
  <c r="J129" i="6"/>
  <c r="I128" i="6"/>
  <c r="I127" i="6"/>
  <c r="N126" i="6"/>
  <c r="M126" i="6"/>
  <c r="L126" i="6"/>
  <c r="K126" i="6"/>
  <c r="J126" i="6"/>
  <c r="I125" i="6"/>
  <c r="I124" i="6"/>
  <c r="N123" i="6"/>
  <c r="M123" i="6"/>
  <c r="L123" i="6"/>
  <c r="K123" i="6"/>
  <c r="J123" i="6"/>
  <c r="I119" i="6"/>
  <c r="N118" i="6"/>
  <c r="M118" i="6"/>
  <c r="L118" i="6"/>
  <c r="K118" i="6"/>
  <c r="J118" i="6"/>
  <c r="I116" i="6"/>
  <c r="N115" i="6"/>
  <c r="M115" i="6"/>
  <c r="L115" i="6"/>
  <c r="K115" i="6"/>
  <c r="J115" i="6"/>
  <c r="I114" i="6"/>
  <c r="I113" i="6"/>
  <c r="I112" i="6"/>
  <c r="N94" i="6"/>
  <c r="M94" i="6"/>
  <c r="L94" i="6"/>
  <c r="K94" i="6"/>
  <c r="J94" i="6"/>
  <c r="I93" i="6"/>
  <c r="I92" i="6"/>
  <c r="I91" i="6"/>
  <c r="N90" i="6"/>
  <c r="M90" i="6"/>
  <c r="L90" i="6"/>
  <c r="K90" i="6"/>
  <c r="J90" i="6"/>
  <c r="I88" i="6"/>
  <c r="N87" i="6"/>
  <c r="M87" i="6"/>
  <c r="L87" i="6"/>
  <c r="K87" i="6"/>
  <c r="J87" i="6"/>
  <c r="I85" i="6"/>
  <c r="I84" i="6"/>
  <c r="I83" i="6"/>
  <c r="I82" i="6"/>
  <c r="L81" i="6"/>
  <c r="K81" i="6"/>
  <c r="J81" i="6"/>
  <c r="I80" i="6"/>
  <c r="I79" i="6"/>
  <c r="R78" i="6"/>
  <c r="Q78" i="6"/>
  <c r="P78" i="6"/>
  <c r="N78" i="6"/>
  <c r="M78" i="6"/>
  <c r="I78" i="6"/>
  <c r="L77" i="6"/>
  <c r="K77" i="6"/>
  <c r="M150" i="6" l="1"/>
  <c r="I87" i="6"/>
  <c r="J136" i="6"/>
  <c r="M81" i="6"/>
  <c r="M110" i="6" s="1"/>
  <c r="L110" i="6"/>
  <c r="K110" i="6"/>
  <c r="I81" i="6"/>
  <c r="I132" i="6"/>
  <c r="I118" i="6"/>
  <c r="I147" i="6"/>
  <c r="I90" i="6"/>
  <c r="I115" i="6"/>
  <c r="M136" i="6"/>
  <c r="J150" i="6"/>
  <c r="N150" i="6"/>
  <c r="L150" i="6"/>
  <c r="N177" i="6"/>
  <c r="I94" i="6"/>
  <c r="N136" i="6"/>
  <c r="K177" i="6"/>
  <c r="I126" i="6"/>
  <c r="I141" i="6"/>
  <c r="I144" i="6"/>
  <c r="K150" i="6"/>
  <c r="M177" i="6"/>
  <c r="I123" i="6"/>
  <c r="I129" i="6"/>
  <c r="L136" i="6"/>
  <c r="L177" i="6"/>
  <c r="N81" i="6"/>
  <c r="N110" i="6" s="1"/>
  <c r="I135" i="6"/>
  <c r="I149" i="6"/>
  <c r="I170" i="6"/>
  <c r="I177" i="6" s="1"/>
  <c r="K136" i="6"/>
  <c r="J177" i="6"/>
  <c r="I136" i="6" l="1"/>
  <c r="N178" i="6"/>
  <c r="N179" i="6" s="1"/>
  <c r="K178" i="6"/>
  <c r="K179" i="6" s="1"/>
  <c r="I150" i="6"/>
  <c r="I179" i="6" l="1"/>
  <c r="I134" i="11"/>
  <c r="I135" i="11" s="1"/>
  <c r="K255" i="10" l="1"/>
  <c r="K256" i="10" l="1"/>
  <c r="R265" i="10"/>
  <c r="R262" i="10" s="1"/>
  <c r="R261" i="10" s="1"/>
  <c r="R278" i="10" l="1"/>
  <c r="L278" i="10"/>
  <c r="M256" i="10"/>
  <c r="H187" i="13"/>
  <c r="H192" i="13"/>
  <c r="H191" i="13" s="1"/>
  <c r="H208" i="13" s="1"/>
  <c r="N216" i="10"/>
  <c r="N223" i="10" s="1"/>
  <c r="N255" i="10" s="1"/>
  <c r="N256" i="10" s="1"/>
</calcChain>
</file>

<file path=xl/comments1.xml><?xml version="1.0" encoding="utf-8"?>
<comments xmlns="http://schemas.openxmlformats.org/spreadsheetml/2006/main">
  <authors>
    <author>Audra Cepiene</author>
  </authors>
  <commentList>
    <comment ref="E100"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List>
</comments>
</file>

<file path=xl/comments2.xml><?xml version="1.0" encoding="utf-8"?>
<comments xmlns="http://schemas.openxmlformats.org/spreadsheetml/2006/main">
  <authors>
    <author>Audra Cepiene</author>
    <author>Indre Buteniene</author>
  </authors>
  <commentList>
    <comment ref="E17"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17" authorId="0" shapeId="0">
      <text>
        <r>
          <rPr>
            <sz val="9"/>
            <color indexed="81"/>
            <rFont val="Tahoma"/>
            <family val="2"/>
            <charset val="186"/>
          </rPr>
          <t xml:space="preserve">Eksplotuojami 4 fontanai: "Taravos Anikė"; "Laivelis" Meridiano skvere. Nuo 2016 m. - Debreceno aikštės fontanas, 2017 m. Pempininkų aikštės fontanas
</t>
        </r>
      </text>
    </comment>
    <comment ref="K24" authorId="0" shapeId="0">
      <text>
        <r>
          <rPr>
            <sz val="9"/>
            <color indexed="81"/>
            <rFont val="Tahoma"/>
            <family val="2"/>
            <charset val="186"/>
          </rPr>
          <t xml:space="preserve">Iš viso mieste yra 1,1 tūkst. vnt. suoliukų
</t>
        </r>
      </text>
    </comment>
    <comment ref="K26" authorId="0" shapeId="0">
      <text>
        <r>
          <rPr>
            <sz val="9"/>
            <color indexed="81"/>
            <rFont val="Tahoma"/>
            <family val="2"/>
            <charset val="186"/>
          </rPr>
          <t>Iš viso mieste yra 1,5 tūkst. vnt. šiukšliadėžių</t>
        </r>
      </text>
    </comment>
    <comment ref="E32" authorId="0" shape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D36" authorId="0" shapeId="0">
      <text>
        <r>
          <rPr>
            <sz val="9"/>
            <color indexed="81"/>
            <rFont val="Tahoma"/>
            <family val="2"/>
            <charset val="186"/>
          </rPr>
          <t>Skvero tarp Puodžių ir Bokštų g. Klaipėdoje su Vydūno paminklu atviras architektūrinis konkursas
Konkursinis projektas devizu “Versmė“, laimėjęs pirmąją vietą
Skvero sutvarkymo dalis:
Darbai: Kaina EUR
ARDYMO DARBAI (senų šaligatvių demontavimas, statybinių šiukšlių
išvežimas, medžių kirtimas ir kelmų šalinimas) 10000
DANGŲ ĮRENGIMAS (pagrindų statyba, bortai, trinkelės, ir kt.)  50000
ŽELDYNAI (Želdyno tvarkymas, vejos įrengimas, gėlynai)  13000
MAŽOJI ARCHITEKTŪRA (Šviestuvai, suolai, šiukšlių dėžės, kt.)  32000
FONTANAS (Įrenginys, montavimo darbai, patalpos kontroleriui, siurbliui
ir kt. įrengimas) 17000
STATYBOS DARBAI 20000
VANDENTIEKIO TINKLAI (grunto kasimas, užpylimas, vamzdžių
įrengimas, šulinio įrengimas, dangčiai) 4000
LIETAUS NUOTEKŲ TINKLAI (žemės darbai, vamzdžių įrengimas, šulinio
įrengimas, latakų su kaliojo ketaus grotelėmis įrengimas) 30000
LAUKO ELETROS IR APŠVIETIMO TINKLAI  12000
ARCHEOLOGINIAI TYRIMAI  10000
Iš viso 198000
Projekto dalis, prašoma finansuoti iš respublikinės programos:
PROJEKTAVIMO DARBAI 16000
MENINĖ DALIS (Bronzinė skulptūra, granito plokštės, kt.) 121000
Bendra viso projekto kain</t>
        </r>
        <r>
          <rPr>
            <b/>
            <sz val="9"/>
            <color indexed="81"/>
            <rFont val="Tahoma"/>
            <family val="2"/>
            <charset val="186"/>
          </rPr>
          <t>a 335000 Eurų</t>
        </r>
        <r>
          <rPr>
            <sz val="9"/>
            <color indexed="81"/>
            <rFont val="Tahoma"/>
            <family val="2"/>
            <charset val="186"/>
          </rPr>
          <t xml:space="preserve">
Skaičiavimus atliko konkursinio pasiūlymo autoriai.
</t>
        </r>
      </text>
    </comment>
    <comment ref="E36"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36" authorId="0" shapeId="0">
      <text>
        <r>
          <rPr>
            <sz val="9"/>
            <color indexed="81"/>
            <rFont val="Tahoma"/>
            <family val="2"/>
            <charset val="186"/>
          </rPr>
          <t>Finansavimas iš Respublikinės programos</t>
        </r>
      </text>
    </comment>
    <comment ref="G39" authorId="0" shapeId="0">
      <text>
        <r>
          <rPr>
            <sz val="9"/>
            <color indexed="81"/>
            <rFont val="Tahoma"/>
            <family val="2"/>
            <charset val="186"/>
          </rPr>
          <t>Visuomenininkai</t>
        </r>
      </text>
    </comment>
    <comment ref="E4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3"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E71"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D81"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E81"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K88" authorId="0" shapeId="0">
      <text>
        <r>
          <rPr>
            <sz val="9"/>
            <color indexed="81"/>
            <rFont val="Tahoma"/>
            <family val="2"/>
            <charset val="186"/>
          </rPr>
          <t>Viešieji tualetai: Stovyklų g. 4 –21,79 m2; Kopų g. 1A (I Melnragė) – 87,25 m2;</t>
        </r>
      </text>
    </comment>
    <comment ref="E92"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G98" authorId="1" shapeId="0">
      <text>
        <r>
          <rPr>
            <sz val="9"/>
            <color indexed="81"/>
            <rFont val="Tahoma"/>
            <family val="2"/>
            <charset val="186"/>
          </rPr>
          <t>Įstaiga turi imti paskolą ir vykdyti projektą, jei jis ekonomiškai naudingas</t>
        </r>
      </text>
    </comment>
    <comment ref="E109"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2"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1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5"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28"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3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134" authorId="0" shapeId="0">
      <text>
        <r>
          <rPr>
            <b/>
            <sz val="9"/>
            <color indexed="81"/>
            <rFont val="Tahoma"/>
            <family val="2"/>
            <charset val="186"/>
          </rPr>
          <t>2016-09-23 SPG STR3-12</t>
        </r>
        <r>
          <rPr>
            <sz val="9"/>
            <color indexed="81"/>
            <rFont val="Tahoma"/>
            <family val="2"/>
            <charset val="186"/>
          </rPr>
          <t xml:space="preserve">
Remiantis 2014 m. liepos 11 d.  LR Vidaus reikalų ministro įsakymu Nr. 1V-480 patvirtintomis Integruotų teritorijų vystymo programų rengimo ir įgyvendinimo gairėmis, ne vėliau kaip 2 metus po ITI programos patvirtinimo būtina sukurti interaktyvaus tikslinės teritorijos ir susietų teritorijų ribų žemėlapio aplikaciją, prieinamą savivaldybės interneto svetainėje. </t>
        </r>
      </text>
    </comment>
    <comment ref="D170" authorId="0" shapeId="0">
      <text>
        <r>
          <rPr>
            <sz val="9"/>
            <color indexed="81"/>
            <rFont val="Tahoma"/>
            <family val="2"/>
            <charset val="186"/>
          </rPr>
          <t>Šiame pastate yra 103 butai, iš kurių 97 butai priklauso Savivaldybei.</t>
        </r>
      </text>
    </comment>
    <comment ref="D174" authorId="0" shapeId="0">
      <text>
        <r>
          <rPr>
            <sz val="9"/>
            <color indexed="81"/>
            <rFont val="Tahoma"/>
            <family val="2"/>
            <charset val="186"/>
          </rPr>
          <t xml:space="preserve">Šalys susitaria įgyvendinti vietos projektą „Gyvenkime saugiai“ (toliau – Projektas), vykdomą 2017–2020 m.
Sutarties sąlygų ir Lietuvos Respublikos teisės aktų reikalavimų;2. Šios Sutarties objektas – abipusis Šalių darbas, vykdyti gyventojų švietimą priešgaisrinės saugos srityje, siekiant sumažinti gaisrų ir žūstančių žmonių skaičių juose.
3. Projekto tikslas – užtikrinti Klaipėdos miesto gyventojų švietimą priešgaisrinės saugos srityje bei priešgaisrinę saugą  gyvenamame sektoriuje ir aplinkoje, siekiant sumažinti gaisrų ir žūstančių žmonių skaičių juose. 
</t>
        </r>
      </text>
    </comment>
    <comment ref="D176" authorId="0" shapeId="0">
      <text>
        <r>
          <rPr>
            <sz val="9"/>
            <color indexed="81"/>
            <rFont val="Tahoma"/>
            <family val="2"/>
            <charset val="186"/>
          </rPr>
          <t xml:space="preserve">I etape Klaipėdos apskrities vyriausiojo policijos komisariato Viešosios tvarkos tarnybos Prevencijos skyriaus specialistai parengia metodines rekomendacijas turto apsaugos tema: gyventojams – atmintinės su patarimais, kaip apsaugoti savo turtą nuo vagysčių, informacija apie naujausias apsaugos technologijas, gaminami lipdukai „Registruotas policijoje“, kurie bus klijuojami ant pažymėtų ir įregistruotų policijoje daiktų. Įsigyti navigacinę sistemą  dviračių vagysčių prevencijai.
Siekiant didinti visuomenės informuotumą tapatybės apsaugos klausimais bus sukurta ir išleista informacinė medžiaga – užrašinės moksleiviams, užrašinės studentams, prezentacija mokytojams.
Šiame etape bus siekiama skatinti gyventojus aktyviai dalyvauti daiktų žymėjimo akcijose, susitikimuose, kuriant saugią Klaipėdos miesto aplinką, ugdyti piliečių teisinę savimonę, mažinti turtinių nusikalstamų veikų ir kitų teisės pažeidimų skaičių, pagerinti turtinių nusikaltimų prevencijos ir kontrolės priemonių valdymą.  
Pirmasis etapas užbaigiamas iki 2017-03-30
</t>
        </r>
      </text>
    </comment>
    <comment ref="D182"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List>
</comments>
</file>

<file path=xl/comments3.xml><?xml version="1.0" encoding="utf-8"?>
<comments xmlns="http://schemas.openxmlformats.org/spreadsheetml/2006/main">
  <authors>
    <author>Audra Cepiene</author>
    <author>Indre Buteniene</author>
  </authors>
  <commentList>
    <comment ref="F16"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S16" authorId="0" shapeId="0">
      <text>
        <r>
          <rPr>
            <sz val="9"/>
            <color indexed="81"/>
            <rFont val="Tahoma"/>
            <family val="2"/>
            <charset val="186"/>
          </rPr>
          <t xml:space="preserve">Eksplotuojami 4 fontanai: "Taravos Anikė"; "Laivelis" Meridiano skvere. Nuo 2016 m. - Debreceno aikštės fontanas, 2017 m. Pempininkų aikštės fontanas
</t>
        </r>
      </text>
    </comment>
    <comment ref="S23" authorId="0" shapeId="0">
      <text>
        <r>
          <rPr>
            <sz val="9"/>
            <color indexed="81"/>
            <rFont val="Tahoma"/>
            <family val="2"/>
            <charset val="186"/>
          </rPr>
          <t xml:space="preserve">Iš viso mieste yra 1,1 tūkst. vnt. suoliukų
</t>
        </r>
      </text>
    </comment>
    <comment ref="S25" authorId="0" shapeId="0">
      <text>
        <r>
          <rPr>
            <sz val="9"/>
            <color indexed="81"/>
            <rFont val="Tahoma"/>
            <family val="2"/>
            <charset val="186"/>
          </rPr>
          <t>Iš viso mieste yra 1,5 tūkst. vnt. šiukšliadėžių</t>
        </r>
      </text>
    </comment>
    <comment ref="S30" authorId="0" shapeId="0">
      <text>
        <r>
          <rPr>
            <sz val="9"/>
            <color indexed="81"/>
            <rFont val="Tahoma"/>
            <family val="2"/>
            <charset val="186"/>
          </rPr>
          <t xml:space="preserve"> Įtraukta e. paštu 2016-10-25, be pagrindimo
</t>
        </r>
      </text>
    </comment>
    <comment ref="F32" authorId="0" shape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E36" authorId="0" shapeId="0">
      <text>
        <r>
          <rPr>
            <sz val="9"/>
            <color indexed="81"/>
            <rFont val="Tahoma"/>
            <family val="2"/>
            <charset val="186"/>
          </rPr>
          <t>Skvero tarp Puodžių ir Bokštų g. Klaipėdoje su Vydūno paminklu atviras architektūrinis konkursas
Konkursinis projektas devizu “Versmė“, laimėjęs pirmąją vietą
Skvero sutvarkymo dalis:
Darbai: Kaina EUR
ARDYMO DARBAI (senų šaligatvių demontavimas, statybinių šiukšlių
išvežimas, medžių kirtimas ir kelmų šalinimas) 10000
DANGŲ ĮRENGIMAS (pagrindų statyba, bortai, trinkelės, ir kt.)  50000
ŽELDYNAI (Želdyno tvarkymas, vejos įrengimas, gėlynai)  13000
MAŽOJI ARCHITEKTŪRA (Šviestuvai, suolai, šiukšlių dėžės, kt.)  32000
FONTANAS (Įrenginys, montavimo darbai, patalpos kontroleriui, siurbliui
ir kt. įrengimas) 17000
STATYBOS DARBAI 20000
VANDENTIEKIO TINKLAI (grunto kasimas, užpylimas, vamzdžių
įrengimas, šulinio įrengimas, dangčiai) 4000
LIETAUS NUOTEKŲ TINKLAI (žemės darbai, vamzdžių įrengimas, šulinio
įrengimas, latakų su kaliojo ketaus grotelėmis įrengimas) 30000
LAUKO ELETROS IR APŠVIETIMO TINKLAI  12000
ARCHEOLOGINIAI TYRIMAI  10000
Iš viso 198000
Projekto dalis, prašoma finansuoti iš respublikinės programos:
PROJEKTAVIMO DARBAI 16000
MENINĖ DALIS (Bronzinė skulptūra, granito plokštės, kt.) 121000
Bendra viso projekto kain</t>
        </r>
        <r>
          <rPr>
            <b/>
            <sz val="9"/>
            <color indexed="81"/>
            <rFont val="Tahoma"/>
            <family val="2"/>
            <charset val="186"/>
          </rPr>
          <t>a 335000 Eurų</t>
        </r>
        <r>
          <rPr>
            <sz val="9"/>
            <color indexed="81"/>
            <rFont val="Tahoma"/>
            <family val="2"/>
            <charset val="186"/>
          </rPr>
          <t xml:space="preserve">
Skaičiavimus atliko konkursinio pasiūlymo autoriai.
</t>
        </r>
      </text>
    </comment>
    <comment ref="F36"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36" authorId="0" shapeId="0">
      <text>
        <r>
          <rPr>
            <sz val="9"/>
            <color indexed="81"/>
            <rFont val="Tahoma"/>
            <family val="2"/>
            <charset val="186"/>
          </rPr>
          <t>Finansavimas iš Respublikinės programos</t>
        </r>
      </text>
    </comment>
    <comment ref="J39" authorId="0" shapeId="0">
      <text>
        <r>
          <rPr>
            <sz val="9"/>
            <color indexed="81"/>
            <rFont val="Tahoma"/>
            <family val="2"/>
            <charset val="186"/>
          </rPr>
          <t>Visuomenininkai</t>
        </r>
      </text>
    </comment>
    <comment ref="F43"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J46" authorId="1" shapeId="0">
      <text>
        <r>
          <rPr>
            <b/>
            <sz val="9"/>
            <color indexed="81"/>
            <rFont val="Tahoma"/>
            <family val="2"/>
            <charset val="186"/>
          </rPr>
          <t>Indre Buteniene:</t>
        </r>
        <r>
          <rPr>
            <sz val="9"/>
            <color indexed="81"/>
            <rFont val="Tahoma"/>
            <family val="2"/>
            <charset val="186"/>
          </rPr>
          <t xml:space="preserve">
VšĮ PSPC prisidėjimas</t>
        </r>
      </text>
    </comment>
    <comment ref="F48"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54"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I57" authorId="1" shapeId="0">
      <text>
        <r>
          <rPr>
            <sz val="9"/>
            <color indexed="81"/>
            <rFont val="Tahoma"/>
            <family val="2"/>
            <charset val="186"/>
          </rPr>
          <t>Vykdys vienuolynas, asignavimai - savivaldybės biudžete</t>
        </r>
      </text>
    </comment>
    <comment ref="F5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7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94"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94"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S99" authorId="0" shapeId="0">
      <text>
        <r>
          <rPr>
            <sz val="9"/>
            <color indexed="81"/>
            <rFont val="Tahoma"/>
            <family val="2"/>
            <charset val="186"/>
          </rPr>
          <t xml:space="preserve">Techninis projektas parengtas
</t>
        </r>
      </text>
    </comment>
    <comment ref="M107" authorId="0" shapeId="0">
      <text>
        <r>
          <rPr>
            <sz val="9"/>
            <color indexed="81"/>
            <rFont val="Tahoma"/>
            <family val="2"/>
            <charset val="186"/>
          </rPr>
          <t>koreguota suma telefonu 2016-11-04</t>
        </r>
      </text>
    </comment>
    <comment ref="S107" authorId="0" shapeId="0">
      <text>
        <r>
          <rPr>
            <sz val="9"/>
            <color indexed="81"/>
            <rFont val="Tahoma"/>
            <family val="2"/>
            <charset val="186"/>
          </rPr>
          <t>priekaba prie traktoriaus</t>
        </r>
      </text>
    </comment>
    <comment ref="S113" authorId="0" shapeId="0">
      <text>
        <r>
          <rPr>
            <sz val="9"/>
            <color indexed="81"/>
            <rFont val="Tahoma"/>
            <family val="2"/>
            <charset val="186"/>
          </rPr>
          <t>Viešieji tualetai: Stovyklų g. 4 –21,79 m2; Kopų g. 1A (I Melnragė) – 87,25 m2;</t>
        </r>
      </text>
    </comment>
    <comment ref="F119"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J125" authorId="1" shapeId="0">
      <text>
        <r>
          <rPr>
            <b/>
            <sz val="9"/>
            <color indexed="81"/>
            <rFont val="Tahoma"/>
            <family val="2"/>
            <charset val="186"/>
          </rPr>
          <t>Indre Buteniene:</t>
        </r>
        <r>
          <rPr>
            <sz val="9"/>
            <color indexed="81"/>
            <rFont val="Tahoma"/>
            <family val="2"/>
            <charset val="186"/>
          </rPr>
          <t xml:space="preserve">
Įstaiga turi imti paskolą ir vykdyti projektą, jei jis ekonomiškai naudingas</t>
        </r>
      </text>
    </comment>
    <comment ref="F139"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44"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48"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5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5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58"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F16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64"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7" authorId="0" shapeId="0">
      <text>
        <r>
          <rPr>
            <b/>
            <sz val="9"/>
            <color indexed="81"/>
            <rFont val="Tahoma"/>
            <family val="2"/>
            <charset val="186"/>
          </rPr>
          <t>2016-09-23 SPG STR3-12</t>
        </r>
        <r>
          <rPr>
            <sz val="9"/>
            <color indexed="81"/>
            <rFont val="Tahoma"/>
            <family val="2"/>
            <charset val="186"/>
          </rPr>
          <t xml:space="preserve">
Remiantis 2014 m. liepos 11 d.  LR Vidaus reikalų ministro įsakymu Nr. 1V-480 patvirtintomis Integruotų teritorijų vystymo programų rengimo ir įgyvendinimo gairėmis, ne vėliau kaip 2 metus po ITI programos patvirtinimo būtina sukurti interaktyvaus tikslinės teritorijos ir susietų teritorijų ribų žemėlapio aplikaciją, prieinamą savivaldybės interneto svetainėje. </t>
        </r>
      </text>
    </comment>
    <comment ref="L203" authorId="0" shapeId="0">
      <text>
        <r>
          <rPr>
            <sz val="9"/>
            <color indexed="81"/>
            <rFont val="Tahoma"/>
            <family val="2"/>
            <charset val="186"/>
          </rPr>
          <t>persikelia lėšos į 2017</t>
        </r>
      </text>
    </comment>
    <comment ref="S212" authorId="0" shapeId="0">
      <text>
        <r>
          <rPr>
            <sz val="9"/>
            <color indexed="81"/>
            <rFont val="Tahoma"/>
            <family val="2"/>
            <charset val="186"/>
          </rPr>
          <t xml:space="preserve">362 DNSB ir 33 jungtinės veiklos sutartimi įgalioti asmenys
</t>
        </r>
      </text>
    </comment>
    <comment ref="E214" authorId="0" shapeId="0">
      <text>
        <r>
          <rPr>
            <sz val="9"/>
            <color indexed="81"/>
            <rFont val="Tahoma"/>
            <family val="2"/>
            <charset val="186"/>
          </rPr>
          <t>Šiame pastate yra 103 butai, iš kurių 97 butai priklauso Savivaldybei.</t>
        </r>
      </text>
    </comment>
    <comment ref="S214" authorId="0" shapeId="0">
      <text>
        <r>
          <rPr>
            <sz val="9"/>
            <color indexed="81"/>
            <rFont val="Tahoma"/>
            <family val="2"/>
            <charset val="186"/>
          </rPr>
          <t xml:space="preserve">Vykdant Miesto plėtros ir strateginio planavimo komiteto rekomendaciją organizuoti daugiabučio namo Vingio g. 35 atnaujinimo (modernizavimo) procesą, 2016-07-15 buvo parengtas šio namo atnaujinimo (modernizavimo) investicijų planas. Aplinkos ministrui paskelbus kvietimus teikti paraiškas VšĮ Būsto energijos taupymo agentūrai (toliau-BETA), Savivaldybės administracija iki 2017-02-20 dienos turi pateikti Vingio g. 35 investicijų planą derinimui, sekantis žingsnis būtų techninio darbo projekto rengimas. Parengtame investicijų plane  numatyta:1. projekto parengimo išlaidos - 89 825,0 Eur;
                    2. statybos techninės priežiūros išlaidos – 35 930,0 Eur;
                    3. Projekto įgyvendinimo administravimo išlaidų – 9 273,0 Eur;
                    Iš viso: 89 825+35 930+9 273=135 028,0 Eur.
Vadovaujantis  Valstybės paramos daugiabučiams namams atnaujinti (modernizuoti) taisyklėmis, nuo 2017 m. sausio 1 d. už projekto parengimą, statybos techninę priežiūrą ir  projekto administravimą 50 procentų šių išlaidų apmoka arba kompensuoja BETA. Vadinasi, Savivaldybės dalis būtų  nemažiau 135 028,0 : 2=67 514,0  Eur, preliminariai šiai priemonei planuojame 70000,0 Eur.
</t>
        </r>
      </text>
    </comment>
    <comment ref="S217" authorId="0" shapeId="0">
      <text>
        <r>
          <rPr>
            <sz val="9"/>
            <color indexed="81"/>
            <rFont val="Tahoma"/>
            <family val="2"/>
            <charset val="186"/>
          </rPr>
          <t xml:space="preserve">
Iš viso iki 2018 m. reiks 10550 Eur</t>
        </r>
      </text>
    </comment>
    <comment ref="E219" authorId="0" shapeId="0">
      <text>
        <r>
          <rPr>
            <sz val="9"/>
            <color indexed="81"/>
            <rFont val="Tahoma"/>
            <family val="2"/>
            <charset val="186"/>
          </rPr>
          <t xml:space="preserve">Šalys susitaria įgyvendinti vietos projektą „Gyvenkime saugiai“ (toliau – Projektas), vykdomą 2017–2020 m.
Sutarties sąlygų ir Lietuvos Respublikos teisės aktų reikalavimų;2. Šios Sutarties objektas – abipusis Šalių darbas, vykdyti gyventojų švietimą priešgaisrinės saugos srityje, siekiant sumažinti gaisrų ir žūstančių žmonių skaičių juose.
3. Projekto tikslas – užtikrinti Klaipėdos miesto gyventojų švietimą priešgaisrinės saugos srityje bei priešgaisrinę saugą  gyvenamame sektoriuje ir aplinkoje, siekiant sumažinti gaisrų ir žūstančių žmonių skaičių juose. 
</t>
        </r>
      </text>
    </comment>
    <comment ref="S219" authorId="0" shapeId="0">
      <text>
        <r>
          <rPr>
            <sz val="9"/>
            <color indexed="81"/>
            <rFont val="Tahoma"/>
            <family val="2"/>
            <charset val="186"/>
          </rPr>
          <t>iš viso iki 2019 m. reikės 10800 eur</t>
        </r>
      </text>
    </comment>
    <comment ref="E221" authorId="0" shapeId="0">
      <text>
        <r>
          <rPr>
            <sz val="9"/>
            <color indexed="81"/>
            <rFont val="Tahoma"/>
            <family val="2"/>
            <charset val="186"/>
          </rPr>
          <t xml:space="preserve">I etape Klaipėdos apskrities vyriausiojo policijos komisariato Viešosios tvarkos tarnybos Prevencijos skyriaus specialistai parengia metodines rekomendacijas turto apsaugos tema: gyventojams – atmintinės su patarimais, kaip apsaugoti savo turtą nuo vagysčių, informacija apie naujausias apsaugos technologijas, gaminami lipdukai „Registruotas policijoje“, kurie bus klijuojami ant pažymėtų ir įregistruotų policijoje daiktų. Įsigyti navigacinę sistemą  dviračių vagysčių prevencijai.
Siekiant didinti visuomenės informuotumą tapatybės apsaugos klausimais bus sukurta ir išleista informacinė medžiaga – užrašinės moksleiviams, užrašinės studentams, prezentacija mokytojams.
Šiame etape bus siekiama skatinti gyventojus aktyviai dalyvauti daiktų žymėjimo akcijose, susitikimuose, kuriant saugią Klaipėdos miesto aplinką, ugdyti piliečių teisinę savimonę, mažinti turtinių nusikalstamų veikų ir kitų teisės pažeidimų skaičių, pagerinti turtinių nusikaltimų prevencijos ir kontrolės priemonių valdymą.  
Pirmasis etapas užbaigiamas iki 2017-03-30
</t>
        </r>
      </text>
    </comment>
    <comment ref="E230"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 ref="K262" authorId="0" shapeId="0">
      <text>
        <r>
          <rPr>
            <b/>
            <sz val="9"/>
            <color indexed="81"/>
            <rFont val="Tahoma"/>
            <family val="2"/>
            <charset val="186"/>
          </rPr>
          <t xml:space="preserve">11734,7
</t>
        </r>
      </text>
    </comment>
    <comment ref="L262" authorId="0" shapeId="0">
      <text>
        <r>
          <rPr>
            <b/>
            <sz val="9"/>
            <color indexed="81"/>
            <rFont val="Tahoma"/>
            <family val="2"/>
            <charset val="186"/>
          </rPr>
          <t xml:space="preserve">11699,2
</t>
        </r>
      </text>
    </comment>
  </commentList>
</comments>
</file>

<file path=xl/comments4.xml><?xml version="1.0" encoding="utf-8"?>
<comments xmlns="http://schemas.openxmlformats.org/spreadsheetml/2006/main">
  <authors>
    <author>Audra Cepiene</author>
  </authors>
  <commentList>
    <comment ref="E100"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List>
</comments>
</file>

<file path=xl/comments5.xml><?xml version="1.0" encoding="utf-8"?>
<comments xmlns="http://schemas.openxmlformats.org/spreadsheetml/2006/main">
  <authors>
    <author>Audra Cepiene</author>
    <author>Indre Buteniene</author>
  </authors>
  <commentList>
    <comment ref="E14" authorId="0" shapeId="0">
      <text>
        <r>
          <rPr>
            <b/>
            <sz val="9"/>
            <color indexed="81"/>
            <rFont val="Tahoma"/>
            <family val="2"/>
            <charset val="186"/>
          </rPr>
          <t>KSP 2.4.2.4.</t>
        </r>
        <r>
          <rPr>
            <sz val="9"/>
            <color indexed="81"/>
            <rFont val="Tahoma"/>
            <family val="2"/>
            <charset val="186"/>
          </rPr>
          <t xml:space="preserve">
Atnaujinti miesto centre esančius fontanus įrengiant šviesos instaliacijas ar kt. efektus </t>
        </r>
      </text>
    </comment>
    <comment ref="K14" authorId="0" shapeId="0">
      <text>
        <r>
          <rPr>
            <sz val="9"/>
            <color indexed="81"/>
            <rFont val="Tahoma"/>
            <family val="2"/>
            <charset val="186"/>
          </rPr>
          <t xml:space="preserve">Eksplotuojami  fontanai: "Taravos Anikė" ir "Laivelis" Meridiano skvere. Nuo 2016 m. - Debreceno aikštės fontanas.
</t>
        </r>
      </text>
    </comment>
    <comment ref="E28"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31" authorId="0" shapeId="0">
      <text>
        <r>
          <rPr>
            <b/>
            <sz val="9"/>
            <color indexed="81"/>
            <rFont val="Tahoma"/>
            <family val="2"/>
            <charset val="186"/>
          </rPr>
          <t>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33" authorId="0" shapeId="0">
      <text>
        <r>
          <rPr>
            <b/>
            <sz val="9"/>
            <color indexed="81"/>
            <rFont val="Tahoma"/>
            <family val="2"/>
            <charset val="186"/>
          </rPr>
          <t xml:space="preserve">2.4.2.5. KSP priemonė: </t>
        </r>
        <r>
          <rPr>
            <sz val="9"/>
            <color indexed="81"/>
            <rFont val="Tahoma"/>
            <family val="2"/>
            <charset val="186"/>
          </rPr>
          <t xml:space="preserve">Atnaujinti gyvenamųjų kvartalų centrines aikštes ir kitas viešąsias erdves
</t>
        </r>
      </text>
    </comment>
    <comment ref="J34" authorId="1" shapeId="0">
      <text>
        <r>
          <rPr>
            <sz val="9"/>
            <color indexed="81"/>
            <rFont val="Tahoma"/>
            <family val="2"/>
            <charset val="186"/>
          </rPr>
          <t>Iš viso projekto vertė 500 tūkst. lt</t>
        </r>
      </text>
    </comment>
    <comment ref="E35" authorId="0" shapeId="0">
      <text>
        <r>
          <rPr>
            <b/>
            <sz val="9"/>
            <color indexed="81"/>
            <rFont val="Tahoma"/>
            <family val="2"/>
            <charset val="186"/>
          </rPr>
          <t>2.4.2.6 KSP priemonė:</t>
        </r>
        <r>
          <rPr>
            <sz val="9"/>
            <color indexed="81"/>
            <rFont val="Tahoma"/>
            <family val="2"/>
            <charset val="186"/>
          </rPr>
          <t xml:space="preserve">
Atnaujinti Atgimimo aikštės teritoriją</t>
        </r>
      </text>
    </comment>
    <comment ref="G41" authorId="0" shapeId="0">
      <text>
        <r>
          <rPr>
            <sz val="9"/>
            <color indexed="81"/>
            <rFont val="Tahoma"/>
            <family val="2"/>
            <charset val="186"/>
          </rPr>
          <t xml:space="preserve">Rinkliavos lėšos už šunų ir kačių laikymą
</t>
        </r>
      </text>
    </comment>
    <comment ref="K47" authorId="0" shapeId="0">
      <text>
        <r>
          <rPr>
            <sz val="9"/>
            <color indexed="81"/>
            <rFont val="Tahoma"/>
            <family val="2"/>
            <charset val="186"/>
          </rPr>
          <t xml:space="preserve">Šunys, katės ir kt. gyvūnai (šeškai, paukščiai, laukiniai gyvūnai (ruoniai, šernai ir kt.)
</t>
        </r>
      </text>
    </comment>
    <comment ref="K48" authorId="0" shapeId="0">
      <text>
        <r>
          <rPr>
            <sz val="9"/>
            <color indexed="81"/>
            <rFont val="Tahoma"/>
            <family val="2"/>
            <charset val="186"/>
          </rPr>
          <t xml:space="preserve">Pagal teisės aktus sugautus ar priimtus iš gyventojų sveikus gyvūnus (šunis ir kates) laiko </t>
        </r>
        <r>
          <rPr>
            <b/>
            <sz val="9"/>
            <color indexed="81"/>
            <rFont val="Tahoma"/>
            <family val="2"/>
            <charset val="186"/>
          </rPr>
          <t>3 paras</t>
        </r>
        <r>
          <rPr>
            <sz val="9"/>
            <color indexed="81"/>
            <rFont val="Tahoma"/>
            <family val="2"/>
            <charset val="186"/>
          </rPr>
          <t xml:space="preserve">;
užtikrina gyvūnų gaudymo, surinkimo ir karantinavimo tarnyboje laikomų gyvūnų </t>
        </r>
        <r>
          <rPr>
            <b/>
            <sz val="9"/>
            <color indexed="81"/>
            <rFont val="Tahoma"/>
            <family val="2"/>
            <charset val="186"/>
          </rPr>
          <t>šėrimą,</t>
        </r>
        <r>
          <rPr>
            <sz val="9"/>
            <color indexed="81"/>
            <rFont val="Tahoma"/>
            <family val="2"/>
            <charset val="186"/>
          </rPr>
          <t xml:space="preserve"> laikymo ar karantinavimo laikotarpiu,</t>
        </r>
        <r>
          <rPr>
            <b/>
            <sz val="9"/>
            <color indexed="81"/>
            <rFont val="Tahoma"/>
            <family val="2"/>
            <charset val="186"/>
          </rPr>
          <t xml:space="preserve"> jiems pritaikytu ėdalu</t>
        </r>
      </text>
    </comment>
    <comment ref="E51" authorId="0" shapeId="0">
      <text>
        <r>
          <rPr>
            <sz val="9"/>
            <color indexed="81"/>
            <rFont val="Tahoma"/>
            <family val="2"/>
            <charset val="186"/>
          </rPr>
          <t>2.4.2.8
Diegti aukšto lygio paslaugų ir infrastruktūros parametrus miesto paplūdimiuose ir kitose poilsio zonose</t>
        </r>
      </text>
    </comment>
    <comment ref="K56" authorId="0" shapeId="0">
      <text>
        <r>
          <rPr>
            <b/>
            <sz val="9"/>
            <color indexed="81"/>
            <rFont val="Tahoma"/>
            <family val="2"/>
            <charset val="186"/>
          </rPr>
          <t>Audra Cepiene:</t>
        </r>
        <r>
          <rPr>
            <sz val="9"/>
            <color indexed="81"/>
            <rFont val="Tahoma"/>
            <family val="2"/>
            <charset val="186"/>
          </rPr>
          <t xml:space="preserve">
Viešieji tualetai Stovyklų g. 4 –21,79 m2
Viešieji tualetai I Melnragė Kopų g. 1A – 87,25 m2
;</t>
        </r>
      </text>
    </comment>
    <comment ref="E68"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75" authorId="0" shape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81" authorId="0" shape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E87" authorId="0" shapeId="0">
      <text>
        <r>
          <rPr>
            <sz val="9"/>
            <color indexed="81"/>
            <rFont val="Tahoma"/>
            <family val="2"/>
            <charset val="186"/>
          </rPr>
          <t xml:space="preserve">1.6.3.3 . Pertvarkyti futbolo mokyklos ir baseino pastatus (taikant modernias technologijas ir atsinaujinančius energijos šaltinius), įkuriant sporto paslaugų kompleksą, skirtą įvairioms amžiaus grupėms
 </t>
        </r>
      </text>
    </comment>
    <comment ref="E88"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List>
</comments>
</file>

<file path=xl/sharedStrings.xml><?xml version="1.0" encoding="utf-8"?>
<sst xmlns="http://schemas.openxmlformats.org/spreadsheetml/2006/main" count="2470" uniqueCount="694">
  <si>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</si>
  <si>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</si>
  <si>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</si>
  <si>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</si>
  <si>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</si>
  <si>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</si>
  <si>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</si>
  <si>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</si>
  <si>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</si>
  <si>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</si>
  <si>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</si>
  <si>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</si>
  <si>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</si>
  <si>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</si>
  <si>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</si>
  <si>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</si>
  <si>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</si>
  <si>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</si>
  <si>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</si>
  <si>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</si>
  <si>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</si>
  <si>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</si>
  <si>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</si>
  <si>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</si>
  <si>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</si>
  <si>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</si>
  <si>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</si>
  <si>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Daugiabučių namų savininkų bendrijų fondo lėšos </t>
    </r>
    <r>
      <rPr>
        <b/>
        <sz val="10"/>
        <rFont val="Times New Roman"/>
        <family val="1"/>
        <charset val="186"/>
      </rPr>
      <t>SB(F)</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</si>
  <si>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</si>
  <si>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</si>
  <si>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</si>
  <si>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</si>
  <si>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</si>
  <si>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2015-ųjų metų lėšų projektas</t>
  </si>
  <si>
    <t>2014-ieji metai</t>
  </si>
  <si>
    <t>2015-ieji metai</t>
  </si>
  <si>
    <t>SB</t>
  </si>
  <si>
    <t>MIESTO INFRASTRUKTŪROS OBJEKTŲ PRIEŽIŪROS IR MODERNIZAVIMO PROGRAMOS (NR. 07)</t>
  </si>
  <si>
    <t>03</t>
  </si>
  <si>
    <t>Daugiabučių namų savininkų bendrijų (DNSB), modernizuojančių bendrojo naudojimo objektus, rėmimas</t>
  </si>
  <si>
    <t>6</t>
  </si>
  <si>
    <t>06</t>
  </si>
  <si>
    <t>10</t>
  </si>
  <si>
    <t>Vaikų žaidimo aikštelių daugiabučių namų kiemuose atnaujinimas ir remontas</t>
  </si>
  <si>
    <t>08</t>
  </si>
  <si>
    <t>Atnaujinta vaikų žaidimo aikštelių, vnt.</t>
  </si>
  <si>
    <t>Gėlynų atnaujinimas ir įrengimas</t>
  </si>
  <si>
    <t>Fontanų priežiūra, remontas ir atnaujinimas</t>
  </si>
  <si>
    <t>Miesto viešų teritorijų inventoriaus priežiūra, įrengimas ir įsigijimas</t>
  </si>
  <si>
    <t>Prižiūrima fontanų, vnt.</t>
  </si>
  <si>
    <t>Įrengta suoliukų, vnt.</t>
  </si>
  <si>
    <t>Įsigyta gėlinių, vnt.</t>
  </si>
  <si>
    <t>Įsigyta šiukšliadėžių, vnt.</t>
  </si>
  <si>
    <t>04</t>
  </si>
  <si>
    <t>05</t>
  </si>
  <si>
    <t>07</t>
  </si>
  <si>
    <t>Miesto viešųjų tualetų remontas, priežiūra ir nuoma</t>
  </si>
  <si>
    <t>Nugriauta statinių, vnt.</t>
  </si>
  <si>
    <t>Prižiūrima viešųjų tualetų, vnt.</t>
  </si>
  <si>
    <t>Viešojo tualeto paslaugų teikimas Melnragės paplūdimyje</t>
  </si>
  <si>
    <t>Etatų skaičius tualeto priežiūrai, vnt.</t>
  </si>
  <si>
    <t>SB(SP)</t>
  </si>
  <si>
    <t>Sezoninių darbuotojų skaičius, vnt.</t>
  </si>
  <si>
    <t>Nuolatinių darbuotojų skaičius, vnt.</t>
  </si>
  <si>
    <t>Apšvietimo tinklų ir įrangos eksploatacija, avarinių gedimų likvidavimas ir radiofikacijos linijų remontas</t>
  </si>
  <si>
    <t>Elektros energijos įsigijimas miesto viešosioms erdvėms ir gatvėms apšviesti, šviesoforams</t>
  </si>
  <si>
    <t>Pėsčiųjų perėjų papildomas apšvietimas ar modernizavimas</t>
  </si>
  <si>
    <t>Gatvių ir kiemų apšvietimo galios reguliatorių įdiegimas</t>
  </si>
  <si>
    <t>Įdiegta reguliatorių, vnt.</t>
  </si>
  <si>
    <t>Įrengta apšvietimo tinklų, km</t>
  </si>
  <si>
    <t>Siekti, kad miesto viešosios erdvės būtų tvarkingos, jaukios ir saugios</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</si>
  <si>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</si>
  <si>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</si>
  <si>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Eksploatuoti, remontuoti ir plėtoti inžinerinio aprūpinimo sistemas</t>
  </si>
  <si>
    <t>Prižiūrima kapinių (tarp jų ir senųjų kapinaičių 16 vnt.), vnt.</t>
  </si>
  <si>
    <t>Senųjų kapinaičių sutvarkymas</t>
  </si>
  <si>
    <t>Išvežta mirusiųjų iš įvykio vietos, vnt.</t>
  </si>
  <si>
    <t>Mirusiųjų palaikų laikinas laikymas (saugojimas), vnt.</t>
  </si>
  <si>
    <t>Renovuota vamzdynų, km</t>
  </si>
  <si>
    <t>Suremontuota takų, m</t>
  </si>
  <si>
    <t>Kapaviečių ženklų įsigijimas ir įrengimas</t>
  </si>
  <si>
    <t>Įrengta kapaviečių ženklų, vnt.</t>
  </si>
  <si>
    <t>Savivaldybei priskirtų daugiabučių namų kiemų teritorijų sanitarinis valymas (šaligatvių, asfaltuotų, žvyruotų dangų, žaliųjų plotų valymas ir šienavimas)</t>
  </si>
  <si>
    <t>Lietaus nuotekų tinklų eksploatacija ir einamasis remontas</t>
  </si>
  <si>
    <t>Eksploatuojama lietaus nuotekų tinklų, km</t>
  </si>
  <si>
    <t>07 Miesto infrastruktūros objektų priežiūros ir modernizavimo programa</t>
  </si>
  <si>
    <t>Valoma jūros pakrantė, ha</t>
  </si>
  <si>
    <t>Valoma Danės upės pakrantė (poilsio zona), ha</t>
  </si>
  <si>
    <t>SB(P)</t>
  </si>
  <si>
    <t>Lėbartų kapinių V-B, VI, VIII-A, VII-B eilės ir kolumbariumo statybos techninio projekto parengimas ir įgyvendinimas</t>
  </si>
  <si>
    <t>5</t>
  </si>
  <si>
    <t>I</t>
  </si>
  <si>
    <t>ES</t>
  </si>
  <si>
    <t>LRVB</t>
  </si>
  <si>
    <t>Kt</t>
  </si>
  <si>
    <t>1</t>
  </si>
  <si>
    <t>Lėbartų kapinių vandentiekio sistemos remontas</t>
  </si>
  <si>
    <r>
      <t>Tvarkomų gėlynų plotas, tūkst. m</t>
    </r>
    <r>
      <rPr>
        <vertAlign val="superscript"/>
        <sz val="10"/>
        <rFont val="Times New Roman"/>
        <family val="1"/>
        <charset val="186"/>
      </rPr>
      <t>2</t>
    </r>
  </si>
  <si>
    <t>Prižūrima ekskrementų dėžių, vnt.</t>
  </si>
  <si>
    <t>Naminių gyvūnų (šunų, kačių) inden-tifikavimas, beglobių  gyvūnų gaudymas, karantinavimas ir utilizavimas</t>
  </si>
  <si>
    <t>Suvartota el. energijos, tūkst. MWh</t>
  </si>
  <si>
    <t>Aptarnaujama naminių gyvūnų ir jų savininkų duomenų bazė, vnt.</t>
  </si>
  <si>
    <t>Sutvarkyta perėjų, vnt.</t>
  </si>
  <si>
    <t>Eksploatuojama kamerų, sk.</t>
  </si>
  <si>
    <t>Mirusių (žuvusių) žmonių palaikų pervežimas iš įvykio vietų, neatpažintų, vienišų ir mirusių, kuriuos artimieji atsisako laidoti, žmonių palaikų laikinas laikymas (saugojimas), palaidojimas savivaldybės lėšomis</t>
  </si>
  <si>
    <t>Įrengta informacinių stendų, vnt.</t>
  </si>
  <si>
    <t>Patenkinta paraiškų, vnt.</t>
  </si>
  <si>
    <t>Joniškės kapinių takų remontas</t>
  </si>
  <si>
    <t>Kapinių priežiūra (valymas, apsauga, administravimas, elektros energijos pirkimas, vandens įrenginių priežiūra, kvartalinių žymeklių įrengimas, kapinių inventorizavimas)</t>
  </si>
  <si>
    <t xml:space="preserve">05 </t>
  </si>
  <si>
    <t>Racionaliai ir taupiai naudoti energetinius išteklius savivaldybės biudžetinėse įstaigose</t>
  </si>
  <si>
    <t>Įsigyta viešųjų konteinerinių tualetų, vnt.</t>
  </si>
  <si>
    <t>Miesto aikščių, skverų ir kitų bendro naudojimo teritorijų priežiūra:</t>
  </si>
  <si>
    <t>Įsigyta autobusų stotelių paviljonų, vnt.</t>
  </si>
  <si>
    <t>Švaros ir tvarkos užtikrinimas bendro naudojimo teritorijose:</t>
  </si>
  <si>
    <t>Miesto paplūdimių priežiūros organizavimas:</t>
  </si>
  <si>
    <t>Miesto viešųjų erdvių ir gatvių apšvietimo užtikrinimas:</t>
  </si>
  <si>
    <t>Apšviesta kiemų, sk.</t>
  </si>
  <si>
    <t>Biudžetinių įstaigų patalpų šildymas:</t>
  </si>
  <si>
    <t xml:space="preserve">Klaipėdos skęstančiųjų gelbėjimo tarnybos </t>
  </si>
  <si>
    <t xml:space="preserve">Kultūros įstaigų </t>
  </si>
  <si>
    <t xml:space="preserve">Sporto įstaigų </t>
  </si>
  <si>
    <t xml:space="preserve">Socialinių įstaigų </t>
  </si>
  <si>
    <t xml:space="preserve">Švietimo įstaigų </t>
  </si>
  <si>
    <t xml:space="preserve">Šîldoma įstaigų, sk. </t>
  </si>
  <si>
    <t>Paplūdimių elektrifikacijos ir radiofikacijos linijų eksploatacija ir remontas</t>
  </si>
  <si>
    <t>Pastatyta atramų, vnt.</t>
  </si>
  <si>
    <t>Sumontuota garsiakalbių, vnt.</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</si>
  <si>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</si>
  <si>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</si>
  <si>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</si>
  <si>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</si>
  <si>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Švietimo įstaigų kiemų apšvietimo tinklų išplėtimas ar įrengimas</t>
  </si>
  <si>
    <t>Viešųjų erdvių, gatvių ir kiemų apšvietimo tinklų išplėtimas ar įrengimas</t>
  </si>
  <si>
    <t>Bendrojo naudojimo lietaus nuotekų tinklų tiesimas teritorijoje ties Bangų g. 5A, Klaipėdoje</t>
  </si>
  <si>
    <t>Strateginis tikslas 02. Kurti mieste patrauklią, švarią ir saugią gyvenamąją aplinką</t>
  </si>
  <si>
    <t>Teikti miesto gyventojams kokybiškas komunalines ir viešųjų erdvių priežiūros paslaugas</t>
  </si>
  <si>
    <t>Nutiesta lietaus nuotekų tinklų – 100 m, Užbaigtumas proc.</t>
  </si>
  <si>
    <r>
      <t>Parengtas 16,8 ha plotas laidojimui, 17405 laidojimo vietų, 9500 m</t>
    </r>
    <r>
      <rPr>
        <vertAlign val="superscript"/>
        <sz val="10"/>
        <rFont val="Times New Roman"/>
        <family val="1"/>
        <charset val="186"/>
      </rPr>
      <t>2</t>
    </r>
    <r>
      <rPr>
        <sz val="10"/>
        <rFont val="Times New Roman"/>
        <family val="1"/>
        <charset val="186"/>
      </rPr>
      <t xml:space="preserve"> automobilių stovėjimo aikštelės plotas,  įrengtos 173 stovėjimo vietos automobilių stovėjimo aikštelėje. 
Užbaigtumas, proc.</t>
    </r>
  </si>
  <si>
    <t>Palaidota mirusiųjų, sk</t>
  </si>
  <si>
    <t>Įrengta kalėdinė eglė</t>
  </si>
  <si>
    <t>2014-ųjų metų asignavimų planas</t>
  </si>
  <si>
    <t>2016-ųjų metų lėšų projektas</t>
  </si>
  <si>
    <t>2016-ieji metai</t>
  </si>
  <si>
    <t>Pirties paslaugų teikimas Smiltynės paplūdimyje</t>
  </si>
  <si>
    <t>Nupirkta girliandų, vnt.</t>
  </si>
  <si>
    <t>Atsinaujinančių energijos šaltinių panaudojimo plėtros plano parengimas</t>
  </si>
  <si>
    <t>Įsigyta krypties nuorodų Danės krantinėse, vnt.</t>
  </si>
  <si>
    <r>
      <t>Valoma teritorija, km</t>
    </r>
    <r>
      <rPr>
        <vertAlign val="superscript"/>
        <sz val="10"/>
        <rFont val="Times New Roman"/>
        <family val="1"/>
        <charset val="186"/>
      </rPr>
      <t>2</t>
    </r>
  </si>
  <si>
    <t>Sugautų, karantinuotų ir utilizuota gyvūnų, t</t>
  </si>
  <si>
    <t>Plėtros plano parengimas, vnt.</t>
  </si>
  <si>
    <t>Įsigytas traktorius, sk.</t>
  </si>
  <si>
    <t>Įrengta vaikų žaidimo ir sveikatingumo aikštelė, sk.</t>
  </si>
  <si>
    <t>Traktoriaus įsigijimas</t>
  </si>
  <si>
    <r>
      <t xml:space="preserve">Viešųjų tualetų įrengimas ir atnaujinimas </t>
    </r>
    <r>
      <rPr>
        <sz val="10"/>
        <rFont val="Times New Roman"/>
        <family val="1"/>
        <charset val="186"/>
      </rPr>
      <t>(projektas „Mano socialinė atsakomybė (Žmonių su negalia socialinė integracija Latvijoje ir Lietuvoje, įgyvendinant universalaus planavimo (UP) principus ir kuriant naujas socialines paslaugas)“)</t>
    </r>
  </si>
  <si>
    <t>Parengta techn. projektų, sk.</t>
  </si>
  <si>
    <t>Pastato Garažų g. 6 remonto darbai</t>
  </si>
  <si>
    <t>Savivaldybės įstaigų eksploatuojamų pastatų energetinių auditų parengimas</t>
  </si>
  <si>
    <t>Parengtas energ. auditas, sk.</t>
  </si>
  <si>
    <t xml:space="preserve">Parengtas vieno gyvenamojo kvartalo techn. projektas </t>
  </si>
  <si>
    <t>Vaikų žaidimų aikštelių paplūdimiuose įrengimas</t>
  </si>
  <si>
    <t>09</t>
  </si>
  <si>
    <t>Atlikta darbų, proc.</t>
  </si>
  <si>
    <t>Parengta projektų, sk.</t>
  </si>
  <si>
    <t>Paplūdimių sanitarinis ir mechanizuotas valymas, inventoriaus priežiūra ir sutvarkymas (Melnragės ir Girulių paplūdimių valymo paslaugos įsigijimas)</t>
  </si>
  <si>
    <t xml:space="preserve">Gyvenamųjų namų kiemų kompleksinis tvarkymas tikslinėje teritorijoje (vieno gyvenamųjų namų kvartalo techninio projekto parengimas) </t>
  </si>
  <si>
    <t>Vandens tiekimo ir nuotekų tinklų tvarkymas:</t>
  </si>
  <si>
    <t>Integruotos stebėjimo sistemos viešose vietose nuoma ir retransliuojamo vaizdo stebėjimo paslaugos pirkimas (papildomai bus perkamos kameros Piliavietės teritorijoje ir Vasaros estradoje)</t>
  </si>
  <si>
    <t>Pastato Taikos pr. 76 šilumos trasų vamzdynų remontas</t>
  </si>
  <si>
    <t>P2.4.1.2</t>
  </si>
  <si>
    <t>P2.4.2.8</t>
  </si>
  <si>
    <t>P3.2.1.7</t>
  </si>
  <si>
    <t xml:space="preserve">Stadiono perspektyvų regione studijos parengimas </t>
  </si>
  <si>
    <t xml:space="preserve">Sporto akademijos, kaip pamainos rengimo bazės, galimybių studijos su investiciniu projektu parengimas </t>
  </si>
  <si>
    <t>Galimybių studijos, pritaikant II vandenvietę švietimo, sporto, saviraiškos reikmėms parengimas</t>
  </si>
  <si>
    <t>Tikslinės teritorijos gyvenamųjų teritorijų ir gretimų visuomeninių erdvių tvarkymo galimybių studija</t>
  </si>
  <si>
    <t xml:space="preserve">Parengta galimybių studija </t>
  </si>
  <si>
    <t>Parengtų galimybių studijų ir  techn. projektų sk.</t>
  </si>
  <si>
    <t>Galimybių studijų Klaipėdos mieste parengimas:</t>
  </si>
  <si>
    <t xml:space="preserve">Dokumentacijos parengimas tikslinės integruotos teritorijos projektams įgyvendinti: </t>
  </si>
  <si>
    <r>
      <t xml:space="preserve">Vietinių rinkliavų lėšos </t>
    </r>
    <r>
      <rPr>
        <b/>
        <sz val="10"/>
        <rFont val="Times New Roman"/>
        <family val="1"/>
        <charset val="186"/>
      </rPr>
      <t>SB(VR)</t>
    </r>
  </si>
  <si>
    <t>SB(VR)</t>
  </si>
  <si>
    <t>P1.6.3.7</t>
  </si>
  <si>
    <t>P1.4.3.8</t>
  </si>
  <si>
    <t>P2</t>
  </si>
  <si>
    <t>Suremontuota vamzdynų, proc.</t>
  </si>
  <si>
    <t xml:space="preserve">Parengtas techn. projektas, vnt </t>
  </si>
  <si>
    <t>Atlikta remonto darbų, proc.</t>
  </si>
  <si>
    <t xml:space="preserve">Danės upės krantinių nuo Biržos tilto iki Mokyklos gatvės tilto rekonstravimas </t>
  </si>
  <si>
    <r>
      <t xml:space="preserve">Funkcinės klasifikacijos kodas </t>
    </r>
    <r>
      <rPr>
        <b/>
        <sz val="9"/>
        <rFont val="Times New Roman"/>
        <family val="1"/>
        <charset val="186"/>
      </rPr>
      <t xml:space="preserve"> </t>
    </r>
  </si>
  <si>
    <t>K. Donelaičio ir Kuršių aikščių sutvarkymas</t>
  </si>
  <si>
    <t>Savivaldybei priskirtų teritorijų sanitarinis valymas, parkų, skverų, žaliųjų plotų želdinimas ir aplinkotvarka</t>
  </si>
  <si>
    <t>Viešosios erdvės prie buvusio „Vaidilos“ kino teatro konversija („Vaidilos“ aikštės techninio projekto parengimas)</t>
  </si>
  <si>
    <r>
      <t>Prižiūrima želdynų, km</t>
    </r>
    <r>
      <rPr>
        <vertAlign val="superscript"/>
        <sz val="10"/>
        <rFont val="Times New Roman"/>
        <family val="1"/>
        <charset val="186"/>
      </rPr>
      <t>2</t>
    </r>
  </si>
  <si>
    <t>Nuomojama kilnojamųjų tualetų švenčių metu, vnt.</t>
  </si>
  <si>
    <t>Etatų skaičius pirties priežiūrai, vnt.</t>
  </si>
  <si>
    <t>Eksploatuojama šviestuvų, tūkst. vnt.</t>
  </si>
  <si>
    <t>Suremontuota atramų, vnt.</t>
  </si>
  <si>
    <r>
      <t>Prižiūrimas daugiabučių kiemų plotas (3 rūšių sezoniniai darbai), km</t>
    </r>
    <r>
      <rPr>
        <vertAlign val="superscript"/>
        <sz val="10"/>
        <rFont val="Times New Roman"/>
        <family val="1"/>
        <charset val="186"/>
      </rPr>
      <t>2</t>
    </r>
  </si>
  <si>
    <r>
      <t>Sutvarkytos prieigos – 500 m</t>
    </r>
    <r>
      <rPr>
        <vertAlign val="superscript"/>
        <sz val="10"/>
        <rFont val="Times New Roman"/>
        <family val="1"/>
        <charset val="186"/>
      </rPr>
      <t>2</t>
    </r>
    <r>
      <rPr>
        <sz val="10"/>
        <rFont val="Times New Roman"/>
        <family val="1"/>
        <charset val="186"/>
      </rPr>
      <t>,</t>
    </r>
    <r>
      <rPr>
        <vertAlign val="superscript"/>
        <sz val="10"/>
        <rFont val="Times New Roman"/>
        <family val="1"/>
        <charset val="186"/>
      </rPr>
      <t xml:space="preserve"> </t>
    </r>
    <r>
      <rPr>
        <sz val="10"/>
        <rFont val="Times New Roman"/>
        <family val="1"/>
        <charset val="186"/>
      </rPr>
      <t>proc.</t>
    </r>
  </si>
  <si>
    <r>
      <t>Suremontuota Danės upės krantinė nuo Biržos tilto iki įplaukos prie Jono kalnelio – 310 m, proc. 
Sutvarkytos prieigos – 500 m</t>
    </r>
    <r>
      <rPr>
        <vertAlign val="superscript"/>
        <sz val="9"/>
        <rFont val="Times New Roman"/>
        <family val="1"/>
        <charset val="186"/>
      </rPr>
      <t>2</t>
    </r>
    <r>
      <rPr>
        <sz val="10"/>
        <rFont val="Times New Roman"/>
        <family val="1"/>
        <charset val="186"/>
      </rPr>
      <t xml:space="preserve">
</t>
    </r>
  </si>
  <si>
    <t>Debreceno ir Pempininkų aikščių atnaujinimas (2014 m. – Debreceno, 2015 m. – Pempininkų)</t>
  </si>
  <si>
    <t xml:space="preserve"> 2014–2016 M. KLAIPĖDOS MIESTO SAVIVALDYBĖS</t>
  </si>
  <si>
    <t>3</t>
  </si>
  <si>
    <t>Atlikta Garažų g. 6 remonto darbų, %</t>
  </si>
  <si>
    <t>Skęstančiųjų gelbėjimo paslaugų teikimas (BĮ "Klaipėdos paplūdimiai" veiklos organizavimas – be šildymo)</t>
  </si>
  <si>
    <r>
      <rPr>
        <b/>
        <strike/>
        <sz val="10"/>
        <color rgb="FFFF0000"/>
        <rFont val="Times New Roman"/>
        <family val="1"/>
        <charset val="186"/>
      </rPr>
      <t>410,7</t>
    </r>
    <r>
      <rPr>
        <b/>
        <sz val="10"/>
        <color rgb="FFFF0000"/>
        <rFont val="Times New Roman"/>
        <family val="1"/>
        <charset val="186"/>
      </rPr>
      <t xml:space="preserve">  310,7 </t>
    </r>
  </si>
  <si>
    <r>
      <rPr>
        <b/>
        <strike/>
        <sz val="10"/>
        <color rgb="FFFF0000"/>
        <rFont val="Times New Roman"/>
        <family val="1"/>
        <charset val="186"/>
      </rPr>
      <t xml:space="preserve">366,0 </t>
    </r>
    <r>
      <rPr>
        <b/>
        <sz val="10"/>
        <color rgb="FFFF0000"/>
        <rFont val="Times New Roman"/>
        <family val="1"/>
        <charset val="186"/>
      </rPr>
      <t xml:space="preserve">      266,0</t>
    </r>
  </si>
  <si>
    <r>
      <rPr>
        <b/>
        <strike/>
        <sz val="10"/>
        <color rgb="FFFF0000"/>
        <rFont val="Times New Roman"/>
        <family val="1"/>
        <charset val="186"/>
      </rPr>
      <t>465,7</t>
    </r>
    <r>
      <rPr>
        <b/>
        <sz val="10"/>
        <color rgb="FFFF0000"/>
        <rFont val="Times New Roman"/>
        <family val="1"/>
        <charset val="186"/>
      </rPr>
      <t xml:space="preserve">   265,7</t>
    </r>
  </si>
  <si>
    <r>
      <rPr>
        <b/>
        <strike/>
        <sz val="10"/>
        <color rgb="FFFF0000"/>
        <rFont val="Times New Roman"/>
        <family val="1"/>
        <charset val="186"/>
      </rPr>
      <t xml:space="preserve">514,3 </t>
    </r>
    <r>
      <rPr>
        <b/>
        <sz val="10"/>
        <color rgb="FFFF0000"/>
        <rFont val="Times New Roman"/>
        <family val="1"/>
        <charset val="186"/>
      </rPr>
      <t xml:space="preserve">  314,3</t>
    </r>
  </si>
  <si>
    <t xml:space="preserve">Pastato Bangų g. 5A sklypo ir teritorijos link Jono kalnelio aplinkos sutvarkymas </t>
  </si>
  <si>
    <t>Sutvarkytos teritorijos plotas, ha</t>
  </si>
  <si>
    <t>P2.3.1.3.</t>
  </si>
  <si>
    <r>
      <rPr>
        <b/>
        <strike/>
        <sz val="10"/>
        <color rgb="FFFF0000"/>
        <rFont val="Times New Roman"/>
        <family val="1"/>
        <charset val="186"/>
      </rPr>
      <t>1129,7</t>
    </r>
    <r>
      <rPr>
        <b/>
        <sz val="10"/>
        <color rgb="FFFF0000"/>
        <rFont val="Times New Roman"/>
        <family val="1"/>
        <charset val="186"/>
      </rPr>
      <t xml:space="preserve">  1329,7</t>
    </r>
  </si>
  <si>
    <r>
      <rPr>
        <b/>
        <strike/>
        <sz val="10"/>
        <color rgb="FFFF0000"/>
        <rFont val="Times New Roman"/>
        <family val="1"/>
        <charset val="186"/>
      </rPr>
      <t>999,8</t>
    </r>
    <r>
      <rPr>
        <b/>
        <sz val="10"/>
        <color rgb="FFFF0000"/>
        <rFont val="Times New Roman"/>
        <family val="1"/>
        <charset val="186"/>
      </rPr>
      <t xml:space="preserve"> 1199,8</t>
    </r>
  </si>
  <si>
    <r>
      <rPr>
        <b/>
        <strike/>
        <sz val="10"/>
        <color rgb="FFFF0000"/>
        <rFont val="Times New Roman"/>
        <family val="1"/>
        <charset val="186"/>
      </rPr>
      <t>19279,1</t>
    </r>
    <r>
      <rPr>
        <b/>
        <sz val="10"/>
        <color rgb="FFFF0000"/>
        <rFont val="Times New Roman"/>
        <family val="1"/>
        <charset val="186"/>
      </rPr>
      <t xml:space="preserve">   19479,1</t>
    </r>
  </si>
  <si>
    <r>
      <rPr>
        <b/>
        <strike/>
        <sz val="10"/>
        <color rgb="FFFF0000"/>
        <rFont val="Times New Roman"/>
        <family val="1"/>
        <charset val="186"/>
      </rPr>
      <t xml:space="preserve">17904,4 </t>
    </r>
    <r>
      <rPr>
        <b/>
        <sz val="10"/>
        <color rgb="FFFF0000"/>
        <rFont val="Times New Roman"/>
        <family val="1"/>
        <charset val="186"/>
      </rPr>
      <t xml:space="preserve"> 18104,4</t>
    </r>
  </si>
  <si>
    <r>
      <rPr>
        <b/>
        <strike/>
        <sz val="10"/>
        <color rgb="FFFF0000"/>
        <rFont val="Times New Roman"/>
        <family val="1"/>
        <charset val="186"/>
      </rPr>
      <t>32915,9</t>
    </r>
    <r>
      <rPr>
        <b/>
        <sz val="10"/>
        <color rgb="FFFF0000"/>
        <rFont val="Times New Roman"/>
        <family val="1"/>
        <charset val="186"/>
      </rPr>
      <t xml:space="preserve">   33115,9</t>
    </r>
  </si>
  <si>
    <r>
      <rPr>
        <b/>
        <strike/>
        <sz val="10"/>
        <color rgb="FFFF0000"/>
        <rFont val="Times New Roman"/>
        <family val="1"/>
        <charset val="186"/>
      </rPr>
      <t xml:space="preserve">2049,9 </t>
    </r>
    <r>
      <rPr>
        <b/>
        <sz val="10"/>
        <color rgb="FFFF0000"/>
        <rFont val="Times New Roman"/>
        <family val="1"/>
        <charset val="186"/>
      </rPr>
      <t xml:space="preserve">  1849,9</t>
    </r>
  </si>
  <si>
    <r>
      <rPr>
        <b/>
        <strike/>
        <sz val="10"/>
        <color rgb="FFFF0000"/>
        <rFont val="Times New Roman"/>
        <family val="1"/>
        <charset val="186"/>
      </rPr>
      <t>39302,2</t>
    </r>
    <r>
      <rPr>
        <b/>
        <sz val="10"/>
        <color rgb="FFFF0000"/>
        <rFont val="Times New Roman"/>
        <family val="1"/>
        <charset val="186"/>
      </rPr>
      <t xml:space="preserve">   39202,2</t>
    </r>
  </si>
  <si>
    <t>Lyginamasis variantas</t>
  </si>
  <si>
    <t>Papriemonės kodas</t>
  </si>
  <si>
    <t>Vykdytojas (skyrius / asmuo)</t>
  </si>
  <si>
    <t xml:space="preserve">MŪD Miesto tvarkymo skyrius </t>
  </si>
  <si>
    <t>Iš viso priemonei:</t>
  </si>
  <si>
    <t>MŪD Miesto tvarkymo skyrius</t>
  </si>
  <si>
    <r>
      <t>Prižiūrima želdynų,  km</t>
    </r>
    <r>
      <rPr>
        <vertAlign val="superscript"/>
        <sz val="10"/>
        <rFont val="Times New Roman"/>
        <family val="1"/>
        <charset val="186"/>
      </rPr>
      <t>2</t>
    </r>
  </si>
  <si>
    <t>Viešosios tvarkos skyrius</t>
  </si>
  <si>
    <t>IED Projektų skyrius</t>
  </si>
  <si>
    <t xml:space="preserve">IED Projektų skyrius  </t>
  </si>
  <si>
    <t>MŪD Miesto tvarkymo  sk.</t>
  </si>
  <si>
    <t>MŪD  Socialinės infrastruktūros skyrius</t>
  </si>
  <si>
    <t>Pakeista laidų ar kabelių, m</t>
  </si>
  <si>
    <t>2015-ųjų metų asignavimų planas</t>
  </si>
  <si>
    <t>2017-ųjų metų lėšų projektas</t>
  </si>
  <si>
    <t>2017-ieji metai</t>
  </si>
  <si>
    <t>2016-ųjų m. lėšų poreikis</t>
  </si>
  <si>
    <t>2017-ųjų m. lėšų poreikis</t>
  </si>
  <si>
    <t xml:space="preserve">Debreceno aikštės atnaujinimas </t>
  </si>
  <si>
    <t>Pempininkų aikštės atnaujinimas</t>
  </si>
  <si>
    <t>Atliktas fontano remontas, proc.</t>
  </si>
  <si>
    <t xml:space="preserve">MŪD Miesto tvarkymo sk. </t>
  </si>
  <si>
    <t xml:space="preserve">Suremontuota Danės upės krantinė nuo Biržos tilto iki įplaukos prie Jono kalnelio – 310 m, proc. 
</t>
  </si>
  <si>
    <t>MŪD Kapinių priežiūros skyrius</t>
  </si>
  <si>
    <t>Dušų įrengimas paplūdimiuose</t>
  </si>
  <si>
    <t xml:space="preserve">MŪD BĮ "Klaipėdos paplūdimiai" </t>
  </si>
  <si>
    <t>Atlikta Garažų g. 6 rekonstrukcijos darbų, proc.</t>
  </si>
  <si>
    <t>Atskiro nulinio laido įrengimas pagal LESTO reikalavimą gatvių apšvietimo tinklams</t>
  </si>
  <si>
    <t>Įrengtas atskiras nulinis laidas, vnt.</t>
  </si>
  <si>
    <t>Prižiūrima kapinių 2 vnt. ir senųjų kapinaičių 16 vnt.</t>
  </si>
  <si>
    <t>Nudažyta Kopgalio kapinių tvora, proc.</t>
  </si>
  <si>
    <t xml:space="preserve">Parengta galimybių studija, vnt. </t>
  </si>
  <si>
    <t>Laidojimo paslaugų teikimas ir kapinių priežiūros organizavimas:</t>
  </si>
  <si>
    <t>Atgimimo aikštės sutvarkymas, didinant patrauklumą investicijoms, skatinant lankytojų srautus</t>
  </si>
  <si>
    <t>P2.4.2.6</t>
  </si>
  <si>
    <t>P2.4.2.4</t>
  </si>
  <si>
    <t>P2.4.2.5</t>
  </si>
  <si>
    <t>Rekonstruotas paminklas, proc.</t>
  </si>
  <si>
    <t>Atnaujinta aikštė, proc.</t>
  </si>
  <si>
    <t>69/500</t>
  </si>
  <si>
    <t>70/500</t>
  </si>
  <si>
    <t>80</t>
  </si>
  <si>
    <t>Suremontuota šiukšliadėžių, vnt.</t>
  </si>
  <si>
    <t>Suremontuota suoliukų, vnt./m</t>
  </si>
  <si>
    <t>Projekto „Danės upės krantinės pritaikymas centrinėje Klaipėdos miesto dalyje“ įgyvendinimas</t>
  </si>
  <si>
    <t>Mėlynosios vėliavos programos koordinavimas ir įgyvendinimas</t>
  </si>
  <si>
    <t>Įgyvendinta programa, proc.</t>
  </si>
  <si>
    <t>Įsigyta suoliukų, vnt.</t>
  </si>
  <si>
    <t>55</t>
  </si>
  <si>
    <t>Įrengta automobilių laikymo aikštelė. Užbaigtumas proc.</t>
  </si>
  <si>
    <t xml:space="preserve">Integruotos stebėjimo sistemos viešose vietose nuoma ir retransliuojamo vaizdo stebėjimo paslaugos pirkimas </t>
  </si>
  <si>
    <t>Neefektyvių vaizdo stebėjimo kamerų perkėlimas į naujas vietas</t>
  </si>
  <si>
    <t>Perkeltos vaizdo stebėjimo kameros, vnt.</t>
  </si>
  <si>
    <t>Žardininkų gyvenamojo kvartalo viešosios erdvės (aikštės) šalia Taikos pr. atnaujinimas</t>
  </si>
  <si>
    <t>Parengtas tvarkybos projektas, vnt.</t>
  </si>
  <si>
    <t>Viešųjų tualetų paslaugų teikimas</t>
  </si>
  <si>
    <t>Stendų įrengimas paplūdimiuose</t>
  </si>
  <si>
    <t>Technikos įsigijimas paplūdimių tvarkymo funkcijoms atlikti</t>
  </si>
  <si>
    <t>Prižiūrima gertuvių Poilsio parke, vnt.</t>
  </si>
  <si>
    <t>Prižiūrima informacinės sistemos objektų, vnt.</t>
  </si>
  <si>
    <t>Atnaujintas Debreceno gyvenamojo rajono ženklas, proc.</t>
  </si>
  <si>
    <t>Atlikti I etapo (stotelės ir fontanų skvero atnaujinimo)  darbai, proc.</t>
  </si>
  <si>
    <t xml:space="preserve">Atlikti II etapo (centrinio tako ir teritorijos link tako į Gedminų g. atnaujinimo) darbai, proc. </t>
  </si>
  <si>
    <t xml:space="preserve">Atlikti III etapo (teritorijos šalia automobilių stovėjimo aikštelės iki Naujakiemio g. atnaujinimo) darbai, proc. </t>
  </si>
  <si>
    <r>
      <t>Valomos teritorijos plotas, km</t>
    </r>
    <r>
      <rPr>
        <vertAlign val="superscript"/>
        <sz val="10"/>
        <rFont val="Times New Roman"/>
        <family val="1"/>
        <charset val="186"/>
      </rPr>
      <t>2</t>
    </r>
  </si>
  <si>
    <t>Prižūrima gyvūnų ekskrementų dėžių, vnt.</t>
  </si>
  <si>
    <r>
      <t>Sutvarkytos prieigos – 500 m</t>
    </r>
    <r>
      <rPr>
        <vertAlign val="superscript"/>
        <sz val="10"/>
        <rFont val="Times New Roman"/>
        <family val="1"/>
        <charset val="186"/>
      </rPr>
      <t>2</t>
    </r>
    <r>
      <rPr>
        <sz val="10"/>
        <rFont val="Times New Roman"/>
        <family val="1"/>
        <charset val="186"/>
      </rPr>
      <t>,</t>
    </r>
    <r>
      <rPr>
        <vertAlign val="superscript"/>
        <sz val="10"/>
        <rFont val="Times New Roman"/>
        <family val="1"/>
        <charset val="186"/>
      </rPr>
      <t xml:space="preserve">  </t>
    </r>
    <r>
      <rPr>
        <sz val="10"/>
        <rFont val="Times New Roman"/>
        <family val="1"/>
        <charset val="186"/>
      </rPr>
      <t>proc.</t>
    </r>
  </si>
  <si>
    <t>Tikslinės teritorijos gyvenamųjų teritorijų ir gretimų visuomeninių erdvių tvarkymo galimybių studijos parengimas</t>
  </si>
  <si>
    <t xml:space="preserve">Gyvenamųjų namų kiemų kompleksinio tvarkymo tikslinėje teritorijoje  techninio projekto parengimas </t>
  </si>
  <si>
    <t xml:space="preserve">Viešosios erdvės prie buvusio „Vaidilos“ kino teatro konversijjos techninio projekto parengimas </t>
  </si>
  <si>
    <r>
      <t>Atnaujinta sienos, m</t>
    </r>
    <r>
      <rPr>
        <vertAlign val="superscript"/>
        <sz val="10"/>
        <rFont val="Times New Roman"/>
        <family val="1"/>
        <charset val="186"/>
      </rPr>
      <t>2</t>
    </r>
  </si>
  <si>
    <r>
      <t>Prižiūrimas daugiabučių kiemų plotas (atliekami 3 rūšių sezoniniai darbai), km</t>
    </r>
    <r>
      <rPr>
        <vertAlign val="superscript"/>
        <sz val="10"/>
        <rFont val="Times New Roman"/>
        <family val="1"/>
        <charset val="186"/>
      </rPr>
      <t>2</t>
    </r>
  </si>
  <si>
    <t>Karlskronos aikštės atnaujinimas</t>
  </si>
  <si>
    <t xml:space="preserve">Paminklo 1923 m. sukilėliams senosiose miesto kapinėse (Skulptūrų parke) restauravimas </t>
  </si>
  <si>
    <t xml:space="preserve">Paimtų ir sugautų gyvūnų, vnt. </t>
  </si>
  <si>
    <t>1015</t>
  </si>
  <si>
    <t>395/110</t>
  </si>
  <si>
    <t>1005</t>
  </si>
  <si>
    <t>1000</t>
  </si>
  <si>
    <t>1010</t>
  </si>
  <si>
    <t>Prižiūrėtų 3 paras sveikų gyvūnų, vnt.</t>
  </si>
  <si>
    <t>Prižiūrima autobusų stotelių paviljonų, vnt.</t>
  </si>
  <si>
    <t>P1.6.3.3</t>
  </si>
  <si>
    <t>2.3.2.5</t>
  </si>
  <si>
    <t xml:space="preserve">2.3.2.1 </t>
  </si>
  <si>
    <t>Klaipėdos miesto integruotos tikslinės teritorijos vystymo programos bei joje esančių kultūros objektų rinkodaros planų parengimas</t>
  </si>
  <si>
    <t>Parengta programa, vnt.</t>
  </si>
  <si>
    <t>Parengta rinkodaros planų, vnt.</t>
  </si>
  <si>
    <t>Eur</t>
  </si>
  <si>
    <t>Planas</t>
  </si>
  <si>
    <t>2015–2017 M. KLAIPĖDOS MIESTO SAVIVALDYBĖS</t>
  </si>
  <si>
    <t>BĮ „Klaipėdos paplūdimiai“ veiklos organizavimas:</t>
  </si>
  <si>
    <t>Pastato Garažų g. 6 remontas pritaikant BĮ „Klaipėdos paplūdimiai“ veiklai</t>
  </si>
  <si>
    <t xml:space="preserve"> Herkaus Manto gatvėje esančios mūrinės sienos remontas</t>
  </si>
  <si>
    <t>Joniškės kapinių takų ir tvoros remontas</t>
  </si>
  <si>
    <t xml:space="preserve">Šîldoma įstaigų, skaičius </t>
  </si>
  <si>
    <t xml:space="preserve">Šîldoma įstaigų, skaičius  </t>
  </si>
  <si>
    <t>Atlikti  fontano „Anikė“ hidroizoliacijos darbai, proc.</t>
  </si>
  <si>
    <t>Įrengta kalėdinė eglė ir miesto papuošimo elementai, vnt.</t>
  </si>
  <si>
    <t xml:space="preserve">Įrengta dušų (Smiltynės ir II Melnragės paplūdimiuose), skaičius </t>
  </si>
  <si>
    <t xml:space="preserve">Prižiūrima stacionarių tualetų, skaičius </t>
  </si>
  <si>
    <t xml:space="preserve">Prižiūrima konteinerinių tualetų, skaičius </t>
  </si>
  <si>
    <t xml:space="preserve">Įrengta vaikų žaidimų ir sveikatingumo aikštelių, skaičius </t>
  </si>
  <si>
    <t xml:space="preserve">Įsigytas traktorius (a. g. 114), skaičius </t>
  </si>
  <si>
    <t xml:space="preserve">Įsigyta keturračių, skaičius </t>
  </si>
  <si>
    <t xml:space="preserve">Įsigytas smėlio valymo įrenginys, skaičius  </t>
  </si>
  <si>
    <t xml:space="preserve">Įsigyta stendų, skaičius </t>
  </si>
  <si>
    <t xml:space="preserve">Eksploatuojama kamerų, skaičius </t>
  </si>
  <si>
    <t>Parengtų galimybių studijų, vnt.</t>
  </si>
  <si>
    <t xml:space="preserve">Parengta techninių projektų, skaičius </t>
  </si>
  <si>
    <t xml:space="preserve">Palaidota mirusiųjų, skaičius </t>
  </si>
  <si>
    <t>Suremontuota takų, m / tvora, vnt.</t>
  </si>
  <si>
    <t>BĮ „Klaipėdos paplūdimiai“ veiklos organizavimas</t>
  </si>
  <si>
    <t>Galimybių studijos, pritaikant II vandenvietę švietimo, sporto, saviraiškos reikmėms, parengimas</t>
  </si>
  <si>
    <t>Parengta projektų, skaičius</t>
  </si>
  <si>
    <t>Pakeista aikštės dangos, m²</t>
  </si>
  <si>
    <t>Parengta techn. projektų, skaičius</t>
  </si>
  <si>
    <t>Parengtos dokumentacijos skaičius</t>
  </si>
  <si>
    <t>Gyvūnų (šunų, kačių) indentifikavimas, beglobių  gyvūnų gaudymas, surinkimas, karantinavimas, eutanazija ir utilizavimas</t>
  </si>
  <si>
    <t xml:space="preserve">Atliktų gyvūnų eutanazijų / gaišenų surinkimo skaičius, vnt. </t>
  </si>
  <si>
    <t>SB(SPL)</t>
  </si>
  <si>
    <t>2018-ųjų metų lėšų projektas</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</si>
  <si>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</si>
  <si>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</si>
  <si>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</si>
  <si>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</si>
  <si>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t>SB(VB)</t>
  </si>
  <si>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</si>
  <si>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</si>
  <si>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SB(KPP)</t>
  </si>
  <si>
    <t>30</t>
  </si>
  <si>
    <t xml:space="preserve">Prižiūrimų tūrinių gėlinių/kitų gėlinių skaičius, vnt. </t>
  </si>
  <si>
    <t>23/299</t>
  </si>
  <si>
    <t>Miesto aikščių, skverų ir kitų bendro naudojimo teritorijų atnaujinimas ir priežiūra:</t>
  </si>
  <si>
    <t>II Melnragėje gelbėjimo stotyje esančios kavinės nuoma</t>
  </si>
  <si>
    <t>Viešojo tualeto ir dušinės paslaugų teikimas Melnragės paplūdimyje</t>
  </si>
  <si>
    <t>Daugiabučių namų atnaujinimo (modernizavimo) energinio naudingumo sertifikatų bei investicijų planų parengimas</t>
  </si>
  <si>
    <t>PATVIRTINTA
Klaipėdos miesto savivaldybės 
administracijos direktoriaus 2014 m. rugpjūčio 4 d. įsakymu AD1-2328</t>
  </si>
  <si>
    <r>
      <t xml:space="preserve"> 2015-2018 M. KLAIPĖDOS MIESTO SAVIVALDYBĖS ADMINISTRACIJOS </t>
    </r>
    <r>
      <rPr>
        <sz val="12"/>
        <color rgb="FFFF0000"/>
        <rFont val="Times New Roman"/>
        <family val="1"/>
        <charset val="186"/>
      </rPr>
      <t>VIEŠOSIOS TVARKOS SKYRIUS</t>
    </r>
  </si>
  <si>
    <r>
      <t xml:space="preserve">Funkcinės klasifikacijos kodas </t>
    </r>
    <r>
      <rPr>
        <b/>
        <sz val="10"/>
        <rFont val="Times New Roman"/>
        <family val="1"/>
        <charset val="186"/>
      </rPr>
      <t xml:space="preserve"> *</t>
    </r>
  </si>
  <si>
    <t>Lėšų poreikis biudžetiniams 2016-iesiems metams</t>
  </si>
  <si>
    <t>2016-ųjų metų asignavimų planas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</si>
  <si>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</si>
  <si>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 pagal Klaipėdos miesto savivaldybės tarybos 2014-07-31 sprendimą Nr. T2-145</t>
  </si>
  <si>
    <r>
      <t xml:space="preserve">Specialiosios programos apyvartinių lėšų likutis (pajamos už atsitiktines paslaugas) </t>
    </r>
    <r>
      <rPr>
        <b/>
        <sz val="10"/>
        <rFont val="Times New Roman"/>
        <family val="1"/>
        <charset val="186"/>
      </rPr>
      <t>SB(SPL)</t>
    </r>
  </si>
  <si>
    <r>
      <t xml:space="preserve">Savivaldybės biudžeto apyvartinių lėšų likučio lėšos </t>
    </r>
    <r>
      <rPr>
        <b/>
        <sz val="10"/>
        <rFont val="Times New Roman"/>
        <family val="1"/>
        <charset val="186"/>
      </rPr>
      <t>SB(L)</t>
    </r>
  </si>
  <si>
    <t>stebėjimas</t>
  </si>
  <si>
    <t xml:space="preserve">57 turi nuosavybė, 23 </t>
  </si>
  <si>
    <t xml:space="preserve">nauja sutartis + 15 naujų kamerų (nuoma) </t>
  </si>
  <si>
    <t>2 naujų kamerų priežiūra Minijos g. ir Baltijos prospekt. sankryžoje</t>
  </si>
  <si>
    <t>UAB "Fima" dabartinė sutartis + 57 turi nuosavybė</t>
  </si>
  <si>
    <t>TEO LT AB, 8 kamerų priežiūra</t>
  </si>
  <si>
    <t>UAB "Eurointegracijos projektai + stebėjimai</t>
  </si>
  <si>
    <t>Parengtas techninis projektas, vnt.</t>
  </si>
  <si>
    <t>Parengtas investicijų  projektas, vnt.</t>
  </si>
  <si>
    <t>Ąžuolyno giraitės sutvarkymas, gerinant gamtinę aplinką ir skatinant aktyvų laisvalaikį ir lankytojų srautus</t>
  </si>
  <si>
    <t>P2.4.2.2</t>
  </si>
  <si>
    <t>P2.4.2.3</t>
  </si>
  <si>
    <t>Pakabinta papuošimo elementų, vnt.</t>
  </si>
  <si>
    <t>MŪD  Miesto tvarkymo skyrius</t>
  </si>
  <si>
    <t>Biudžetinių įstaigų energetinių išteklių efektyvinimas</t>
  </si>
  <si>
    <t xml:space="preserve">Daugiabučių gyvenamųjų namų kvartalų priežiūros vykdymas: </t>
  </si>
  <si>
    <t>Daugiabučių namų kiemų infrastruktūros gerinimo programos įgyvendinimas:</t>
  </si>
  <si>
    <t>Vaikų žaidimo aikštelių atnaujinimas ir remontas</t>
  </si>
  <si>
    <r>
      <t xml:space="preserve">Valstybės biudžeto specialiosios tikslinės dotacijos lėšos </t>
    </r>
    <r>
      <rPr>
        <b/>
        <sz val="10"/>
        <rFont val="Times New Roman"/>
        <family val="1"/>
        <charset val="186"/>
      </rPr>
      <t>SB(KPP)</t>
    </r>
  </si>
  <si>
    <t xml:space="preserve">IED </t>
  </si>
  <si>
    <t>Įrengta elektros įvadų (žemyninės dalies paplūdimiuose), vnt.</t>
  </si>
  <si>
    <t>Gatvių ir viešųjų erdvių apšvietimo organizavimo funkcijos įgyvendinimas</t>
  </si>
  <si>
    <t>Įdiegta radijo modulių, vnt.</t>
  </si>
  <si>
    <t>Danės upės krantinių rekonstrukcija palei Danę (nuo Biržos tilto), skatinant verslumą (turizmą, smulkiąją žvejybą ir pan.), ir prieigų sutvarkymas (Danės skveras su fontanais) (dangų keitimas, mažosios architektūros objektų įrengimas, želdynų sutvarkymas ir t.t.)</t>
  </si>
  <si>
    <t>Atgimimo aikštės sutvarkymas, didinant patrauklumą investicijoms, skatinant lankytojų srautus (dangų keitimas, mažosios architektūros objektų įrengimas, želdynų sutvarkymas, automobilių stovėjimo vietų įrengimas)</t>
  </si>
  <si>
    <t>Įrengta vandens siurblio dažnio keitiklių, vnt.</t>
  </si>
  <si>
    <t>IED Statybos ir infrastruktūros plėtros sk.</t>
  </si>
  <si>
    <t>MŪD AKS</t>
  </si>
  <si>
    <t>Suženklinta automobilių stovėjimo aikštelių (prie kapinių), vnt.</t>
  </si>
  <si>
    <t>Suremontuota Joniškės kapinių takų, m</t>
  </si>
  <si>
    <t>Parengtas Joniškės kapinių želdinimo aprašas, vnt.</t>
  </si>
  <si>
    <t>Apgenėta medžių, vnt.</t>
  </si>
  <si>
    <t>Automobilių stovėjimo vietų įrengimas;</t>
  </si>
  <si>
    <t>Įrengta automobilių stovėjimo vietų, vnt.</t>
  </si>
  <si>
    <t>Atstatyta vandens kolonėlių Joniškės ir Lėbartų kapinėse, vnt.</t>
  </si>
  <si>
    <t>Įrengta užtvarų Joniškės ir Lėbartų kapinėse, vnt.</t>
  </si>
  <si>
    <t>Automatizuotos šilumos punkto  kontrolės ir valdymo sistemų aptarnavimas savivaldybės biudžetinių įstaigų pastatuose</t>
  </si>
  <si>
    <t>Atliktas Garažų g. 6 nenaudojamo pastato stogo, langų užsandarinimas, proc.</t>
  </si>
  <si>
    <t>Teritorijos šalia pastato Taikos pr.76 sutvarkymas ir privažiuojamųjų kelių rekonstrukcija pritaikant neįgaliesiems</t>
  </si>
  <si>
    <t>Klaipėdos paplūdimių</t>
  </si>
  <si>
    <t>Įsigytas krovininis automobilis, vnt</t>
  </si>
  <si>
    <t>Įsigyta vandens motociklų, vnt.</t>
  </si>
  <si>
    <t>Parengtas investicijų projektas, vnt.</t>
  </si>
  <si>
    <t>70</t>
  </si>
  <si>
    <t xml:space="preserve">BĮ "Klaipėdos paplūdimiai" </t>
  </si>
  <si>
    <t>I, P2.4.2.4</t>
  </si>
  <si>
    <t>tūkst. Eur</t>
  </si>
  <si>
    <r>
      <t xml:space="preserve">Pėsčiųjų tako tarp Gedminų g. ir Taikos pr. (nuo Nr. 99) rekonstravimas ir keleivių išlaipinimo aikštelių įrengimas </t>
    </r>
    <r>
      <rPr>
        <i/>
        <sz val="10"/>
        <rFont val="Times New Roman"/>
        <family val="1"/>
        <charset val="186"/>
      </rPr>
      <t>(Debreceno mikrorajonas)</t>
    </r>
  </si>
  <si>
    <t xml:space="preserve">Įsigyta medžių kamienų ir šaknų dekoratyvinių apsaugų, vnt. </t>
  </si>
  <si>
    <t xml:space="preserve">Įsigyta gėlinių, vnt. </t>
  </si>
  <si>
    <t>Gatvių ir kiemų apšvietimo valdymo spintų radijo modulių įdiegimas</t>
  </si>
  <si>
    <t xml:space="preserve">Prižiūrima kapinių  (įskaitant senąsias kapinaites), vnt. </t>
  </si>
  <si>
    <t xml:space="preserve">Atlikta vandentiekio tinklų  įrengimo prie viešojo tualeto Lėbartų kapinėse ir viešojo tualeto patalpų remonto darbų, proc. </t>
  </si>
  <si>
    <t>Atlikta Joniškės kapinių želdinių tvarkymo darbų pagal aprašą, proc.</t>
  </si>
  <si>
    <t xml:space="preserve"> TIKSLŲ, UŽDAVINIŲ, PRIEMONIŲ, PRIEMONIŲ IŠLAIDŲ IR PRODUKTO KRITERIJŲ DETALI SUVESTINĖ</t>
  </si>
  <si>
    <t>Paplūdimiams tvarkyti reikalingų transporto priemonių ir  inventoriaus įsigijimas</t>
  </si>
  <si>
    <t>Biudžetinių įstaigų kiemų apšvietimo tinklų plėtra ir įrengimas</t>
  </si>
  <si>
    <t>Kapinių priežiūra (valymas, apsauga, administravimas, elektros energijos pirkimas, vandens įrenginių priežiūra, kvartalinių žymeklių įrengimas, kapinių inventorizavimas, kapaviečių ženklų  įrengimas, dėžių smėliui laikyti atnaujinimas)</t>
  </si>
  <si>
    <t>Įvykdyta rinkodaros priemonių (metodinių rekomendacijų leidyba, policijos bičiulio „Amsio“ ir „Amsiuko“ įsigijimas, vaizdinės, garsinės informacijos apie saugios kaimynystės grupes sukūrimas ir sklaida ir kt.), vnt.</t>
  </si>
  <si>
    <t>Klaipėdos miesto lietaus tinklų tiesimas ir rekonstrukcija</t>
  </si>
  <si>
    <t>Rekonstruota, nutiesta lietaus nuotekų tinklų:</t>
  </si>
  <si>
    <t>Neringos skvero (prie Senojo turgaus) inventoriaus remontas ir apšvietimo atnaujinimas</t>
  </si>
  <si>
    <t xml:space="preserve">Atlikta aikštės atnaujinimo III etapo (teritorijoje nuo automobilių stovėjimo aikštelės iki Naujakiemio g.) darbų, proc. </t>
  </si>
  <si>
    <t>Klaipėdos miesto paplūdimių sutvarkymo priemonių 2016–2019 metų plano įgyvendinimas</t>
  </si>
  <si>
    <r>
      <t>Gėlynų atnaujinimas ir įrengimas</t>
    </r>
    <r>
      <rPr>
        <i/>
        <sz val="10"/>
        <rFont val="Times New Roman"/>
        <family val="1"/>
        <charset val="186"/>
      </rPr>
      <t xml:space="preserve"> </t>
    </r>
  </si>
  <si>
    <t>Apskaitos kodas</t>
  </si>
  <si>
    <t>P2.3.2.5</t>
  </si>
  <si>
    <t>07.010101</t>
  </si>
  <si>
    <t>07.010102</t>
  </si>
  <si>
    <t>07.010104</t>
  </si>
  <si>
    <t>07.010119</t>
  </si>
  <si>
    <t>07.010115</t>
  </si>
  <si>
    <t>07.010203</t>
  </si>
  <si>
    <t>07.010204</t>
  </si>
  <si>
    <t>07.010205010</t>
  </si>
  <si>
    <t>07.01030200</t>
  </si>
  <si>
    <t>07.01030202</t>
  </si>
  <si>
    <t>07.010303</t>
  </si>
  <si>
    <t>07.020202</t>
  </si>
  <si>
    <t>07.020208</t>
  </si>
  <si>
    <t xml:space="preserve">07.010401 </t>
  </si>
  <si>
    <t>07.010501</t>
  </si>
  <si>
    <t xml:space="preserve"> 07.030203</t>
  </si>
  <si>
    <t>07.020101</t>
  </si>
  <si>
    <t>07:</t>
  </si>
  <si>
    <t>0403</t>
  </si>
  <si>
    <t>0402</t>
  </si>
  <si>
    <t>0404</t>
  </si>
  <si>
    <t>0401</t>
  </si>
  <si>
    <t>0405</t>
  </si>
  <si>
    <t>07.010404</t>
  </si>
  <si>
    <t>07.030204</t>
  </si>
  <si>
    <t>07.030108</t>
  </si>
  <si>
    <t>07.010121</t>
  </si>
  <si>
    <t>07.010122</t>
  </si>
  <si>
    <t>07.010123</t>
  </si>
  <si>
    <t>07.010120</t>
  </si>
  <si>
    <t>07.010307</t>
  </si>
  <si>
    <t>07.0202012</t>
  </si>
  <si>
    <t>07.020210</t>
  </si>
  <si>
    <t>07.020114</t>
  </si>
  <si>
    <t>Projekto „Socialinio kultūrinio klasterio „Vilties miestas“ Klaipėdos aplinkos ir gerbūvio  sutvarkymas“ įgyvendinimas</t>
  </si>
  <si>
    <t>07.010124</t>
  </si>
  <si>
    <t>07.01020100</t>
  </si>
  <si>
    <t>Viešųjų erdvių (šviesoforų, fontanų, tualetų ir kt.)  apšvietimo tinklų ir įrangos eksploatacija</t>
  </si>
  <si>
    <t>07.010601</t>
  </si>
  <si>
    <t>07.010602</t>
  </si>
  <si>
    <t>07.010604</t>
  </si>
  <si>
    <t>07.010603</t>
  </si>
  <si>
    <t>07.020106</t>
  </si>
  <si>
    <t>Aiškinamojo rašto priedas Nr.3</t>
  </si>
  <si>
    <t>2016 m. asignavimų planas</t>
  </si>
  <si>
    <t>2016 m. asignavimų plano pakeitimas</t>
  </si>
  <si>
    <t>Lėšų poreikis biudžetiniams 
2017-iesiems metams</t>
  </si>
  <si>
    <t>2019-ųjų metų lėšų projektas</t>
  </si>
  <si>
    <t>2019-ieji metai</t>
  </si>
  <si>
    <t>07.010117</t>
  </si>
  <si>
    <t>11</t>
  </si>
  <si>
    <t>Vingio mikrorajono aikštės atnaujinimas</t>
  </si>
  <si>
    <t>Parengtas projektas, vnt.</t>
  </si>
  <si>
    <t>Pėsčiųjų tako tarp Gedminų g. ir Taikos pr. (nuo Nr. 109) atnaujinimas (Debreceno mikrorajonas)</t>
  </si>
  <si>
    <t>Herkaus Manto gatvėje esančios mūrinės sienos remontas</t>
  </si>
  <si>
    <t>500</t>
  </si>
  <si>
    <t>Įrengta lauko namelių gyvūnams (10 vnt.) ir ženklų „Kačių šėrimo vieta“ (10 vnt.), vnt.</t>
  </si>
  <si>
    <t>10+10</t>
  </si>
  <si>
    <t>Pakoreguotas techninis projektas vnt.</t>
  </si>
  <si>
    <t>1020</t>
  </si>
  <si>
    <t xml:space="preserve">Įsigyta mobilių gelbėjimo stočių, vnt. </t>
  </si>
  <si>
    <t>Įsigyta mobilių stebėjimo bokštelių, vnt.</t>
  </si>
  <si>
    <t>Mėlynosios vėliavos programos koordinavimo paslaugų įsigijimas</t>
  </si>
  <si>
    <t>SB(VRL)</t>
  </si>
  <si>
    <t>Kompleksinis kiemų tvarkymas (automobilių stovėjimo vietų, vaikų žaidimų aikštelių ir pan. įrengimas), prioritetą teikiant renovaciją atliekantiems (atlikusiems) namams</t>
  </si>
  <si>
    <t>Viešojo ir privataus sektorių partnerystės modelio sukūrimas, įgyvendinant projektą  „Atgimimo aikštės sutvarkymas, didinant patrauklumą investicijoms, skatinant lankytojų srautus“</t>
  </si>
  <si>
    <t>Parengta galimybių studija, vnt.</t>
  </si>
  <si>
    <t>Atsinaujinančių energijos išteklių  panaudojimas savivaldybės biudžetinių įstaigų pastatuose</t>
  </si>
  <si>
    <t xml:space="preserve">Savivaldybės biudžetinės įstaigos pilotinio energijos vartojimo efektyvumo didinimo investicijų projekto parengimas </t>
  </si>
  <si>
    <t>Parengta paraiška, vnt.</t>
  </si>
  <si>
    <t>Įstaigų (lopšelis-darželis „Aitvarėlis“, lopšelis-darželis „Ąžuoliukas“, lopšelis-darželis „Versmė“, progimnazija „Verdenė“), kuriose įrengtos saulės (fotovoltinės) elektrinės, skaičius</t>
  </si>
  <si>
    <t>2018-ųjų m. lėšų poreikis</t>
  </si>
  <si>
    <t>2019-ųjų m. lėšų poreikis</t>
  </si>
  <si>
    <t>20</t>
  </si>
  <si>
    <t>Beglobių gyvūnų gerovės ir apsaugos priemonių įgyvendinimas (gyvūnų gaudymas, surinkimas, sterilizacija, karantinavimas, eutanazija ir kt.)</t>
  </si>
  <si>
    <t>Įrengtas drenažas Sąjūdžio parko dalyje (1,50 ha plote). Užbaigtumas, proc.</t>
  </si>
  <si>
    <t>Parengtas projektas ir nutiesta paviršinių nuotekų tinklų (650 m) Barškių gatvėje. Užbaigtumas, proc.</t>
  </si>
  <si>
    <t>Įstaigų, kuriose diegiamos automatizuotos šilumos punkto  kontrolės ir valdymo sistemos, skaičius</t>
  </si>
  <si>
    <t>Prižiūrima ir remontuojama informacinės sistemos objektų (nuorodų, stendų), vnt.</t>
  </si>
  <si>
    <t>Atlikta aikštės atnaujinimo darbų. Užbaigtumas, proc.</t>
  </si>
  <si>
    <t>Atlikta aikštės sutvarkymo darbų. Užbaigtumas, proc.</t>
  </si>
  <si>
    <t>Atlikta fontano remonto darbų. Užbaigtumas, proc.</t>
  </si>
  <si>
    <t>Atlikta sienos (apie 550 m²) remonto darbų. Užbaigtumas, proc.</t>
  </si>
  <si>
    <t>Atlikta aplinkos sutvarkymo darbų. Užbaigtumas, proc.</t>
  </si>
  <si>
    <t>Atlikta takų rekonstrukcijos ir keleivių išlaipinimo aikštelių įrengimo darbų. Užbaigtumas, proc.</t>
  </si>
  <si>
    <t>Atlikta tako rekonstrukcijos darbų. Užbaigtumas, proc.</t>
  </si>
  <si>
    <t>Prižiūrima konteinerinių tualetų, vnt.</t>
  </si>
  <si>
    <t>Įsigyta keturračių, vnt.</t>
  </si>
  <si>
    <t>Nuolatinių darbuotojų skaičius</t>
  </si>
  <si>
    <t>Sezoninių darbuotojų skaičius</t>
  </si>
  <si>
    <t>Įsigyta kompiuterių, vnt.</t>
  </si>
  <si>
    <t xml:space="preserve">Atnaujinta apšvietimo atramų S. Daukanto g. (nuo H. Manto g. iki S. Neries g.)  ir  Gintaro g. (nuo I. Kanto iki Karklų g.). Užbaigtumas, proc. </t>
  </si>
  <si>
    <t xml:space="preserve">Atlikta apšvietimo įrengimo kieme I. Kanto g. 9-17 darbų. Užbaigtumas, proc. </t>
  </si>
  <si>
    <t xml:space="preserve">Atlikta apšvietimo įrengimo Lėbartų kapinių autobusų stotelėje darbų. Užbaigtumas, proc. </t>
  </si>
  <si>
    <t xml:space="preserve">Atlikta žemėlapio, esančio aikštelėje prie įvažiavimo į Klaipėdą iš šiaurinės pusės, apšvietimo įrengimo darbų. Užbaigtumas, proc. </t>
  </si>
  <si>
    <t>Eksploatuojama kamerų, vnt.</t>
  </si>
  <si>
    <t xml:space="preserve">Atlikta aikštės sutvarkymo darbų. Užbaigtumas, proc. </t>
  </si>
  <si>
    <t xml:space="preserve">Atlikta krantinių ir prieigų sutvarkymo darbų. Užbaigtumas, proc. </t>
  </si>
  <si>
    <t xml:space="preserve">Atlikta pėsčiųjų tako sutvarkymo darbų. Užbaigtumas, proc. </t>
  </si>
  <si>
    <t xml:space="preserve">Atlikta teritorijos sutvarkymo darbų. Užbaigtumas, proc. </t>
  </si>
  <si>
    <t xml:space="preserve">Atlikta aikštės ir jos prieigų sutvarkymo darbų. Užbaigtumas, proc.  </t>
  </si>
  <si>
    <t xml:space="preserve">Atlikta viešosios erdvės sutvarkymo darbų. Užbaigtumas, proc. </t>
  </si>
  <si>
    <t xml:space="preserve">Išvežta mirusiųjų iš įvykio vietos,  skaičius </t>
  </si>
  <si>
    <t xml:space="preserve">Mirusiųjų palaikų laikinas laikymas (saugojimas), skaičius </t>
  </si>
  <si>
    <t>Atlikta teritorijos (26 641 m²) sutvarkymo ir privažiuojamųjų kelių rekonstrukcijos darbų. Užbaigtumas proc.</t>
  </si>
  <si>
    <t xml:space="preserve">Atlikta viešosios erdvės (4335 m²) sutvarkymo darbų. Užbaigtumas, proc. </t>
  </si>
  <si>
    <t>Šîldoma įstaigų, vnt.</t>
  </si>
  <si>
    <t>Aptarnaujama įstaigų, vnt.</t>
  </si>
  <si>
    <t>Parengta techninių darbo projektų, vnt.</t>
  </si>
  <si>
    <t xml:space="preserve">47,4 ha Medelyno gyvenamojo rajono infrastruktūros išvystymas. I etapas
</t>
  </si>
  <si>
    <t>Skvero Bokštų gatvėje sutvarkymas</t>
  </si>
  <si>
    <t>Interaktyvios tikslinės teritorijos ir susietų teritorijų ribų žemėlapio aplikacijos sukūrimas</t>
  </si>
  <si>
    <t xml:space="preserve"> </t>
  </si>
  <si>
    <t>(Bendra projekto vertė 4 097 570 Eur, iš jų: ES lėšos 3 482 680 Eur, VB lėšos 307 295,3 Eur, SB lėšos 307 594,7 Eur)</t>
  </si>
  <si>
    <t xml:space="preserve">Parengta žemėlapio aplikacija,  skirta 2014–2020 m. integruotų investicijų programos projektų viešinimui, vnt. </t>
  </si>
  <si>
    <r>
      <t>Tvarkomų gėlynų plotas, tūkst. m</t>
    </r>
    <r>
      <rPr>
        <vertAlign val="superscript"/>
        <sz val="10"/>
        <rFont val="Times New Roman"/>
        <family val="1"/>
        <charset val="186"/>
      </rPr>
      <t xml:space="preserve">2 </t>
    </r>
  </si>
  <si>
    <t>25/299</t>
  </si>
  <si>
    <t>KVJUD</t>
  </si>
  <si>
    <t>100</t>
  </si>
  <si>
    <t>90</t>
  </si>
  <si>
    <t>61</t>
  </si>
  <si>
    <t>Įsigyta šachmatų komplektų Kurpių skvere, vnt.</t>
  </si>
  <si>
    <t>Aikštės prie Santuokų rūmų atnaujinimas</t>
  </si>
  <si>
    <t>Parengtas aprašas, vnt.</t>
  </si>
  <si>
    <t>Atlikta aikštės sutvarkymo darbų, proc.</t>
  </si>
  <si>
    <t>Skvero ties bažnyčia Panevėžio g. atnaujinimas</t>
  </si>
  <si>
    <t>Atlikta fontano "Laivelis" Meridiano skvere atnaujinimo darbų. Užbaigtumas, proc.</t>
  </si>
  <si>
    <t>7+7</t>
  </si>
  <si>
    <t>6+6</t>
  </si>
  <si>
    <t>Švietimo įstaigų želdinių tvarkymas</t>
  </si>
  <si>
    <t>Pasirasirašyta sutartis dėl dalyvavimo mėlynosios vėliavos programoje vieniems metams, vnt.</t>
  </si>
  <si>
    <t>Įsigyta paplūdimių inventoriaus (stendai, šiukšliadežės, konteineriai, persirengimo kabinos, suolai), vnt.</t>
  </si>
  <si>
    <t>Įsigytas smėlio valymo įrenginys, vnt.</t>
  </si>
  <si>
    <t>Įsigytas vandens motociklas, vnt.</t>
  </si>
  <si>
    <t>Įsigytas automobilis pliažų valymui, vnt.</t>
  </si>
  <si>
    <t>Prižiūrima stacionarių tualetų, skaičius</t>
  </si>
  <si>
    <t>Atlikta infrastruktūros įrengimo darbų. Užbaigtumas, proc.</t>
  </si>
  <si>
    <t>1/100</t>
  </si>
  <si>
    <t>Pašalinta elektros atramų Joniškės kapinėse, vnt.</t>
  </si>
  <si>
    <t>Atlikti Joniškės kapinių vartų ir vartelių, pakeitimo darbai, proc.</t>
  </si>
  <si>
    <t>Atnaujintas apšvietimas daugiabučių namų kiemuose (Švyturio g. 8, 10, Malūnininkų g. 2, J. Janonio g. 26, 28, Smilties pylimo g. 3), skaičius</t>
  </si>
  <si>
    <t>Atnaujinta žaidimų aikštelių, skaičius</t>
  </si>
  <si>
    <t>Parengta (kooreguota) planų, vnt.</t>
  </si>
  <si>
    <t>Surengta seminarų, vnt.</t>
  </si>
  <si>
    <t>Daugiabučio Vingio g. 35 modernizavimui techninio darbo projekto parengimas</t>
  </si>
  <si>
    <t>Parengtas techninis darbo projektas</t>
  </si>
  <si>
    <t>MŪD Socialinės infrastruktūros sk.</t>
  </si>
  <si>
    <t xml:space="preserve">DNSB valdymo organų veiklos priežiūros ir kontrolės vykdymas </t>
  </si>
  <si>
    <t>MŪD Socialinės infrastruktūros skyriaus Butų ir energetikos poskyris</t>
  </si>
  <si>
    <r>
      <t xml:space="preserve">Klaipėdos valstybinio jūrų uosto direkcijos lėšos </t>
    </r>
    <r>
      <rPr>
        <b/>
        <sz val="10"/>
        <rFont val="Times New Roman"/>
        <family val="1"/>
        <charset val="186"/>
      </rPr>
      <t>KVJUD</t>
    </r>
  </si>
  <si>
    <t>Atlikta geriamo vandens tyrimų Lėbartų kapinėse, vnt.</t>
  </si>
  <si>
    <t>Suremontuota vandentiekio vamzdynų  Joniškės kapinėse, m</t>
  </si>
  <si>
    <t>Trinyčių parko teritorijos sutvarkymas, gerinant gamtinę aplinką ir skatinant lankytojų srautus (atnaujinamos dangos, sutvarkomi želdiniai, įrengiama mažoji architektūra)</t>
  </si>
  <si>
    <t>12</t>
  </si>
  <si>
    <t>Sutvarkyta švietimo įstaigų želdinių (pašalinta medžių), vnt.</t>
  </si>
  <si>
    <t>Įvykdyta rinkodaros priemonių (metodinių rekomendacijų leidyba, stendo su gaisro aptikimo ir signalizavimo sistema įrengimas, prevencinės informacinės medžiagos gamyba vaizdinės, garsinės informacijos sklaida priešgaisrinės saugos tema ir kt.), vnt.</t>
  </si>
  <si>
    <t>13</t>
  </si>
  <si>
    <t>14</t>
  </si>
  <si>
    <t>15</t>
  </si>
  <si>
    <t>Atlikta skvero rekonstrukcijos darbų. Užbaigtumas, proc.</t>
  </si>
  <si>
    <t>Atlikta aikštės rekonstrukcijos darbų. Užbaigtumas, proc.</t>
  </si>
  <si>
    <t>K. Donelaičio aikštės sutvarkymas</t>
  </si>
  <si>
    <t>Skvero tarp Puodžių g. ir Bokštų g., skirto Vydūno paminklui įrengti, sutvarkymas</t>
  </si>
  <si>
    <t>Įvykdyta rinkodaros priemonių (vaizdinės, garsinės informacijos sukūrimas ir leidyba, navigacinės sistemos dviračių vagysčių prevencijai įsigijimas – 3 vnt., lipdukų ir kt. prevencinės informacinės medžiagos gamyba), vnt.</t>
  </si>
  <si>
    <t>Užtikrinti švarą ir tvarką daugiabučių gyvenamųjų namų kvartaluose, skatinti gyventojus renovuoti, prižiūrėti ir saugoti savo turtą</t>
  </si>
  <si>
    <t>Pastatyta skulptūra, vnt.</t>
  </si>
  <si>
    <t>Įrengta vaikų žaidimų aikštelių (2017 m.  Pempininkų ir Debreceno aikščių prieigose), vnt.</t>
  </si>
  <si>
    <t>I, P3.2.1.7</t>
  </si>
  <si>
    <t>Projekto „Saugus kaimynas – saugus aš“ įgyvendinimas kartu su Klaipėdos apskrities Vyriausiuoju policijos komisariatu</t>
  </si>
  <si>
    <t xml:space="preserve">2017-ųjų metų asignavimų planas
</t>
  </si>
  <si>
    <t>2017-ųjų metų asignavimų planas</t>
  </si>
  <si>
    <t>Įrengta lauko namelių gyvūnams ir ženklų „Kačių šėrimo vieta“, vnt.</t>
  </si>
  <si>
    <t>VR</t>
  </si>
  <si>
    <t>Miesto aikščių, skverų ir kitų bendro naudojimo teritorijų  priežiūra ir atnaujinimas:</t>
  </si>
  <si>
    <t>Sezoninių darbuotojų skaičiu</t>
  </si>
  <si>
    <t>Prižiūrima stacionarių tualetų, vnt.</t>
  </si>
  <si>
    <t>Darbuotojų skaičius</t>
  </si>
  <si>
    <t xml:space="preserve">Išvežta mirusiųjų iš įvykio vietos, skaičius </t>
  </si>
  <si>
    <t xml:space="preserve">* pagal Klaipėdos miesto savivaldybės tarybos sprendimus: 2015 m. gruodžio 22 d. Nr. T2-333 ir 2016 m. vasario 12 d. Nr. T2-28
</t>
  </si>
  <si>
    <t>Želdinių tvarkymas;</t>
  </si>
  <si>
    <t xml:space="preserve">Apšvietimo atnaujinimas. </t>
  </si>
  <si>
    <t xml:space="preserve">Daugiabučių namų savininkų bendrijų (DNSB) pirmininkų mokymų organizavimas </t>
  </si>
  <si>
    <t>Atlikta skvero atnaujinimo darbų (atnaujintas apšvietimas). Užbaigtumas, proc.</t>
  </si>
  <si>
    <t>Atlikta juridinių asmenų paieškų Juridinių asmenų registre, sk.</t>
  </si>
  <si>
    <t xml:space="preserve">Gaisrų prevencijos projekto „Gyvenkime saugiai“ įgyvendinimas kartu su Klaipėdos apskrities priešgaisrine gelbėjimo valdyba </t>
  </si>
  <si>
    <t>Turtinių nusikalstamų veikų (vagysčių) prevencijos projekto „Policija saugo - saugok ir pats“ įgyvendinimas kartu su Klaipėdos apskrities Vyriausiuoju policijos komisariatu</t>
  </si>
  <si>
    <t>Įsigyta šviečiančių kalėdinių elementų, vnt.</t>
  </si>
  <si>
    <t>Įsigyta šviesos elementų (LED girliandų), vnt.</t>
  </si>
  <si>
    <t>Savivaldybei priskirtų valyti ir prižiūrėti teritorijų plotas, kv.km</t>
  </si>
  <si>
    <t xml:space="preserve">Paimta, sugauta gyvūnų, vnt. </t>
  </si>
  <si>
    <t>Atlikta beglobių kačių sterilizacijų, vnt.</t>
  </si>
  <si>
    <t>Sutvarkyta Smiltynės paplūdimio prie centrinės gelbėtojų stoties infrastruktūra pagal Mėlynosios vėliavos programos reikalavimus. Užbaigtumas,  proc.</t>
  </si>
  <si>
    <t>Sutvarkyta Antrosios Melnragės paplūdimio infrastruktūra pagal Mėlynosios vėliavos programos reikalavimus. Užbaigtumas,  proc.</t>
  </si>
  <si>
    <t>Sutvarkyta Neįgaliųjų, Melnragės, Girulių ir Smiltynės prie Naujosios perkėlos  paplūdimių infrastruktūra. Užbaigtumas,  proc.</t>
  </si>
  <si>
    <t>Įrengta, atnaujinta tualetų, vnt.</t>
  </si>
  <si>
    <t>Atlikta Garažų g. 6 pastato ("Klubas") kapitalinio remonto darbų. Užbaigtumas, proc.</t>
  </si>
  <si>
    <t>Atlikta Lėbartų kapinių pagrindinės aikštės remonto darbų. Užbaigtumas, proc.</t>
  </si>
  <si>
    <t>Atlikta Lėbartų kapinių centrinio tako remonto darbų. Užbaigtumas, proc.</t>
  </si>
  <si>
    <t>Išasfaltuota pėsčiųjų takų, Joniškės ir Lėbartų kapinėse, dangos, kv. m</t>
  </si>
  <si>
    <t>Įrengta konteinerių atliekų aikštelių, m2</t>
  </si>
  <si>
    <t>Nudažyta Kopgalio kapinių metalinių konstrukcijų vartų ir tvorų. Užbaigtumas, proc.</t>
  </si>
  <si>
    <t>Atlikta Joniškės kapinių želdinių tvarkymo darbų pagal aprašą. Užbaigtumas, proc.</t>
  </si>
  <si>
    <t>(2017 m. - Šiaulių g. 19, Debreceno g. 13, Nidos g. 13, 15, 19, 21, Baltijos pr.93, Taikos pr. 77), m</t>
  </si>
  <si>
    <t>** pagal Klaipėdos miesto savivaldybės tarybos 2016 m. lapkričio 24 d. sprendimą Nr. T2-267</t>
  </si>
  <si>
    <t>Klaipėdos miesto integruotos teritorijos vystymo programos projektų įgyvendinimas:</t>
  </si>
  <si>
    <t>Įsigyta paplūdimių inventoriaus (stendų, šiukšliadėžių, konteinerių, persirengimo kabinų, suolų), vnt.</t>
  </si>
  <si>
    <t>Prižiūrima informacinės sistemos objektų (nuorodų, stendų), vnt.</t>
  </si>
  <si>
    <t>Remontuota suoliukų, vnt.</t>
  </si>
  <si>
    <t>Remontuota šiukšliadėžių, vnt.</t>
  </si>
  <si>
    <t>Atlikta Neringos skvero atnaujinimo darbų. Užbaigtumas, proc.</t>
  </si>
  <si>
    <t xml:space="preserve"> Įrengtas viešasis tualetas Vingio g. (galutinėje autobusų sustojimo vietoje), vnt. </t>
  </si>
  <si>
    <t>Akmenos-Danės upės vidaus vandens kelią administruojančių darbuotojų skaičius</t>
  </si>
  <si>
    <t>Papuošta kalėdinė eglė, kartai per metus</t>
  </si>
  <si>
    <t>Įrengtas apšvietimas Liudviko Stulpino progimnazijos teritorijoje. Užbaigtumas, proc.</t>
  </si>
  <si>
    <t>Pakeista oro linijų į kabelines (2017 m. Antrosios Melnragės g., Kretingos g. dalyje; Kretingos g. ir Šiltnamių g. dalyje, Ukmergės g. ir Molėtų g. dalyje). Užbaigtumas, proc.</t>
  </si>
  <si>
    <t>Parengtas apšvietimo įrengimo Smiltynėje pagrindiniame take techninis projektas ir atlikta darbų. Užbaigrumas, proc.</t>
  </si>
  <si>
    <t>Atnaujinta apšvietimo infrastruktūra (2017 m. Baltijos pr. ir Taikos pr. požeminėse perėjose, S. Daukanto  g. atkarpoje nuo Herkaus Manto iki Naujojo uosto g., Pilies g. atkarpoje nuo Daržų g. iki Minijos g., praėjime nuo dviračių tako iki Debreceno g. 52 namo, Puodžių g., Aukštosios g. atkarpoje nuo Daržų g. iki Turgaus a., J. Zauerveino g.,  praėjime tarp Birutės g. 22 ir Taikos pr. 46). Užbaigtumas, proc.</t>
  </si>
  <si>
    <t>Atnaujinta apšvietimo infrastruktūros kiemuose, tūkst. m.</t>
  </si>
  <si>
    <t>Įgyvendintas projektas, vnt.</t>
  </si>
  <si>
    <t>25/317</t>
  </si>
  <si>
    <t>25/335</t>
  </si>
  <si>
    <t>Atlikta skvero sutvarkymo darbų. Užbaigtumas, proc.</t>
  </si>
  <si>
    <t xml:space="preserve">Klaipėdos miesto integruotos teritorijos vystymo programos projektų įgyvendinimas: </t>
  </si>
  <si>
    <t>Turgaus aikštės su prieigomis sutvarkymas, pritaikant verslo, turizmo, bendruomenės poreikiams (aikštės ir į aikštę einančių gatvių (Šaltkalvių, Aukštoji, Skerdėjų) sutvarkymas, taikant universalaus dizaino principus)</t>
  </si>
  <si>
    <t>Viešosios erdvės prie buvusio „Vaidilos“ kino teatro konversija (dangų keitimas, mažosios architektūros elementų įrengimas, baseino sutvarkymas, poilsio aikštelių ir žaliųjų plotų įrengimas ir kt.)</t>
  </si>
  <si>
    <t>Pėsčiųjų tako sutvarkymas palei Taikos pr. nuo Sausio 15-osios iki Kauno g., paverčiant viešąja erdve, pritaikyta gyventojams bei smulkiajam ir vidutiniam verslui (įrengiant, sutvarkant želdynus, dviračių takus, mažosios architektūros elementus, įrengiant privažiavimą)</t>
  </si>
  <si>
    <t>Suremontuotas viešasis tualetas Lėbartų kapinėse, vnt.</t>
  </si>
  <si>
    <t>Įsigyta lauko reklaminių stendų dekoratyvių stogelių, vnt.</t>
  </si>
  <si>
    <r>
      <t>Sutvarkyta švietimo įstaigų želdinių</t>
    </r>
    <r>
      <rPr>
        <sz val="10"/>
        <rFont val="Times New Roman"/>
        <family val="1"/>
        <charset val="186"/>
      </rPr>
      <t>, vnt.</t>
    </r>
  </si>
  <si>
    <t xml:space="preserve">Įrengtas viešasis tualetas Vingio g. (galutinėje autobusų sustojimo vietoje), vnt. </t>
  </si>
  <si>
    <t>Atlikta Garažų g. 6 pastato kapitalinio remonto darbų. Užbaigtumas, proc.</t>
  </si>
  <si>
    <t xml:space="preserve">2016–2019 M. KLAIPĖDOS MIESTO SAVIVALDYBĖS </t>
  </si>
  <si>
    <t xml:space="preserve">2017–2019 M. KLAIPĖDOS MIESTO SAVIVALDYBĖS </t>
  </si>
  <si>
    <t>Teritorijos šalia pastato Taikos pr. 76 sutvarkymas ir privažiuojamųjų kelių rekonstravimas pritaikant neįgaliesiems</t>
  </si>
  <si>
    <t>Klaipėdos miesto lietaus tinklų tiesimas ir rekonstravimas</t>
  </si>
  <si>
    <t>Danės upės krantinių rekonstravimas  (nuo Biržos tilto), skatinant verslumą (turizmą, smulkiąją žvejybą ir pan.), ir prieigų sutvarkymas (Danės skveras su fontanais) (dangų keitimas, mažosios architektūros objektų įrengimas, želdynų sutvarkymas ir t. t.)</t>
  </si>
  <si>
    <t>Pėsčiųjų tako sutvarkymas palei Taikos pr. nuo Sausio 15-osios iki Kauno g., paverčiant viešąja erdve, pritaikyta gyventojams bei smulkiajam ir vidutiniam verslui (įrengiant, sutvarkant želdynus, dviračių takus, mažosios architektūros elementus, įrengiant privažiuojamąjį kelią)</t>
  </si>
  <si>
    <t>Interaktyvios tikslinės teritorijos ir susietų teritorijų ribų žemėlapio programos sukūrimas</t>
  </si>
  <si>
    <t>Želdinių tvarkymas</t>
  </si>
  <si>
    <t>Automobilių stovėjimo vietų įrengimas</t>
  </si>
  <si>
    <t>Apšvietimo atnaujinimas</t>
  </si>
  <si>
    <t>Daugiabučio namo Vingio g. 35 modernizavimo techninio darbo projekto parengimas</t>
  </si>
  <si>
    <t>Projekto „Saugus kaimynas – saugus aš“ įgyvendinimas kartu su Klaipėdos apskrities vyriausiuoju policijos komisariatu</t>
  </si>
  <si>
    <t>Turtinių nusikalstamų veikų (vagysčių) prevencijos projekto „Policija saugo – saugok ir pats“ įgyvendinimas kartu su Klaipėdos apskrities vyriausiuoju policijos komisariatu</t>
  </si>
  <si>
    <t>Tvarkomų gėlynų plotas, tūkst. M²</t>
  </si>
  <si>
    <t xml:space="preserve">Prižiūrimų tūrinių gėlinių / kitų gėlinių skaičius, vnt. </t>
  </si>
  <si>
    <t>Atlikta fontano „Laivelis“ skvere prie burlaivio „Meridianas“ atnaujinimo darbų. Užbaigtumas, proc.</t>
  </si>
  <si>
    <t>Pasirasirašyta sutartis dėl dalyvavimo Mėlynosios vėliavos programoje vieniems metams, vnt.</t>
  </si>
  <si>
    <t>Įsigyta paplūdimiams tvarkyti reikalingų transporto priemonių (2017 m. –  mobiliosios gelbėjimo stotys, mobilieji stebėjimo bokšteliai, vandens motociklas, automobilis, smėlio valymo įrenginys), vnt.</t>
  </si>
  <si>
    <t>Atnaujinta apšvietimo infrastruktūra (2017 m. Baltijos pr. ir Taikos pr. požeminėse perėjose, S. Daukanto  g. ruože nuo Herkaus Manto iki Naujosios Uosto g., Pilies g. ruože nuo Daržų g. iki Minijos g., praėjimo vietoje nuo dviračių tako iki Debreceno g. 52 namo, Puodžių g., Aukštosios g. ruože nuo Daržų g. iki Turgaus a., J. Zauerveino g.,  praėjimo vietoje tarp Birutės g. 22 ir Taikos pr. 46). Užbaigtumas, proc.</t>
  </si>
  <si>
    <t xml:space="preserve">Parengta interaktyvi žemėlapio programa, skirta 2014–2020 m. integruotų investicijų programos projektams viešinti, vnt. </t>
  </si>
  <si>
    <t>Išasfaltuota pėsčiųjų takų Joniškės ir Lėbartų kapinėse dangos, kv. m</t>
  </si>
  <si>
    <t>Įrengta konteinerių atliekų aikštelių, m²</t>
  </si>
  <si>
    <t>Parengta (koreguota) planų, vnt.</t>
  </si>
  <si>
    <t>Rekonstruota lietaus nuotekų tinklų (2017 m. – Šiaulių g. 19, Debreceno g. 13, Nidos g. 13, 15, 19, 21, Baltijos pr.93, Taikos pr. 77), m</t>
  </si>
  <si>
    <t>Atlikta aikštės rekonstravimo darbų. Užbaigtumas, proc.</t>
  </si>
  <si>
    <t>Atlikta skvero rekonstravimo darbų. Užbaigtumas, proc.</t>
  </si>
  <si>
    <t>Atlikta tako rekonstravimo darbų. Užbaigtumas, proc.</t>
  </si>
  <si>
    <t>Atlikta teritorijos sutvarkymo ir privažiuojamųjų kelių rekonstravimo darbų. Užbaigtumas proc.</t>
  </si>
  <si>
    <t>Atlikta takų rekonstravimo ir keleivių išlaipinimo aikštelių įrengimo darbų. Užbaigtumas, proc.</t>
  </si>
  <si>
    <t xml:space="preserve">Klaipėdos miesto savivaldybės infrastruktūros objektų priežiūros ir modernizavimo programos (Nr. 07) aprašymo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</si>
</sst>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6"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vertAlign val="superscript"/>
      <sz val="10"/>
      <name val="Times New Roman"/>
      <family val="1"/>
      <charset val="186"/>
    </font>
    <font>
      <b/>
      <u/>
      <sz val="10"/>
      <name val="Times New Roman"/>
      <family val="1"/>
      <charset val="186"/>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9"/>
      <name val="Arial"/>
      <family val="2"/>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9"/>
      <name val="Times New Roman"/>
      <family val="1"/>
    </font>
    <font>
      <sz val="10"/>
      <color rgb="FFFF0000"/>
      <name val="Times New Roman"/>
      <family val="1"/>
      <charset val="186"/>
    </font>
    <font>
      <sz val="7"/>
      <name val="Times New Roman"/>
      <family val="1"/>
      <charset val="186"/>
    </font>
    <font>
      <vertAlign val="superscript"/>
      <sz val="9"/>
      <name val="Times New Roman"/>
      <family val="1"/>
      <charset val="186"/>
    </font>
    <font>
      <strike/>
      <sz val="10"/>
      <name val="Times New Roman"/>
      <family val="1"/>
      <charset val="186"/>
    </font>
    <font>
      <strike/>
      <sz val="10"/>
      <color rgb="FFFF0000"/>
      <name val="Times New Roman"/>
      <family val="1"/>
      <charset val="186"/>
    </font>
    <font>
      <b/>
      <strike/>
      <sz val="10"/>
      <color rgb="FFFF0000"/>
      <name val="Times New Roman"/>
      <family val="1"/>
      <charset val="186"/>
    </font>
    <font>
      <b/>
      <sz val="10"/>
      <color rgb="FFFF0000"/>
      <name val="Times New Roman"/>
      <family val="1"/>
      <charset val="186"/>
    </font>
    <font>
      <sz val="9"/>
      <color rgb="FFFF0000"/>
      <name val="Arial"/>
      <family val="2"/>
      <charset val="186"/>
    </font>
    <font>
      <sz val="10"/>
      <color rgb="FFFF0000"/>
      <name val="Arial"/>
      <family val="2"/>
      <charset val="186"/>
    </font>
    <font>
      <b/>
      <i/>
      <sz val="12"/>
      <name val="Times New Roman"/>
      <family val="1"/>
      <charset val="186"/>
    </font>
    <font>
      <sz val="12"/>
      <name val="Arial"/>
      <family val="2"/>
      <charset val="186"/>
    </font>
    <font>
      <b/>
      <sz val="9"/>
      <color indexed="81"/>
      <name val="Tahoma"/>
      <family val="2"/>
      <charset val="186"/>
    </font>
    <font>
      <b/>
      <sz val="10"/>
      <name val="Arial"/>
      <family val="2"/>
      <charset val="186"/>
    </font>
    <font>
      <sz val="10"/>
      <color theme="6" tint="-0.249977111117893"/>
      <name val="Times New Roman"/>
      <family val="1"/>
      <charset val="186"/>
    </font>
    <font>
      <sz val="12"/>
      <color rgb="FFFF0000"/>
      <name val="Times New Roman"/>
      <family val="1"/>
      <charset val="186"/>
    </font>
    <font>
      <b/>
      <sz val="9"/>
      <name val="Times New Roman"/>
      <family val="1"/>
    </font>
    <font>
      <sz val="8"/>
      <name val="Times New Roman"/>
      <family val="1"/>
    </font>
    <font>
      <i/>
      <sz val="10"/>
      <name val="Times New Roman"/>
      <family val="1"/>
      <charset val="186"/>
    </font>
    <font>
      <sz val="11"/>
      <name val="Calibri"/>
      <family val="2"/>
      <charset val="186"/>
      <scheme val="minor"/>
    </font>
    <font>
      <sz val="11"/>
      <name val="Times New Roman"/>
      <family val="1"/>
      <charset val="186"/>
    </font>
    <font>
      <b/>
      <sz val="8"/>
      <name val="Arial"/>
      <family val="2"/>
      <charset val="186"/>
    </font>
    <font>
      <i/>
      <sz val="9"/>
      <name val="Times New Roman"/>
      <family val="1"/>
      <charset val="186"/>
    </font>
    <font>
      <sz val="10"/>
      <color theme="0"/>
      <name val="Times New Roman"/>
      <family val="1"/>
      <charset val="186"/>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CCFF"/>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5D9F1"/>
        <bgColor indexed="64"/>
      </patternFill>
    </fill>
    <fill>
      <patternFill patternType="solid">
        <fgColor rgb="FFDDD9C4"/>
        <bgColor indexed="64"/>
      </patternFill>
    </fill>
    <fill>
      <patternFill patternType="solid">
        <fgColor rgb="FFCCECFF"/>
        <bgColor indexed="64"/>
      </patternFill>
    </fill>
  </fills>
  <borders count="129">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style="medium">
        <color rgb="FF000000"/>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s>
  <cellStyleXfs count="3">
    <xf numFmtId="0" fontId="0" fillId="0" borderId="0"/>
    <xf numFmtId="0" fontId="7" fillId="0" borderId="0"/>
    <xf numFmtId="0" fontId="3" fillId="2" borderId="1" applyBorder="0">
      <alignment horizontal="left" vertical="top" wrapText="1"/>
    </xf>
  </cellStyleXfs>
  <cellXfs count="3221">
    <xf numFmtId="0" fontId="0" fillId="0" borderId="0" xfId="0"/>
    <xf numFmtId="0" fontId="3" fillId="0" borderId="0" xfId="0" applyFont="1" applyAlignment="1">
      <alignment horizontal="left"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Fill="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7" xfId="0" applyFont="1" applyFill="1" applyBorder="1" applyAlignment="1">
      <alignment horizontal="center" vertical="top"/>
    </xf>
    <xf numFmtId="0" fontId="3" fillId="0" borderId="9" xfId="0" applyFont="1" applyFill="1" applyBorder="1" applyAlignment="1">
      <alignment horizontal="center" vertical="top"/>
    </xf>
    <xf numFmtId="0" fontId="3" fillId="0" borderId="0" xfId="0" applyFont="1" applyFill="1" applyAlignment="1">
      <alignment vertical="top"/>
    </xf>
    <xf numFmtId="0" fontId="3" fillId="2" borderId="0" xfId="0" applyFont="1" applyFill="1" applyAlignment="1">
      <alignment vertical="top"/>
    </xf>
    <xf numFmtId="164" fontId="3" fillId="0" borderId="6" xfId="0" applyNumberFormat="1" applyFont="1" applyFill="1" applyBorder="1" applyAlignment="1">
      <alignment horizontal="right" vertical="top"/>
    </xf>
    <xf numFmtId="164" fontId="5" fillId="3" borderId="22" xfId="0" applyNumberFormat="1" applyFont="1" applyFill="1" applyBorder="1" applyAlignment="1">
      <alignment horizontal="righ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10" xfId="0" applyFont="1" applyBorder="1" applyAlignment="1">
      <alignment vertical="top" wrapText="1"/>
    </xf>
    <xf numFmtId="0" fontId="3" fillId="0" borderId="11" xfId="0" applyFont="1" applyBorder="1" applyAlignment="1">
      <alignment vertical="top" wrapText="1"/>
    </xf>
    <xf numFmtId="0" fontId="8" fillId="0" borderId="25" xfId="0" applyFont="1" applyBorder="1" applyAlignment="1">
      <alignment horizontal="center" vertical="center" wrapText="1"/>
    </xf>
    <xf numFmtId="0" fontId="7" fillId="0" borderId="0" xfId="0" applyFont="1"/>
    <xf numFmtId="3" fontId="3" fillId="0" borderId="17"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3" fontId="3" fillId="0" borderId="27" xfId="0" applyNumberFormat="1" applyFont="1" applyFill="1" applyBorder="1" applyAlignment="1">
      <alignment horizontal="center" vertical="top" wrapText="1"/>
    </xf>
    <xf numFmtId="164" fontId="3" fillId="0" borderId="9"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5" fontId="3" fillId="0" borderId="29" xfId="0" applyNumberFormat="1"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36" xfId="0" applyFont="1" applyFill="1" applyBorder="1" applyAlignment="1">
      <alignment horizontal="center" vertical="top" wrapText="1"/>
    </xf>
    <xf numFmtId="164" fontId="3" fillId="0" borderId="7" xfId="0" applyNumberFormat="1" applyFont="1" applyFill="1" applyBorder="1" applyAlignment="1">
      <alignment horizontal="right" vertical="top" wrapText="1"/>
    </xf>
    <xf numFmtId="165" fontId="3" fillId="0" borderId="17" xfId="0" applyNumberFormat="1" applyFont="1" applyFill="1" applyBorder="1" applyAlignment="1">
      <alignment vertical="top" textRotation="90"/>
    </xf>
    <xf numFmtId="165" fontId="3" fillId="0" borderId="28" xfId="0" applyNumberFormat="1" applyFont="1" applyFill="1" applyBorder="1" applyAlignment="1">
      <alignment vertical="top"/>
    </xf>
    <xf numFmtId="165" fontId="3" fillId="0" borderId="29" xfId="0" applyNumberFormat="1" applyFont="1" applyFill="1" applyBorder="1" applyAlignment="1">
      <alignment vertical="top"/>
    </xf>
    <xf numFmtId="164" fontId="3" fillId="0" borderId="9" xfId="0" applyNumberFormat="1" applyFont="1" applyFill="1" applyBorder="1" applyAlignment="1">
      <alignment horizontal="right" vertical="top" wrapText="1"/>
    </xf>
    <xf numFmtId="164" fontId="3" fillId="2" borderId="7" xfId="0" applyNumberFormat="1" applyFont="1" applyFill="1" applyBorder="1" applyAlignment="1">
      <alignment horizontal="right" vertical="top" wrapText="1"/>
    </xf>
    <xf numFmtId="0" fontId="3" fillId="0" borderId="0" xfId="0" applyFont="1" applyAlignment="1">
      <alignment vertical="center"/>
    </xf>
    <xf numFmtId="0" fontId="3" fillId="0" borderId="40" xfId="0" applyFont="1" applyBorder="1" applyAlignment="1">
      <alignment vertical="top"/>
    </xf>
    <xf numFmtId="0" fontId="3" fillId="0" borderId="10" xfId="0" applyFont="1" applyFill="1" applyBorder="1" applyAlignment="1">
      <alignment vertical="center" textRotation="90" wrapText="1"/>
    </xf>
    <xf numFmtId="0" fontId="3" fillId="0" borderId="11" xfId="0" applyFont="1" applyFill="1" applyBorder="1" applyAlignment="1">
      <alignment vertical="center" textRotation="90" wrapText="1"/>
    </xf>
    <xf numFmtId="164" fontId="3" fillId="2" borderId="23" xfId="0" applyNumberFormat="1" applyFont="1" applyFill="1" applyBorder="1" applyAlignment="1">
      <alignment horizontal="right" vertical="top" wrapText="1"/>
    </xf>
    <xf numFmtId="0" fontId="11" fillId="0" borderId="0" xfId="0" applyFont="1" applyBorder="1" applyAlignment="1">
      <alignment vertical="top"/>
    </xf>
    <xf numFmtId="0" fontId="3" fillId="0" borderId="42" xfId="0" applyNumberFormat="1" applyFont="1" applyFill="1" applyBorder="1" applyAlignment="1">
      <alignment horizontal="center" vertical="top"/>
    </xf>
    <xf numFmtId="0" fontId="3" fillId="0" borderId="21" xfId="0" applyNumberFormat="1" applyFont="1" applyFill="1" applyBorder="1" applyAlignment="1">
      <alignment horizontal="center" vertical="top"/>
    </xf>
    <xf numFmtId="164" fontId="3" fillId="2" borderId="44" xfId="0" applyNumberFormat="1" applyFont="1" applyFill="1" applyBorder="1" applyAlignment="1">
      <alignment horizontal="right" vertical="top" wrapText="1"/>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3" fontId="3" fillId="0" borderId="34" xfId="0" applyNumberFormat="1" applyFont="1" applyFill="1" applyBorder="1" applyAlignment="1">
      <alignment horizontal="center" vertical="top"/>
    </xf>
    <xf numFmtId="0" fontId="3" fillId="0" borderId="45" xfId="0" applyFont="1" applyFill="1" applyBorder="1" applyAlignment="1">
      <alignment vertical="top" wrapText="1"/>
    </xf>
    <xf numFmtId="0" fontId="3" fillId="0" borderId="31" xfId="0" applyFont="1" applyFill="1" applyBorder="1" applyAlignment="1">
      <alignment vertical="top" wrapText="1"/>
    </xf>
    <xf numFmtId="0" fontId="3" fillId="0" borderId="0" xfId="0" applyNumberFormat="1" applyFont="1" applyFill="1" applyBorder="1" applyAlignment="1">
      <alignment vertical="top" wrapText="1"/>
    </xf>
    <xf numFmtId="1" fontId="2" fillId="0" borderId="17" xfId="0" applyNumberFormat="1" applyFont="1" applyFill="1" applyBorder="1" applyAlignment="1">
      <alignment horizontal="center" vertical="top"/>
    </xf>
    <xf numFmtId="0" fontId="5" fillId="0" borderId="0" xfId="0" applyNumberFormat="1" applyFont="1" applyAlignment="1">
      <alignment horizontal="center" vertical="top"/>
    </xf>
    <xf numFmtId="164" fontId="3" fillId="0" borderId="24"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3" fontId="3" fillId="0" borderId="2"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4" fontId="3" fillId="2" borderId="9" xfId="0" applyNumberFormat="1" applyFont="1" applyFill="1" applyBorder="1" applyAlignment="1">
      <alignment horizontal="right" vertical="top" wrapText="1"/>
    </xf>
    <xf numFmtId="49" fontId="5" fillId="2" borderId="17" xfId="0" applyNumberFormat="1" applyFont="1" applyFill="1" applyBorder="1" applyAlignment="1">
      <alignment horizontal="center" vertical="top"/>
    </xf>
    <xf numFmtId="164" fontId="3" fillId="0" borderId="0" xfId="0" applyNumberFormat="1" applyFont="1" applyBorder="1" applyAlignment="1">
      <alignment horizontal="left" vertical="top"/>
    </xf>
    <xf numFmtId="0" fontId="9" fillId="0" borderId="46" xfId="0" applyFont="1" applyFill="1" applyBorder="1" applyAlignment="1">
      <alignment horizontal="center" vertical="top"/>
    </xf>
    <xf numFmtId="0" fontId="9" fillId="0" borderId="8" xfId="0" applyFont="1" applyFill="1" applyBorder="1" applyAlignment="1">
      <alignment horizontal="left" vertical="top" wrapText="1"/>
    </xf>
    <xf numFmtId="0" fontId="9" fillId="0" borderId="28" xfId="0" applyFont="1" applyFill="1" applyBorder="1" applyAlignment="1">
      <alignment horizontal="center" vertical="top" wrapText="1"/>
    </xf>
    <xf numFmtId="3" fontId="3" fillId="2" borderId="17" xfId="0" applyNumberFormat="1" applyFont="1" applyFill="1" applyBorder="1" applyAlignment="1">
      <alignment horizontal="center" vertical="top"/>
    </xf>
    <xf numFmtId="3" fontId="3" fillId="2" borderId="19" xfId="0" applyNumberFormat="1" applyFont="1" applyFill="1" applyBorder="1" applyAlignment="1">
      <alignment horizontal="center" vertical="top"/>
    </xf>
    <xf numFmtId="0" fontId="3" fillId="0" borderId="31" xfId="0" applyFont="1" applyBorder="1" applyAlignment="1">
      <alignment vertical="top" wrapText="1"/>
    </xf>
    <xf numFmtId="3" fontId="3" fillId="2" borderId="34" xfId="0" applyNumberFormat="1" applyFont="1" applyFill="1" applyBorder="1" applyAlignment="1">
      <alignment horizontal="center" vertical="top"/>
    </xf>
    <xf numFmtId="164" fontId="3" fillId="2" borderId="46" xfId="0" applyNumberFormat="1" applyFont="1" applyFill="1" applyBorder="1" applyAlignment="1">
      <alignment horizontal="right" vertical="top" wrapText="1"/>
    </xf>
    <xf numFmtId="164" fontId="3" fillId="0" borderId="0" xfId="0" applyNumberFormat="1" applyFont="1" applyAlignment="1">
      <alignment vertical="top"/>
    </xf>
    <xf numFmtId="164" fontId="3" fillId="2" borderId="0" xfId="0" applyNumberFormat="1" applyFont="1" applyFill="1" applyBorder="1" applyAlignment="1">
      <alignment horizontal="right" vertical="top" wrapText="1"/>
    </xf>
    <xf numFmtId="164" fontId="3" fillId="0" borderId="42" xfId="0" applyNumberFormat="1" applyFont="1" applyFill="1" applyBorder="1" applyAlignment="1">
      <alignment horizontal="right" vertical="top"/>
    </xf>
    <xf numFmtId="164" fontId="3" fillId="2" borderId="6" xfId="0" applyNumberFormat="1" applyFont="1" applyFill="1" applyBorder="1" applyAlignment="1">
      <alignment horizontal="right" vertical="top"/>
    </xf>
    <xf numFmtId="49" fontId="5" fillId="0" borderId="53" xfId="0" applyNumberFormat="1" applyFont="1" applyBorder="1" applyAlignment="1">
      <alignment horizontal="center" vertical="top"/>
    </xf>
    <xf numFmtId="3" fontId="3" fillId="0" borderId="19" xfId="0" applyNumberFormat="1" applyFont="1" applyFill="1" applyBorder="1" applyAlignment="1">
      <alignment vertical="top" wrapText="1"/>
    </xf>
    <xf numFmtId="3" fontId="3" fillId="0" borderId="26" xfId="0" applyNumberFormat="1" applyFont="1" applyFill="1" applyBorder="1" applyAlignment="1">
      <alignment vertical="top" wrapText="1"/>
    </xf>
    <xf numFmtId="3" fontId="3" fillId="0" borderId="27" xfId="0" applyNumberFormat="1" applyFont="1" applyFill="1" applyBorder="1" applyAlignment="1">
      <alignment vertical="top" wrapText="1"/>
    </xf>
    <xf numFmtId="164" fontId="3" fillId="0" borderId="0" xfId="0" applyNumberFormat="1" applyFont="1" applyBorder="1" applyAlignment="1">
      <alignment vertical="top"/>
    </xf>
    <xf numFmtId="49" fontId="5" fillId="3" borderId="28" xfId="0" applyNumberFormat="1" applyFont="1" applyFill="1" applyBorder="1" applyAlignment="1">
      <alignment horizontal="center" vertical="top" wrapText="1"/>
    </xf>
    <xf numFmtId="0" fontId="3" fillId="0" borderId="0" xfId="0" applyFont="1" applyAlignment="1">
      <alignment horizontal="center" vertical="top"/>
    </xf>
    <xf numFmtId="49" fontId="5" fillId="0" borderId="54"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4" borderId="56" xfId="0" applyNumberFormat="1" applyFont="1" applyFill="1" applyBorder="1" applyAlignment="1">
      <alignment horizontal="center" vertical="top"/>
    </xf>
    <xf numFmtId="49" fontId="5" fillId="4" borderId="40" xfId="0" applyNumberFormat="1" applyFont="1" applyFill="1" applyBorder="1" applyAlignment="1">
      <alignment horizontal="center" vertical="top"/>
    </xf>
    <xf numFmtId="49" fontId="5" fillId="4" borderId="31" xfId="0" applyNumberFormat="1" applyFont="1" applyFill="1" applyBorder="1" applyAlignment="1">
      <alignment horizontal="center" vertical="top"/>
    </xf>
    <xf numFmtId="49" fontId="5" fillId="3" borderId="34" xfId="0" applyNumberFormat="1" applyFont="1" applyFill="1" applyBorder="1" applyAlignment="1">
      <alignment horizontal="center" vertical="top"/>
    </xf>
    <xf numFmtId="49" fontId="5" fillId="4" borderId="16" xfId="0" applyNumberFormat="1" applyFont="1" applyFill="1" applyBorder="1" applyAlignment="1">
      <alignment horizontal="center" vertical="top" wrapText="1"/>
    </xf>
    <xf numFmtId="49" fontId="5" fillId="4" borderId="35" xfId="0" applyNumberFormat="1" applyFont="1" applyFill="1" applyBorder="1" applyAlignment="1">
      <alignment horizontal="center" vertical="top"/>
    </xf>
    <xf numFmtId="49" fontId="5" fillId="4" borderId="63" xfId="0" applyNumberFormat="1" applyFont="1" applyFill="1" applyBorder="1" applyAlignment="1">
      <alignment horizontal="center" vertical="top"/>
    </xf>
    <xf numFmtId="49" fontId="5" fillId="4" borderId="8" xfId="0" applyNumberFormat="1" applyFont="1" applyFill="1" applyBorder="1" applyAlignment="1">
      <alignment horizontal="center" vertical="top" wrapText="1"/>
    </xf>
    <xf numFmtId="164" fontId="5" fillId="4" borderId="25" xfId="0" applyNumberFormat="1" applyFont="1" applyFill="1" applyBorder="1" applyAlignment="1">
      <alignment horizontal="right" vertical="top"/>
    </xf>
    <xf numFmtId="49" fontId="5" fillId="5" borderId="56" xfId="0" applyNumberFormat="1" applyFont="1" applyFill="1" applyBorder="1" applyAlignment="1">
      <alignment horizontal="center" vertical="top"/>
    </xf>
    <xf numFmtId="164" fontId="3" fillId="2" borderId="53" xfId="0" applyNumberFormat="1" applyFont="1" applyFill="1" applyBorder="1" applyAlignment="1">
      <alignment horizontal="right" vertical="top" wrapText="1"/>
    </xf>
    <xf numFmtId="164" fontId="3" fillId="0" borderId="52" xfId="0" applyNumberFormat="1" applyFont="1" applyFill="1" applyBorder="1" applyAlignment="1">
      <alignment horizontal="right" vertical="top"/>
    </xf>
    <xf numFmtId="164" fontId="3" fillId="0" borderId="55" xfId="0" applyNumberFormat="1" applyFont="1" applyFill="1" applyBorder="1" applyAlignment="1">
      <alignment horizontal="right" vertical="top" wrapText="1"/>
    </xf>
    <xf numFmtId="164" fontId="3" fillId="0" borderId="53" xfId="0" applyNumberFormat="1" applyFont="1" applyFill="1" applyBorder="1" applyAlignment="1">
      <alignment horizontal="right" vertical="top" wrapText="1"/>
    </xf>
    <xf numFmtId="1" fontId="3" fillId="0" borderId="17"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164" fontId="3" fillId="2" borderId="65" xfId="0" applyNumberFormat="1" applyFont="1" applyFill="1" applyBorder="1" applyAlignment="1">
      <alignment horizontal="right" vertical="top" wrapText="1"/>
    </xf>
    <xf numFmtId="164" fontId="3" fillId="2" borderId="58" xfId="0" applyNumberFormat="1" applyFont="1" applyFill="1" applyBorder="1" applyAlignment="1">
      <alignment horizontal="right" vertical="center"/>
    </xf>
    <xf numFmtId="164" fontId="3" fillId="2" borderId="7" xfId="0" applyNumberFormat="1" applyFont="1" applyFill="1" applyBorder="1" applyAlignment="1">
      <alignment horizontal="right" vertical="center"/>
    </xf>
    <xf numFmtId="165" fontId="3" fillId="2" borderId="21" xfId="0" applyNumberFormat="1" applyFont="1" applyFill="1" applyBorder="1" applyAlignment="1">
      <alignment horizontal="center" vertical="top"/>
    </xf>
    <xf numFmtId="165" fontId="3" fillId="2" borderId="1" xfId="0" applyNumberFormat="1" applyFont="1" applyFill="1" applyBorder="1" applyAlignment="1">
      <alignment horizontal="center" vertical="top"/>
    </xf>
    <xf numFmtId="0" fontId="3" fillId="0" borderId="16" xfId="0" applyFont="1" applyFill="1" applyBorder="1" applyAlignment="1">
      <alignment vertical="top" wrapText="1"/>
    </xf>
    <xf numFmtId="165" fontId="3" fillId="0" borderId="2" xfId="0" applyNumberFormat="1" applyFont="1" applyFill="1" applyBorder="1" applyAlignment="1">
      <alignment horizontal="center" vertical="top" wrapText="1"/>
    </xf>
    <xf numFmtId="3" fontId="3" fillId="0" borderId="33" xfId="0" applyNumberFormat="1" applyFont="1" applyFill="1" applyBorder="1" applyAlignment="1">
      <alignment vertical="top" wrapText="1"/>
    </xf>
    <xf numFmtId="0" fontId="9" fillId="0" borderId="24" xfId="0" applyFont="1" applyFill="1" applyBorder="1" applyAlignment="1">
      <alignment horizontal="center" vertical="top" wrapText="1"/>
    </xf>
    <xf numFmtId="0" fontId="3" fillId="2" borderId="18" xfId="0" applyFont="1" applyFill="1" applyBorder="1" applyAlignment="1">
      <alignment horizontal="left" vertical="top" wrapText="1"/>
    </xf>
    <xf numFmtId="0" fontId="16" fillId="2" borderId="47" xfId="0" applyFont="1" applyFill="1" applyBorder="1" applyAlignment="1">
      <alignment horizontal="left" vertical="top" wrapText="1"/>
    </xf>
    <xf numFmtId="0" fontId="3" fillId="2" borderId="37" xfId="0" applyFont="1" applyFill="1" applyBorder="1" applyAlignment="1">
      <alignment horizontal="left" vertical="top" wrapText="1"/>
    </xf>
    <xf numFmtId="164" fontId="3" fillId="2" borderId="71" xfId="0" applyNumberFormat="1" applyFont="1" applyFill="1" applyBorder="1" applyAlignment="1">
      <alignment horizontal="right" vertical="top" wrapText="1"/>
    </xf>
    <xf numFmtId="164" fontId="3" fillId="2" borderId="43" xfId="0" applyNumberFormat="1" applyFont="1" applyFill="1" applyBorder="1" applyAlignment="1">
      <alignment horizontal="right" vertical="top" wrapText="1"/>
    </xf>
    <xf numFmtId="164" fontId="3" fillId="0" borderId="23" xfId="0" applyNumberFormat="1" applyFont="1" applyFill="1" applyBorder="1" applyAlignment="1">
      <alignment horizontal="right" vertical="top"/>
    </xf>
    <xf numFmtId="3" fontId="3" fillId="0" borderId="21"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165" fontId="3" fillId="0" borderId="28" xfId="0" applyNumberFormat="1" applyFont="1" applyFill="1" applyBorder="1" applyAlignment="1">
      <alignment horizontal="center" vertical="top" wrapText="1"/>
    </xf>
    <xf numFmtId="0" fontId="3" fillId="0" borderId="33" xfId="0" applyNumberFormat="1" applyFont="1" applyBorder="1" applyAlignment="1">
      <alignment horizontal="center" vertical="top"/>
    </xf>
    <xf numFmtId="0" fontId="3" fillId="0" borderId="1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70" xfId="0" applyFont="1" applyBorder="1" applyAlignment="1">
      <alignment vertical="top" wrapText="1"/>
    </xf>
    <xf numFmtId="0" fontId="3" fillId="0" borderId="34" xfId="0" applyNumberFormat="1" applyFont="1" applyBorder="1" applyAlignment="1">
      <alignment horizontal="center" vertical="top"/>
    </xf>
    <xf numFmtId="0" fontId="3" fillId="0" borderId="19" xfId="0" applyNumberFormat="1" applyFont="1" applyBorder="1" applyAlignment="1">
      <alignment horizontal="center" vertical="top"/>
    </xf>
    <xf numFmtId="0" fontId="3" fillId="2" borderId="18" xfId="0" applyFont="1" applyFill="1" applyBorder="1" applyAlignment="1">
      <alignment vertical="top" wrapText="1"/>
    </xf>
    <xf numFmtId="0" fontId="3" fillId="0" borderId="40" xfId="0" applyFont="1" applyBorder="1" applyAlignment="1">
      <alignment horizontal="center" vertical="top"/>
    </xf>
    <xf numFmtId="0" fontId="3" fillId="0" borderId="40" xfId="0" applyFont="1" applyFill="1" applyBorder="1" applyAlignment="1">
      <alignment horizontal="center" vertical="top" wrapText="1"/>
    </xf>
    <xf numFmtId="0" fontId="3" fillId="2" borderId="11" xfId="0" applyFont="1" applyFill="1" applyBorder="1" applyAlignment="1">
      <alignment vertical="top" wrapText="1"/>
    </xf>
    <xf numFmtId="0" fontId="7" fillId="0" borderId="35" xfId="0" applyFont="1" applyBorder="1" applyAlignment="1">
      <alignment vertical="top" wrapText="1"/>
    </xf>
    <xf numFmtId="0" fontId="7" fillId="0" borderId="26" xfId="0" applyNumberFormat="1" applyFont="1" applyBorder="1" applyAlignment="1">
      <alignment horizontal="center" vertical="top" wrapText="1"/>
    </xf>
    <xf numFmtId="0" fontId="17" fillId="0" borderId="30" xfId="0" applyNumberFormat="1" applyFont="1" applyFill="1" applyBorder="1" applyAlignment="1">
      <alignment horizontal="center" vertical="top"/>
    </xf>
    <xf numFmtId="0" fontId="17" fillId="0" borderId="27" xfId="0" applyNumberFormat="1" applyFont="1" applyFill="1" applyBorder="1" applyAlignment="1">
      <alignment horizontal="center" vertical="top"/>
    </xf>
    <xf numFmtId="0" fontId="3" fillId="0" borderId="40" xfId="1" applyFont="1" applyFill="1" applyBorder="1" applyAlignment="1">
      <alignment vertical="top" wrapText="1"/>
    </xf>
    <xf numFmtId="3" fontId="3" fillId="0" borderId="26"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3" fillId="0" borderId="24" xfId="0" applyFont="1" applyFill="1" applyBorder="1" applyAlignment="1">
      <alignment horizontal="center" vertical="top" wrapText="1"/>
    </xf>
    <xf numFmtId="3" fontId="3" fillId="2" borderId="28" xfId="0" applyNumberFormat="1" applyFont="1" applyFill="1" applyBorder="1" applyAlignment="1">
      <alignment horizontal="center" vertical="top"/>
    </xf>
    <xf numFmtId="3" fontId="3" fillId="2" borderId="29" xfId="0" applyNumberFormat="1" applyFont="1" applyFill="1" applyBorder="1" applyAlignment="1">
      <alignment horizontal="center" vertical="top"/>
    </xf>
    <xf numFmtId="3" fontId="3" fillId="2" borderId="33" xfId="0" applyNumberFormat="1" applyFont="1" applyFill="1" applyBorder="1" applyAlignment="1">
      <alignment horizontal="center" vertical="top"/>
    </xf>
    <xf numFmtId="49" fontId="17" fillId="3" borderId="17" xfId="0" applyNumberFormat="1" applyFont="1" applyFill="1" applyBorder="1" applyAlignment="1">
      <alignment vertical="top"/>
    </xf>
    <xf numFmtId="49" fontId="5" fillId="2" borderId="17" xfId="0" applyNumberFormat="1" applyFont="1" applyFill="1" applyBorder="1" applyAlignment="1">
      <alignment vertical="top"/>
    </xf>
    <xf numFmtId="0" fontId="11" fillId="2" borderId="44" xfId="0" applyFont="1" applyFill="1" applyBorder="1" applyAlignment="1">
      <alignment horizontal="center" vertical="top" wrapText="1"/>
    </xf>
    <xf numFmtId="164" fontId="11" fillId="2" borderId="23" xfId="0" applyNumberFormat="1" applyFont="1" applyFill="1" applyBorder="1" applyAlignment="1">
      <alignment horizontal="center" vertical="top" wrapText="1"/>
    </xf>
    <xf numFmtId="164" fontId="11" fillId="2" borderId="44" xfId="0" applyNumberFormat="1" applyFont="1" applyFill="1" applyBorder="1" applyAlignment="1">
      <alignment horizontal="center" vertical="top" wrapText="1"/>
    </xf>
    <xf numFmtId="0" fontId="22" fillId="2" borderId="21" xfId="0" applyNumberFormat="1" applyFont="1" applyFill="1" applyBorder="1" applyAlignment="1">
      <alignment horizontal="center" vertical="top" wrapText="1"/>
    </xf>
    <xf numFmtId="0" fontId="22" fillId="2" borderId="52" xfId="0" applyNumberFormat="1" applyFont="1" applyFill="1" applyBorder="1" applyAlignment="1">
      <alignment horizontal="center" vertical="top" wrapText="1"/>
    </xf>
    <xf numFmtId="0" fontId="5" fillId="0" borderId="10" xfId="0" applyFont="1" applyFill="1" applyBorder="1" applyAlignment="1">
      <alignment vertical="center" wrapText="1"/>
    </xf>
    <xf numFmtId="0" fontId="5" fillId="0" borderId="19" xfId="0" applyNumberFormat="1" applyFont="1" applyBorder="1" applyAlignment="1">
      <alignment vertical="center"/>
    </xf>
    <xf numFmtId="0" fontId="11" fillId="2" borderId="52" xfId="0" applyFont="1" applyFill="1" applyBorder="1" applyAlignment="1">
      <alignment horizontal="center" vertical="top" wrapText="1"/>
    </xf>
    <xf numFmtId="0" fontId="22" fillId="2" borderId="17" xfId="0" applyNumberFormat="1" applyFont="1" applyFill="1" applyBorder="1" applyAlignment="1">
      <alignment horizontal="center" vertical="top" wrapText="1"/>
    </xf>
    <xf numFmtId="0" fontId="22" fillId="2" borderId="53" xfId="0" applyNumberFormat="1" applyFont="1" applyFill="1" applyBorder="1" applyAlignment="1">
      <alignment horizontal="center" vertical="top" wrapText="1"/>
    </xf>
    <xf numFmtId="0" fontId="22" fillId="0" borderId="17" xfId="0" applyFont="1" applyBorder="1" applyAlignment="1">
      <alignment vertical="top"/>
    </xf>
    <xf numFmtId="0" fontId="22" fillId="0" borderId="53" xfId="0" applyFont="1" applyBorder="1" applyAlignment="1">
      <alignment vertical="top"/>
    </xf>
    <xf numFmtId="49" fontId="17" fillId="3" borderId="28" xfId="0" applyNumberFormat="1" applyFont="1" applyFill="1" applyBorder="1" applyAlignment="1">
      <alignment vertical="top"/>
    </xf>
    <xf numFmtId="49" fontId="5" fillId="2" borderId="28" xfId="0" applyNumberFormat="1" applyFont="1" applyFill="1" applyBorder="1" applyAlignment="1">
      <alignment vertical="top"/>
    </xf>
    <xf numFmtId="0" fontId="5" fillId="0" borderId="8" xfId="0" applyFont="1" applyFill="1" applyBorder="1" applyAlignment="1">
      <alignment horizontal="center" vertical="center" wrapText="1"/>
    </xf>
    <xf numFmtId="49" fontId="3" fillId="0" borderId="28" xfId="0" applyNumberFormat="1" applyFont="1" applyBorder="1" applyAlignment="1">
      <alignment horizontal="center" vertical="center" wrapText="1"/>
    </xf>
    <xf numFmtId="0" fontId="5" fillId="0" borderId="29" xfId="0" applyNumberFormat="1" applyFont="1" applyBorder="1" applyAlignment="1">
      <alignment horizontal="center" vertical="center"/>
    </xf>
    <xf numFmtId="49" fontId="17" fillId="3" borderId="26" xfId="0" applyNumberFormat="1" applyFont="1" applyFill="1" applyBorder="1" applyAlignment="1">
      <alignment vertical="top"/>
    </xf>
    <xf numFmtId="49" fontId="5" fillId="2" borderId="26" xfId="0" applyNumberFormat="1" applyFont="1" applyFill="1" applyBorder="1" applyAlignment="1">
      <alignment vertical="top"/>
    </xf>
    <xf numFmtId="0" fontId="5" fillId="0" borderId="11" xfId="0" applyFont="1" applyFill="1" applyBorder="1" applyAlignment="1">
      <alignment vertical="center" wrapText="1"/>
    </xf>
    <xf numFmtId="49" fontId="3" fillId="0" borderId="26" xfId="0" applyNumberFormat="1" applyFont="1" applyBorder="1" applyAlignment="1">
      <alignment horizontal="center" vertical="center" wrapText="1"/>
    </xf>
    <xf numFmtId="0" fontId="5" fillId="0" borderId="27" xfId="0" applyNumberFormat="1" applyFont="1" applyBorder="1" applyAlignment="1">
      <alignment vertical="center"/>
    </xf>
    <xf numFmtId="0" fontId="3" fillId="0" borderId="1" xfId="0" applyNumberFormat="1" applyFont="1" applyBorder="1" applyAlignment="1">
      <alignment horizontal="center" vertical="top"/>
    </xf>
    <xf numFmtId="164" fontId="3" fillId="0" borderId="44" xfId="0" applyNumberFormat="1" applyFont="1" applyFill="1" applyBorder="1" applyAlignment="1">
      <alignment horizontal="right" vertical="top"/>
    </xf>
    <xf numFmtId="164" fontId="3" fillId="0" borderId="53" xfId="0" applyNumberFormat="1" applyFont="1" applyFill="1" applyBorder="1" applyAlignment="1">
      <alignment horizontal="right" vertical="top"/>
    </xf>
    <xf numFmtId="164" fontId="5" fillId="3" borderId="56" xfId="0" applyNumberFormat="1" applyFont="1" applyFill="1" applyBorder="1" applyAlignment="1">
      <alignment horizontal="right" vertical="top"/>
    </xf>
    <xf numFmtId="164" fontId="5" fillId="3" borderId="69" xfId="0" applyNumberFormat="1" applyFont="1" applyFill="1" applyBorder="1" applyAlignment="1">
      <alignment horizontal="right" vertical="top"/>
    </xf>
    <xf numFmtId="0" fontId="3" fillId="0" borderId="17" xfId="0" applyNumberFormat="1" applyFont="1" applyBorder="1" applyAlignment="1">
      <alignment horizontal="center" vertical="top"/>
    </xf>
    <xf numFmtId="0" fontId="3" fillId="0" borderId="40" xfId="0" applyFont="1" applyBorder="1" applyAlignment="1">
      <alignment vertical="top" wrapText="1"/>
    </xf>
    <xf numFmtId="0" fontId="3" fillId="0" borderId="76" xfId="0" applyFont="1" applyBorder="1" applyAlignment="1">
      <alignment vertical="top" wrapText="1"/>
    </xf>
    <xf numFmtId="0" fontId="3" fillId="0" borderId="2" xfId="0" applyNumberFormat="1" applyFont="1" applyBorder="1" applyAlignment="1">
      <alignment horizontal="center" vertical="top"/>
    </xf>
    <xf numFmtId="0" fontId="3" fillId="0" borderId="18" xfId="0" applyNumberFormat="1" applyFont="1" applyBorder="1" applyAlignment="1">
      <alignment horizontal="center" vertical="top"/>
    </xf>
    <xf numFmtId="3" fontId="5" fillId="0" borderId="34" xfId="0" applyNumberFormat="1" applyFont="1" applyFill="1" applyBorder="1" applyAlignment="1">
      <alignment horizontal="center" vertical="top" wrapText="1"/>
    </xf>
    <xf numFmtId="3" fontId="5" fillId="0" borderId="28" xfId="0" applyNumberFormat="1" applyFont="1" applyFill="1" applyBorder="1" applyAlignment="1">
      <alignment horizontal="center" vertical="top" wrapText="1"/>
    </xf>
    <xf numFmtId="0" fontId="0" fillId="0" borderId="31" xfId="0" applyBorder="1" applyAlignment="1"/>
    <xf numFmtId="49" fontId="3" fillId="0" borderId="28" xfId="0" applyNumberFormat="1" applyFont="1" applyFill="1" applyBorder="1" applyAlignment="1">
      <alignment horizontal="center" vertical="top"/>
    </xf>
    <xf numFmtId="49" fontId="3" fillId="0" borderId="17" xfId="0" applyNumberFormat="1" applyFont="1" applyFill="1" applyBorder="1" applyAlignment="1">
      <alignment horizontal="center" vertical="top"/>
    </xf>
    <xf numFmtId="0" fontId="0" fillId="0" borderId="17" xfId="0" applyBorder="1" applyAlignment="1">
      <alignment horizontal="center" vertical="top"/>
    </xf>
    <xf numFmtId="0" fontId="0" fillId="0" borderId="34" xfId="0" applyBorder="1" applyAlignment="1">
      <alignment horizontal="center" vertical="top"/>
    </xf>
    <xf numFmtId="49" fontId="5" fillId="0" borderId="29"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0" fontId="0" fillId="0" borderId="19" xfId="0" applyBorder="1" applyAlignment="1">
      <alignment horizontal="center" vertical="top"/>
    </xf>
    <xf numFmtId="0" fontId="0" fillId="0" borderId="33" xfId="0" applyBorder="1" applyAlignment="1">
      <alignment horizontal="center" vertical="top"/>
    </xf>
    <xf numFmtId="0" fontId="0" fillId="0" borderId="70" xfId="0" applyBorder="1" applyAlignment="1">
      <alignment vertical="top" wrapText="1"/>
    </xf>
    <xf numFmtId="0" fontId="3" fillId="0" borderId="2" xfId="0" applyFont="1" applyBorder="1" applyAlignment="1">
      <alignment vertical="top" wrapText="1"/>
    </xf>
    <xf numFmtId="49" fontId="3" fillId="0" borderId="34" xfId="0" applyNumberFormat="1" applyFont="1" applyFill="1" applyBorder="1" applyAlignment="1">
      <alignment horizontal="center" vertical="top"/>
    </xf>
    <xf numFmtId="49" fontId="5" fillId="0" borderId="33" xfId="0" applyNumberFormat="1" applyFont="1" applyFill="1" applyBorder="1" applyAlignment="1">
      <alignment horizontal="center" vertical="top"/>
    </xf>
    <xf numFmtId="3" fontId="3" fillId="0" borderId="34" xfId="1" applyNumberFormat="1" applyFont="1" applyFill="1" applyBorder="1" applyAlignment="1">
      <alignment horizontal="center" vertical="top"/>
    </xf>
    <xf numFmtId="3" fontId="3" fillId="0" borderId="17" xfId="0" applyNumberFormat="1" applyFont="1" applyFill="1" applyBorder="1" applyAlignment="1">
      <alignment vertical="top" wrapText="1"/>
    </xf>
    <xf numFmtId="0" fontId="3" fillId="0" borderId="10" xfId="0" applyFont="1" applyBorder="1" applyAlignment="1">
      <alignment textRotation="90"/>
    </xf>
    <xf numFmtId="164" fontId="3" fillId="0" borderId="65" xfId="0" applyNumberFormat="1" applyFont="1" applyFill="1" applyBorder="1" applyAlignment="1">
      <alignment vertical="top"/>
    </xf>
    <xf numFmtId="164" fontId="3" fillId="0" borderId="44" xfId="0" applyNumberFormat="1" applyFont="1" applyFill="1" applyBorder="1" applyAlignment="1">
      <alignment vertical="top"/>
    </xf>
    <xf numFmtId="164" fontId="3" fillId="0" borderId="53" xfId="0" applyNumberFormat="1" applyFont="1" applyFill="1" applyBorder="1" applyAlignment="1">
      <alignment vertical="top"/>
    </xf>
    <xf numFmtId="0" fontId="22" fillId="2" borderId="28" xfId="0" applyNumberFormat="1" applyFont="1" applyFill="1" applyBorder="1" applyAlignment="1">
      <alignment horizontal="center" vertical="top" wrapText="1"/>
    </xf>
    <xf numFmtId="0" fontId="22" fillId="0" borderId="26" xfId="0" applyFont="1" applyBorder="1" applyAlignment="1">
      <alignment vertical="top"/>
    </xf>
    <xf numFmtId="0" fontId="3" fillId="0" borderId="21" xfId="0" applyFont="1" applyBorder="1" applyAlignment="1">
      <alignment horizontal="left" vertical="center" wrapText="1"/>
    </xf>
    <xf numFmtId="3" fontId="21" fillId="0" borderId="17" xfId="0" applyNumberFormat="1" applyFont="1" applyBorder="1" applyAlignment="1">
      <alignment horizontal="center"/>
    </xf>
    <xf numFmtId="49" fontId="5" fillId="0" borderId="19"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3" fontId="3" fillId="0" borderId="19"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0" borderId="8" xfId="0" applyFont="1" applyFill="1" applyBorder="1" applyAlignment="1">
      <alignment vertical="top" wrapText="1"/>
    </xf>
    <xf numFmtId="164" fontId="3" fillId="10" borderId="20" xfId="0" applyNumberFormat="1" applyFont="1" applyFill="1" applyBorder="1" applyAlignment="1">
      <alignment horizontal="right" vertical="top"/>
    </xf>
    <xf numFmtId="164" fontId="3" fillId="10" borderId="34" xfId="0" applyNumberFormat="1" applyFont="1" applyFill="1" applyBorder="1" applyAlignment="1">
      <alignment horizontal="right" vertical="top"/>
    </xf>
    <xf numFmtId="164" fontId="3" fillId="10" borderId="32" xfId="0" applyNumberFormat="1" applyFont="1" applyFill="1" applyBorder="1" applyAlignment="1">
      <alignment horizontal="right" vertical="top"/>
    </xf>
    <xf numFmtId="164" fontId="3" fillId="10" borderId="51"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50"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2" xfId="0" applyNumberFormat="1" applyFont="1" applyFill="1" applyBorder="1" applyAlignment="1">
      <alignment horizontal="right" vertical="top"/>
    </xf>
    <xf numFmtId="164" fontId="3" fillId="10" borderId="37" xfId="0" applyNumberFormat="1" applyFont="1" applyFill="1" applyBorder="1" applyAlignment="1">
      <alignment horizontal="right" vertical="top"/>
    </xf>
    <xf numFmtId="164" fontId="3" fillId="10" borderId="21"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5" fillId="10" borderId="51" xfId="0" applyNumberFormat="1" applyFont="1" applyFill="1" applyBorder="1" applyAlignment="1">
      <alignment horizontal="right" vertical="top"/>
    </xf>
    <xf numFmtId="164" fontId="5" fillId="10" borderId="21" xfId="0" applyNumberFormat="1" applyFont="1" applyFill="1" applyBorder="1" applyAlignment="1">
      <alignment horizontal="right" vertical="top"/>
    </xf>
    <xf numFmtId="164" fontId="3" fillId="10" borderId="58" xfId="0" applyNumberFormat="1" applyFont="1" applyFill="1" applyBorder="1" applyAlignment="1">
      <alignment horizontal="right" vertical="top"/>
    </xf>
    <xf numFmtId="164" fontId="3" fillId="10" borderId="13" xfId="0" applyNumberFormat="1" applyFont="1" applyFill="1" applyBorder="1" applyAlignment="1">
      <alignment horizontal="right" vertical="top"/>
    </xf>
    <xf numFmtId="164" fontId="3" fillId="10" borderId="14" xfId="0" applyNumberFormat="1" applyFont="1" applyFill="1" applyBorder="1" applyAlignment="1">
      <alignment horizontal="right" vertical="top"/>
    </xf>
    <xf numFmtId="164" fontId="3" fillId="10" borderId="31" xfId="0" applyNumberFormat="1" applyFont="1" applyFill="1" applyBorder="1" applyAlignment="1">
      <alignment horizontal="right" vertical="top"/>
    </xf>
    <xf numFmtId="164" fontId="3" fillId="10" borderId="33" xfId="0" applyNumberFormat="1" applyFont="1" applyFill="1" applyBorder="1" applyAlignment="1">
      <alignment horizontal="right" vertical="top"/>
    </xf>
    <xf numFmtId="164" fontId="3" fillId="10" borderId="16" xfId="0" applyNumberFormat="1" applyFont="1" applyFill="1" applyBorder="1" applyAlignment="1">
      <alignment horizontal="right" vertical="top"/>
    </xf>
    <xf numFmtId="164" fontId="3" fillId="10" borderId="18" xfId="0" applyNumberFormat="1" applyFont="1" applyFill="1" applyBorder="1" applyAlignment="1">
      <alignment horizontal="right" vertical="top"/>
    </xf>
    <xf numFmtId="164" fontId="19" fillId="10" borderId="16" xfId="0" applyNumberFormat="1" applyFont="1" applyFill="1" applyBorder="1" applyAlignment="1">
      <alignment horizontal="right" vertical="top"/>
    </xf>
    <xf numFmtId="164" fontId="5" fillId="10" borderId="60" xfId="0" applyNumberFormat="1" applyFont="1" applyFill="1" applyBorder="1" applyAlignment="1">
      <alignment horizontal="right" vertical="top"/>
    </xf>
    <xf numFmtId="164" fontId="5" fillId="10" borderId="3"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3" fillId="10" borderId="12"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5" fillId="10" borderId="74" xfId="0" applyNumberFormat="1" applyFont="1" applyFill="1" applyBorder="1" applyAlignment="1">
      <alignment horizontal="right" vertical="top"/>
    </xf>
    <xf numFmtId="164" fontId="5" fillId="10" borderId="59" xfId="0" applyNumberFormat="1" applyFont="1" applyFill="1" applyBorder="1" applyAlignment="1">
      <alignment horizontal="right" vertical="top"/>
    </xf>
    <xf numFmtId="164" fontId="3" fillId="10" borderId="19"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10" borderId="64" xfId="0" applyNumberFormat="1" applyFont="1" applyFill="1" applyBorder="1" applyAlignment="1">
      <alignment horizontal="right" vertical="top"/>
    </xf>
    <xf numFmtId="164" fontId="3" fillId="10" borderId="39" xfId="0" applyNumberFormat="1" applyFont="1" applyFill="1" applyBorder="1" applyAlignment="1">
      <alignment horizontal="right" vertical="top"/>
    </xf>
    <xf numFmtId="164" fontId="5" fillId="10" borderId="67" xfId="0" applyNumberFormat="1" applyFont="1" applyFill="1" applyBorder="1" applyAlignment="1">
      <alignment horizontal="right" vertical="top"/>
    </xf>
    <xf numFmtId="164" fontId="3" fillId="10" borderId="12" xfId="0" applyNumberFormat="1" applyFont="1" applyFill="1" applyBorder="1" applyAlignment="1">
      <alignment vertical="top"/>
    </xf>
    <xf numFmtId="164" fontId="3" fillId="10" borderId="13" xfId="0" applyNumberFormat="1" applyFont="1" applyFill="1" applyBorder="1" applyAlignment="1">
      <alignment vertical="top"/>
    </xf>
    <xf numFmtId="164" fontId="3" fillId="10" borderId="15" xfId="0" applyNumberFormat="1" applyFont="1" applyFill="1" applyBorder="1" applyAlignment="1">
      <alignment vertical="top"/>
    </xf>
    <xf numFmtId="164" fontId="3" fillId="10" borderId="16" xfId="0" applyNumberFormat="1" applyFont="1" applyFill="1" applyBorder="1" applyAlignment="1">
      <alignment vertical="top"/>
    </xf>
    <xf numFmtId="164" fontId="3" fillId="10" borderId="2" xfId="0" applyNumberFormat="1" applyFont="1" applyFill="1" applyBorder="1" applyAlignment="1">
      <alignment vertical="top"/>
    </xf>
    <xf numFmtId="164" fontId="3" fillId="10" borderId="18" xfId="0" applyNumberFormat="1" applyFont="1" applyFill="1" applyBorder="1" applyAlignment="1">
      <alignment vertical="top"/>
    </xf>
    <xf numFmtId="164" fontId="3" fillId="10" borderId="10" xfId="0" applyNumberFormat="1" applyFont="1" applyFill="1" applyBorder="1" applyAlignment="1">
      <alignment vertical="top"/>
    </xf>
    <xf numFmtId="164" fontId="3" fillId="10" borderId="17" xfId="0" applyNumberFormat="1" applyFont="1" applyFill="1" applyBorder="1" applyAlignment="1">
      <alignment vertical="top"/>
    </xf>
    <xf numFmtId="164" fontId="3" fillId="10" borderId="19" xfId="0" applyNumberFormat="1" applyFont="1" applyFill="1" applyBorder="1" applyAlignment="1">
      <alignment vertical="top"/>
    </xf>
    <xf numFmtId="164" fontId="19" fillId="10" borderId="12" xfId="0" applyNumberFormat="1" applyFont="1" applyFill="1" applyBorder="1" applyAlignment="1">
      <alignment horizontal="right" vertical="top"/>
    </xf>
    <xf numFmtId="164" fontId="19" fillId="10" borderId="13" xfId="0" applyNumberFormat="1" applyFont="1" applyFill="1" applyBorder="1" applyAlignment="1">
      <alignment horizontal="right" vertical="top"/>
    </xf>
    <xf numFmtId="164" fontId="19" fillId="10" borderId="17" xfId="0" applyNumberFormat="1" applyFont="1" applyFill="1" applyBorder="1" applyAlignment="1">
      <alignment horizontal="right" vertical="top"/>
    </xf>
    <xf numFmtId="164" fontId="19" fillId="10" borderId="20" xfId="0" applyNumberFormat="1" applyFont="1" applyFill="1" applyBorder="1" applyAlignment="1">
      <alignment horizontal="right" vertical="top"/>
    </xf>
    <xf numFmtId="164" fontId="20" fillId="10" borderId="59" xfId="0" applyNumberFormat="1" applyFont="1" applyFill="1" applyBorder="1" applyAlignment="1">
      <alignment horizontal="right" vertical="top"/>
    </xf>
    <xf numFmtId="164" fontId="20" fillId="10" borderId="3" xfId="0" applyNumberFormat="1" applyFont="1" applyFill="1" applyBorder="1" applyAlignment="1">
      <alignment horizontal="right" vertical="top"/>
    </xf>
    <xf numFmtId="164" fontId="3" fillId="10" borderId="12" xfId="0" applyNumberFormat="1" applyFont="1" applyFill="1" applyBorder="1" applyAlignment="1">
      <alignment horizontal="right" vertical="center"/>
    </xf>
    <xf numFmtId="164" fontId="3" fillId="10" borderId="58" xfId="0" applyNumberFormat="1" applyFont="1" applyFill="1" applyBorder="1" applyAlignment="1">
      <alignment horizontal="right" vertical="center"/>
    </xf>
    <xf numFmtId="164" fontId="3" fillId="10" borderId="71" xfId="0" applyNumberFormat="1" applyFont="1" applyFill="1" applyBorder="1" applyAlignment="1">
      <alignment horizontal="right" vertical="center"/>
    </xf>
    <xf numFmtId="164" fontId="3" fillId="10" borderId="8" xfId="0" applyNumberFormat="1" applyFont="1" applyFill="1" applyBorder="1" applyAlignment="1">
      <alignment horizontal="right" vertical="top"/>
    </xf>
    <xf numFmtId="165" fontId="9" fillId="10" borderId="28" xfId="0" applyNumberFormat="1" applyFont="1" applyFill="1" applyBorder="1" applyAlignment="1">
      <alignment vertical="top" wrapText="1"/>
    </xf>
    <xf numFmtId="164" fontId="3" fillId="10" borderId="28"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164" fontId="5" fillId="10" borderId="75" xfId="0" applyNumberFormat="1" applyFont="1" applyFill="1" applyBorder="1" applyAlignment="1">
      <alignment horizontal="right" vertical="top"/>
    </xf>
    <xf numFmtId="164" fontId="5" fillId="10" borderId="36" xfId="0" applyNumberFormat="1" applyFont="1" applyFill="1" applyBorder="1" applyAlignment="1">
      <alignment horizontal="right" vertical="top"/>
    </xf>
    <xf numFmtId="0" fontId="5" fillId="10" borderId="57" xfId="0" applyFont="1" applyFill="1" applyBorder="1" applyAlignment="1">
      <alignment horizontal="center" vertical="top"/>
    </xf>
    <xf numFmtId="164" fontId="5" fillId="10" borderId="45" xfId="0" applyNumberFormat="1" applyFont="1" applyFill="1" applyBorder="1" applyAlignment="1">
      <alignment horizontal="right" vertical="top"/>
    </xf>
    <xf numFmtId="164" fontId="5" fillId="10" borderId="1" xfId="0" applyNumberFormat="1" applyFont="1" applyFill="1" applyBorder="1" applyAlignment="1">
      <alignment horizontal="right" vertical="top"/>
    </xf>
    <xf numFmtId="164" fontId="5" fillId="10" borderId="42" xfId="0" applyNumberFormat="1" applyFont="1" applyFill="1" applyBorder="1" applyAlignment="1">
      <alignment horizontal="right" vertical="top"/>
    </xf>
    <xf numFmtId="164" fontId="5" fillId="10" borderId="6" xfId="0" applyNumberFormat="1" applyFont="1" applyFill="1" applyBorder="1" applyAlignment="1">
      <alignment horizontal="right" vertical="top"/>
    </xf>
    <xf numFmtId="0" fontId="5" fillId="10" borderId="73" xfId="0" applyFont="1" applyFill="1" applyBorder="1" applyAlignment="1">
      <alignment horizontal="center" vertical="top"/>
    </xf>
    <xf numFmtId="164" fontId="5" fillId="10" borderId="61" xfId="0" applyNumberFormat="1" applyFont="1" applyFill="1" applyBorder="1" applyAlignment="1">
      <alignment horizontal="right" vertical="top"/>
    </xf>
    <xf numFmtId="0" fontId="5" fillId="10" borderId="6" xfId="0" applyFont="1" applyFill="1" applyBorder="1" applyAlignment="1">
      <alignment horizontal="center" vertical="top"/>
    </xf>
    <xf numFmtId="0" fontId="5" fillId="10" borderId="61" xfId="0" applyFont="1" applyFill="1" applyBorder="1" applyAlignment="1">
      <alignment horizontal="center" vertical="top"/>
    </xf>
    <xf numFmtId="0" fontId="3" fillId="8" borderId="7" xfId="0" applyFont="1" applyFill="1" applyBorder="1" applyAlignment="1">
      <alignment horizontal="center" vertical="top"/>
    </xf>
    <xf numFmtId="0" fontId="3" fillId="8" borderId="23" xfId="0" applyFont="1" applyFill="1" applyBorder="1" applyAlignment="1">
      <alignment horizontal="center" vertical="top"/>
    </xf>
    <xf numFmtId="0" fontId="5" fillId="10" borderId="66" xfId="0" applyFont="1" applyFill="1" applyBorder="1" applyAlignment="1">
      <alignment horizontal="center" vertical="top"/>
    </xf>
    <xf numFmtId="164" fontId="5" fillId="10" borderId="30" xfId="0" applyNumberFormat="1" applyFont="1" applyFill="1" applyBorder="1" applyAlignment="1">
      <alignment horizontal="right" vertical="top"/>
    </xf>
    <xf numFmtId="164" fontId="5" fillId="10" borderId="73" xfId="0" applyNumberFormat="1" applyFont="1" applyFill="1" applyBorder="1" applyAlignment="1">
      <alignment horizontal="right" vertical="top"/>
    </xf>
    <xf numFmtId="164" fontId="5" fillId="10" borderId="66" xfId="0" applyNumberFormat="1" applyFont="1" applyFill="1" applyBorder="1" applyAlignment="1">
      <alignment horizontal="right" vertical="top"/>
    </xf>
    <xf numFmtId="164" fontId="5" fillId="7" borderId="56" xfId="0" applyNumberFormat="1" applyFont="1" applyFill="1" applyBorder="1" applyAlignment="1">
      <alignment horizontal="right" vertical="top"/>
    </xf>
    <xf numFmtId="0" fontId="5" fillId="10" borderId="52" xfId="0" applyFont="1" applyFill="1" applyBorder="1" applyAlignment="1">
      <alignment horizontal="center" vertical="top" wrapText="1"/>
    </xf>
    <xf numFmtId="164" fontId="5" fillId="10" borderId="6" xfId="0" applyNumberFormat="1" applyFont="1" applyFill="1" applyBorder="1" applyAlignment="1">
      <alignment horizontal="center" vertical="top" wrapText="1"/>
    </xf>
    <xf numFmtId="164" fontId="5" fillId="10" borderId="52" xfId="0" applyNumberFormat="1" applyFont="1" applyFill="1" applyBorder="1" applyAlignment="1">
      <alignment horizontal="center" vertical="top" wrapText="1"/>
    </xf>
    <xf numFmtId="164" fontId="23" fillId="0" borderId="0" xfId="0" applyNumberFormat="1" applyFont="1" applyAlignment="1">
      <alignment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49" fontId="3" fillId="0" borderId="26" xfId="0" applyNumberFormat="1" applyFont="1" applyBorder="1" applyAlignment="1">
      <alignment horizontal="center" vertical="top"/>
    </xf>
    <xf numFmtId="3" fontId="3" fillId="0" borderId="2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49" fontId="5" fillId="3" borderId="50"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0" fontId="7" fillId="0" borderId="11" xfId="0" applyFont="1" applyBorder="1" applyAlignment="1">
      <alignment vertical="top" wrapText="1"/>
    </xf>
    <xf numFmtId="164" fontId="3" fillId="2" borderId="46" xfId="0" applyNumberFormat="1" applyFont="1" applyFill="1" applyBorder="1" applyAlignment="1">
      <alignment horizontal="right" vertical="top"/>
    </xf>
    <xf numFmtId="0" fontId="3" fillId="8" borderId="40" xfId="0" applyFont="1" applyFill="1" applyBorder="1" applyAlignment="1">
      <alignment horizontal="center" vertical="top" wrapText="1"/>
    </xf>
    <xf numFmtId="164" fontId="3" fillId="8" borderId="0" xfId="0" applyNumberFormat="1" applyFont="1" applyFill="1" applyBorder="1" applyAlignment="1">
      <alignment horizontal="right" vertical="top"/>
    </xf>
    <xf numFmtId="164" fontId="3" fillId="8" borderId="9" xfId="0" applyNumberFormat="1" applyFont="1" applyFill="1" applyBorder="1" applyAlignment="1">
      <alignment horizontal="right" vertical="top"/>
    </xf>
    <xf numFmtId="49" fontId="5" fillId="8" borderId="17" xfId="0" applyNumberFormat="1" applyFont="1" applyFill="1" applyBorder="1" applyAlignment="1">
      <alignment horizontal="center" vertical="top"/>
    </xf>
    <xf numFmtId="164" fontId="3" fillId="10" borderId="10" xfId="0" applyNumberFormat="1" applyFont="1" applyFill="1" applyBorder="1" applyAlignment="1">
      <alignment horizontal="right" vertical="top"/>
    </xf>
    <xf numFmtId="164" fontId="3" fillId="0" borderId="0" xfId="0" applyNumberFormat="1" applyFont="1" applyFill="1" applyBorder="1" applyAlignment="1">
      <alignment horizontal="right" vertical="top" wrapText="1"/>
    </xf>
    <xf numFmtId="164" fontId="19" fillId="10" borderId="10" xfId="0" applyNumberFormat="1" applyFont="1" applyFill="1" applyBorder="1" applyAlignment="1">
      <alignment horizontal="right" vertical="top"/>
    </xf>
    <xf numFmtId="0" fontId="5" fillId="8" borderId="40" xfId="0" applyFont="1" applyFill="1" applyBorder="1" applyAlignment="1">
      <alignment horizontal="center" vertical="top"/>
    </xf>
    <xf numFmtId="164" fontId="20" fillId="10" borderId="10" xfId="0" applyNumberFormat="1" applyFont="1" applyFill="1" applyBorder="1" applyAlignment="1">
      <alignment horizontal="right" vertical="top"/>
    </xf>
    <xf numFmtId="164" fontId="5" fillId="10" borderId="17" xfId="0" applyNumberFormat="1" applyFont="1" applyFill="1" applyBorder="1" applyAlignment="1">
      <alignment horizontal="right" vertical="top"/>
    </xf>
    <xf numFmtId="164" fontId="5" fillId="10" borderId="19" xfId="0" applyNumberFormat="1" applyFont="1" applyFill="1" applyBorder="1" applyAlignment="1">
      <alignment horizontal="right" vertical="top"/>
    </xf>
    <xf numFmtId="164" fontId="5" fillId="8" borderId="0" xfId="0" applyNumberFormat="1" applyFont="1" applyFill="1" applyBorder="1" applyAlignment="1">
      <alignment horizontal="right" vertical="top"/>
    </xf>
    <xf numFmtId="164" fontId="5" fillId="8" borderId="9" xfId="0" applyNumberFormat="1" applyFont="1" applyFill="1" applyBorder="1" applyAlignment="1">
      <alignment horizontal="right" vertical="top"/>
    </xf>
    <xf numFmtId="164" fontId="3" fillId="8" borderId="0" xfId="0" applyNumberFormat="1" applyFont="1" applyFill="1" applyBorder="1" applyAlignment="1">
      <alignment horizontal="right" vertical="top" wrapText="1"/>
    </xf>
    <xf numFmtId="164" fontId="3" fillId="8" borderId="9" xfId="0" applyNumberFormat="1" applyFont="1" applyFill="1" applyBorder="1" applyAlignment="1">
      <alignment horizontal="right" vertical="top" wrapText="1"/>
    </xf>
    <xf numFmtId="0" fontId="3" fillId="8" borderId="40" xfId="0" applyFont="1" applyFill="1" applyBorder="1" applyAlignment="1">
      <alignment horizontal="center" vertical="top"/>
    </xf>
    <xf numFmtId="164" fontId="3" fillId="8" borderId="53" xfId="0" applyNumberFormat="1" applyFont="1" applyFill="1" applyBorder="1" applyAlignment="1">
      <alignment horizontal="right" vertical="top"/>
    </xf>
    <xf numFmtId="164" fontId="5" fillId="8" borderId="53" xfId="0" applyNumberFormat="1" applyFont="1" applyFill="1" applyBorder="1" applyAlignment="1">
      <alignment horizontal="right" vertical="top"/>
    </xf>
    <xf numFmtId="0" fontId="9" fillId="0" borderId="10" xfId="0" applyFont="1" applyFill="1" applyBorder="1" applyAlignment="1">
      <alignment vertical="top" wrapText="1"/>
    </xf>
    <xf numFmtId="0" fontId="3" fillId="0" borderId="11" xfId="1" applyFont="1" applyFill="1" applyBorder="1" applyAlignment="1">
      <alignment vertical="top" wrapText="1"/>
    </xf>
    <xf numFmtId="0" fontId="3" fillId="8" borderId="9" xfId="0" applyFont="1" applyFill="1" applyBorder="1" applyAlignment="1">
      <alignment horizontal="center" vertical="top" wrapText="1"/>
    </xf>
    <xf numFmtId="3" fontId="3" fillId="2" borderId="21" xfId="0" applyNumberFormat="1" applyFont="1" applyFill="1" applyBorder="1" applyAlignment="1">
      <alignment horizontal="center" vertical="top" wrapText="1"/>
    </xf>
    <xf numFmtId="0" fontId="5" fillId="8" borderId="9" xfId="0" applyFont="1" applyFill="1" applyBorder="1" applyAlignment="1">
      <alignment horizontal="center" vertical="top"/>
    </xf>
    <xf numFmtId="164" fontId="5" fillId="10" borderId="39" xfId="0" applyNumberFormat="1" applyFont="1" applyFill="1" applyBorder="1" applyAlignment="1">
      <alignment horizontal="right" vertical="top"/>
    </xf>
    <xf numFmtId="164" fontId="5" fillId="10" borderId="50" xfId="0" applyNumberFormat="1" applyFont="1" applyFill="1" applyBorder="1" applyAlignment="1">
      <alignment horizontal="right" vertical="top"/>
    </xf>
    <xf numFmtId="164" fontId="3" fillId="8" borderId="53" xfId="0" applyNumberFormat="1" applyFont="1" applyFill="1" applyBorder="1" applyAlignment="1">
      <alignment horizontal="right" vertical="top" wrapText="1"/>
    </xf>
    <xf numFmtId="164" fontId="3" fillId="0" borderId="46" xfId="0" applyNumberFormat="1" applyFont="1" applyFill="1" applyBorder="1" applyAlignment="1">
      <alignment horizontal="right" vertical="top" wrapText="1"/>
    </xf>
    <xf numFmtId="0" fontId="3" fillId="0" borderId="46" xfId="0" applyFont="1" applyFill="1" applyBorder="1" applyAlignment="1">
      <alignment horizontal="center" vertical="top" wrapText="1"/>
    </xf>
    <xf numFmtId="164" fontId="3" fillId="10" borderId="72" xfId="0" applyNumberFormat="1" applyFont="1" applyFill="1" applyBorder="1" applyAlignment="1">
      <alignment horizontal="right" vertical="top"/>
    </xf>
    <xf numFmtId="164" fontId="3" fillId="8" borderId="65" xfId="0" applyNumberFormat="1" applyFont="1" applyFill="1" applyBorder="1" applyAlignment="1">
      <alignment horizontal="right" vertical="top"/>
    </xf>
    <xf numFmtId="49" fontId="5" fillId="8" borderId="26" xfId="0" applyNumberFormat="1" applyFont="1" applyFill="1" applyBorder="1" applyAlignment="1">
      <alignment horizontal="center" vertical="top"/>
    </xf>
    <xf numFmtId="164" fontId="3" fillId="10" borderId="26" xfId="0" applyNumberFormat="1" applyFont="1" applyFill="1" applyBorder="1" applyAlignment="1">
      <alignment horizontal="right" vertical="top"/>
    </xf>
    <xf numFmtId="164" fontId="3" fillId="8" borderId="46" xfId="0" applyNumberFormat="1" applyFont="1" applyFill="1" applyBorder="1" applyAlignment="1">
      <alignment horizontal="right" vertical="top"/>
    </xf>
    <xf numFmtId="164" fontId="3" fillId="10" borderId="41" xfId="0" applyNumberFormat="1" applyFont="1" applyFill="1" applyBorder="1" applyAlignment="1">
      <alignment horizontal="right" vertical="top"/>
    </xf>
    <xf numFmtId="164" fontId="3" fillId="8" borderId="54" xfId="0" applyNumberFormat="1" applyFont="1" applyFill="1" applyBorder="1" applyAlignment="1">
      <alignment horizontal="right" vertical="top"/>
    </xf>
    <xf numFmtId="0" fontId="5" fillId="0" borderId="9" xfId="0" applyFont="1" applyFill="1" applyBorder="1" applyAlignment="1">
      <alignment horizontal="center" vertical="top"/>
    </xf>
    <xf numFmtId="164" fontId="5" fillId="0" borderId="9"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0" fontId="5" fillId="0" borderId="32" xfId="0" applyFont="1" applyBorder="1" applyAlignment="1">
      <alignment horizontal="left" vertical="top" wrapText="1"/>
    </xf>
    <xf numFmtId="164" fontId="3" fillId="10" borderId="29" xfId="0" applyNumberFormat="1" applyFont="1" applyFill="1" applyBorder="1" applyAlignment="1">
      <alignment horizontal="right" vertical="top"/>
    </xf>
    <xf numFmtId="164" fontId="5" fillId="10" borderId="10" xfId="0" applyNumberFormat="1" applyFont="1" applyFill="1" applyBorder="1" applyAlignment="1">
      <alignment vertical="top"/>
    </xf>
    <xf numFmtId="164" fontId="5" fillId="10" borderId="17" xfId="0" applyNumberFormat="1" applyFont="1" applyFill="1" applyBorder="1" applyAlignment="1">
      <alignment vertical="top"/>
    </xf>
    <xf numFmtId="164" fontId="5" fillId="10" borderId="19" xfId="0" applyNumberFormat="1" applyFont="1" applyFill="1" applyBorder="1" applyAlignment="1">
      <alignment vertical="top"/>
    </xf>
    <xf numFmtId="164" fontId="5" fillId="0" borderId="39" xfId="0" applyNumberFormat="1" applyFont="1" applyFill="1" applyBorder="1" applyAlignment="1">
      <alignment vertical="top"/>
    </xf>
    <xf numFmtId="164" fontId="3" fillId="0" borderId="6" xfId="0" applyNumberFormat="1" applyFont="1" applyFill="1" applyBorder="1" applyAlignment="1">
      <alignment horizontal="right" vertical="top" wrapText="1"/>
    </xf>
    <xf numFmtId="164" fontId="3" fillId="0" borderId="52" xfId="0" applyNumberFormat="1" applyFont="1" applyFill="1" applyBorder="1" applyAlignment="1">
      <alignment horizontal="right" vertical="top" wrapText="1"/>
    </xf>
    <xf numFmtId="0" fontId="3" fillId="0" borderId="57" xfId="0" applyFont="1" applyFill="1" applyBorder="1" applyAlignment="1">
      <alignment horizontal="center" vertical="top" wrapText="1"/>
    </xf>
    <xf numFmtId="164" fontId="3" fillId="10" borderId="45" xfId="0" applyNumberFormat="1" applyFont="1" applyFill="1" applyBorder="1" applyAlignment="1">
      <alignment horizontal="right" vertical="top"/>
    </xf>
    <xf numFmtId="0" fontId="7" fillId="0" borderId="17" xfId="0" applyFont="1" applyFill="1" applyBorder="1" applyAlignment="1">
      <alignment horizontal="center" vertical="top"/>
    </xf>
    <xf numFmtId="0" fontId="7" fillId="11" borderId="10" xfId="0" applyFont="1" applyFill="1" applyBorder="1" applyAlignment="1">
      <alignment horizontal="center" vertical="top"/>
    </xf>
    <xf numFmtId="0" fontId="7" fillId="12" borderId="50" xfId="0" applyFont="1" applyFill="1" applyBorder="1" applyAlignment="1">
      <alignment horizontal="center" vertical="top"/>
    </xf>
    <xf numFmtId="49" fontId="5" fillId="4" borderId="77" xfId="0" applyNumberFormat="1" applyFont="1" applyFill="1" applyBorder="1" applyAlignment="1">
      <alignment horizontal="center" vertical="top"/>
    </xf>
    <xf numFmtId="0" fontId="7" fillId="11" borderId="40" xfId="0" applyFont="1" applyFill="1" applyBorder="1" applyAlignment="1">
      <alignment horizontal="center" vertical="top"/>
    </xf>
    <xf numFmtId="0" fontId="3" fillId="8" borderId="9" xfId="0" applyFont="1" applyFill="1" applyBorder="1" applyAlignment="1">
      <alignment horizontal="center" vertical="top"/>
    </xf>
    <xf numFmtId="0" fontId="3" fillId="8" borderId="46" xfId="0" applyFont="1" applyFill="1" applyBorder="1" applyAlignment="1">
      <alignment horizontal="center" vertical="center"/>
    </xf>
    <xf numFmtId="0" fontId="3" fillId="0" borderId="6" xfId="0" applyFont="1" applyBorder="1" applyAlignment="1">
      <alignment horizontal="center" vertical="top" wrapText="1"/>
    </xf>
    <xf numFmtId="164" fontId="3" fillId="2" borderId="9" xfId="0" applyNumberFormat="1" applyFont="1" applyFill="1" applyBorder="1" applyAlignment="1">
      <alignment horizontal="right" vertical="top"/>
    </xf>
    <xf numFmtId="0" fontId="3" fillId="0" borderId="9" xfId="0" applyFont="1" applyBorder="1" applyAlignment="1">
      <alignment horizontal="center" vertical="top" wrapText="1"/>
    </xf>
    <xf numFmtId="164" fontId="3" fillId="2" borderId="54" xfId="0" applyNumberFormat="1" applyFont="1" applyFill="1" applyBorder="1" applyAlignment="1">
      <alignment horizontal="right" vertical="top" wrapText="1"/>
    </xf>
    <xf numFmtId="164" fontId="3" fillId="2" borderId="41" xfId="0" applyNumberFormat="1" applyFont="1" applyFill="1" applyBorder="1" applyAlignment="1">
      <alignment horizontal="right" vertical="top" wrapText="1"/>
    </xf>
    <xf numFmtId="0" fontId="3" fillId="0" borderId="24" xfId="0" applyFont="1" applyBorder="1" applyAlignment="1">
      <alignment horizontal="center" vertical="top" wrapText="1"/>
    </xf>
    <xf numFmtId="164" fontId="3" fillId="2" borderId="49" xfId="0" applyNumberFormat="1" applyFont="1" applyFill="1" applyBorder="1" applyAlignment="1">
      <alignment horizontal="right" vertical="top"/>
    </xf>
    <xf numFmtId="164" fontId="3" fillId="2" borderId="24" xfId="0" applyNumberFormat="1" applyFont="1" applyFill="1" applyBorder="1" applyAlignment="1">
      <alignment horizontal="right" vertical="top"/>
    </xf>
    <xf numFmtId="164" fontId="3" fillId="2" borderId="0" xfId="0" applyNumberFormat="1" applyFont="1" applyFill="1" applyBorder="1" applyAlignment="1">
      <alignment horizontal="right" vertical="top"/>
    </xf>
    <xf numFmtId="164" fontId="3" fillId="10" borderId="0" xfId="0" applyNumberFormat="1" applyFont="1" applyFill="1" applyBorder="1" applyAlignment="1">
      <alignment horizontal="right" vertical="top"/>
    </xf>
    <xf numFmtId="164" fontId="23" fillId="10" borderId="17" xfId="0" applyNumberFormat="1" applyFont="1" applyFill="1" applyBorder="1" applyAlignment="1">
      <alignment horizontal="right" vertical="top"/>
    </xf>
    <xf numFmtId="164" fontId="3" fillId="10" borderId="0" xfId="0" applyNumberFormat="1" applyFont="1" applyFill="1" applyBorder="1" applyAlignment="1">
      <alignment horizontal="center" vertical="top"/>
    </xf>
    <xf numFmtId="164" fontId="3" fillId="10" borderId="19" xfId="0" applyNumberFormat="1" applyFont="1" applyFill="1" applyBorder="1" applyAlignment="1">
      <alignment horizontal="center" vertical="top"/>
    </xf>
    <xf numFmtId="0" fontId="23" fillId="0" borderId="0" xfId="0" applyFont="1" applyAlignment="1">
      <alignment vertical="top"/>
    </xf>
    <xf numFmtId="164" fontId="3" fillId="10" borderId="71"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164" fontId="3" fillId="8" borderId="7" xfId="0" applyNumberFormat="1" applyFont="1" applyFill="1" applyBorder="1" applyAlignment="1">
      <alignment horizontal="right" vertical="top"/>
    </xf>
    <xf numFmtId="49" fontId="3" fillId="0" borderId="26" xfId="0" applyNumberFormat="1" applyFont="1" applyBorder="1" applyAlignment="1">
      <alignment horizontal="center" vertical="top" wrapText="1"/>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0" fontId="3" fillId="0" borderId="10" xfId="0" applyFont="1" applyFill="1" applyBorder="1" applyAlignment="1">
      <alignment horizontal="left" vertical="top" wrapText="1"/>
    </xf>
    <xf numFmtId="0" fontId="1" fillId="0" borderId="11" xfId="0" applyFont="1" applyBorder="1" applyAlignment="1">
      <alignment horizontal="center" vertical="top" textRotation="90" wrapText="1"/>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49" fontId="5" fillId="4" borderId="10"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0" fontId="3" fillId="2" borderId="48" xfId="0" applyFont="1" applyFill="1" applyBorder="1" applyAlignment="1">
      <alignment horizontal="left" vertical="top" wrapText="1"/>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wrapText="1"/>
    </xf>
    <xf numFmtId="49" fontId="5" fillId="8" borderId="26" xfId="0" applyNumberFormat="1" applyFont="1" applyFill="1" applyBorder="1" applyAlignment="1">
      <alignment horizontal="center" vertical="top" wrapText="1"/>
    </xf>
    <xf numFmtId="0" fontId="3" fillId="0" borderId="27" xfId="0" applyFont="1" applyFill="1" applyBorder="1" applyAlignment="1">
      <alignment horizontal="left" vertical="top" wrapText="1"/>
    </xf>
    <xf numFmtId="0" fontId="3" fillId="0" borderId="45" xfId="0" applyFont="1" applyFill="1" applyBorder="1" applyAlignment="1">
      <alignment horizontal="left"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19"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5" fillId="8" borderId="24" xfId="0" applyFont="1" applyFill="1" applyBorder="1" applyAlignment="1">
      <alignment horizontal="center" vertical="top"/>
    </xf>
    <xf numFmtId="164" fontId="5" fillId="10" borderId="34" xfId="0" applyNumberFormat="1" applyFont="1" applyFill="1" applyBorder="1" applyAlignment="1">
      <alignment horizontal="right" vertical="top"/>
    </xf>
    <xf numFmtId="164" fontId="5" fillId="10" borderId="33" xfId="0" applyNumberFormat="1" applyFont="1" applyFill="1" applyBorder="1" applyAlignment="1">
      <alignment horizontal="right" vertical="top"/>
    </xf>
    <xf numFmtId="164" fontId="5" fillId="8" borderId="24" xfId="0" applyNumberFormat="1" applyFont="1" applyFill="1" applyBorder="1" applyAlignment="1">
      <alignment horizontal="right" vertical="top"/>
    </xf>
    <xf numFmtId="0" fontId="5" fillId="8" borderId="70" xfId="0" applyFont="1" applyFill="1" applyBorder="1" applyAlignment="1">
      <alignment horizontal="center" vertical="top"/>
    </xf>
    <xf numFmtId="164" fontId="5" fillId="10" borderId="31" xfId="0" applyNumberFormat="1" applyFont="1" applyFill="1" applyBorder="1" applyAlignment="1">
      <alignment horizontal="right" vertical="top"/>
    </xf>
    <xf numFmtId="164" fontId="5" fillId="8" borderId="49" xfId="0" applyNumberFormat="1" applyFont="1" applyFill="1" applyBorder="1" applyAlignment="1">
      <alignment horizontal="right" vertical="top"/>
    </xf>
    <xf numFmtId="164" fontId="5" fillId="10" borderId="20" xfId="0" applyNumberFormat="1" applyFont="1" applyFill="1" applyBorder="1" applyAlignment="1">
      <alignment horizontal="right" vertical="top"/>
    </xf>
    <xf numFmtId="164" fontId="5" fillId="10" borderId="32" xfId="0" applyNumberFormat="1" applyFont="1" applyFill="1" applyBorder="1" applyAlignment="1">
      <alignment horizontal="right" vertical="top"/>
    </xf>
    <xf numFmtId="164" fontId="5" fillId="8" borderId="55" xfId="0" applyNumberFormat="1" applyFont="1" applyFill="1" applyBorder="1" applyAlignment="1">
      <alignment horizontal="right" vertical="top"/>
    </xf>
    <xf numFmtId="0" fontId="3" fillId="0" borderId="46" xfId="0" applyFont="1" applyFill="1" applyBorder="1" applyAlignment="1">
      <alignment horizontal="center" vertical="top"/>
    </xf>
    <xf numFmtId="164" fontId="19" fillId="10" borderId="8" xfId="0" applyNumberFormat="1" applyFont="1" applyFill="1" applyBorder="1" applyAlignment="1">
      <alignment horizontal="right" vertical="top"/>
    </xf>
    <xf numFmtId="164" fontId="19" fillId="10" borderId="28" xfId="0" applyNumberFormat="1" applyFont="1" applyFill="1" applyBorder="1" applyAlignment="1">
      <alignment horizontal="right" vertical="top"/>
    </xf>
    <xf numFmtId="3" fontId="3" fillId="0" borderId="26" xfId="0" applyNumberFormat="1" applyFont="1" applyFill="1" applyBorder="1" applyAlignment="1">
      <alignment horizontal="center"/>
    </xf>
    <xf numFmtId="0" fontId="3" fillId="0" borderId="46" xfId="0" applyFont="1" applyBorder="1" applyAlignment="1">
      <alignment horizontal="center"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3" fontId="3" fillId="0" borderId="28"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0" borderId="31" xfId="0" applyFont="1" applyFill="1" applyBorder="1" applyAlignment="1">
      <alignment horizontal="center" vertical="center" textRotation="90" wrapText="1"/>
    </xf>
    <xf numFmtId="0" fontId="3" fillId="0" borderId="34" xfId="0" applyFont="1" applyBorder="1" applyAlignment="1">
      <alignment vertical="top" wrapText="1"/>
    </xf>
    <xf numFmtId="0" fontId="9" fillId="0" borderId="10" xfId="0" applyFont="1" applyBorder="1" applyAlignment="1">
      <alignment vertical="center" textRotation="90" wrapText="1"/>
    </xf>
    <xf numFmtId="0" fontId="24" fillId="0" borderId="31" xfId="0" applyFont="1" applyBorder="1" applyAlignment="1">
      <alignment vertical="center" textRotation="90" wrapText="1"/>
    </xf>
    <xf numFmtId="164" fontId="3" fillId="10" borderId="31" xfId="0" applyNumberFormat="1" applyFont="1" applyFill="1" applyBorder="1" applyAlignment="1">
      <alignment vertical="top"/>
    </xf>
    <xf numFmtId="164" fontId="3" fillId="10" borderId="34" xfId="0" applyNumberFormat="1" applyFont="1" applyFill="1" applyBorder="1" applyAlignment="1">
      <alignment vertical="top"/>
    </xf>
    <xf numFmtId="164" fontId="3" fillId="10" borderId="33" xfId="0" applyNumberFormat="1" applyFont="1" applyFill="1" applyBorder="1" applyAlignment="1">
      <alignment vertical="top"/>
    </xf>
    <xf numFmtId="164" fontId="3" fillId="0" borderId="55" xfId="0" applyNumberFormat="1" applyFont="1" applyFill="1" applyBorder="1" applyAlignment="1">
      <alignment vertical="top"/>
    </xf>
    <xf numFmtId="0" fontId="7" fillId="12" borderId="17" xfId="0" applyFont="1" applyFill="1" applyBorder="1" applyAlignment="1">
      <alignment horizontal="center" vertical="top"/>
    </xf>
    <xf numFmtId="164" fontId="5" fillId="3" borderId="25" xfId="0" applyNumberFormat="1" applyFont="1" applyFill="1" applyBorder="1" applyAlignment="1">
      <alignment horizontal="right" vertical="top"/>
    </xf>
    <xf numFmtId="164" fontId="5" fillId="4" borderId="72" xfId="0" applyNumberFormat="1" applyFont="1" applyFill="1" applyBorder="1" applyAlignment="1">
      <alignment horizontal="right" vertical="top"/>
    </xf>
    <xf numFmtId="164" fontId="5" fillId="4" borderId="8" xfId="0" applyNumberFormat="1" applyFont="1" applyFill="1" applyBorder="1" applyAlignment="1">
      <alignment horizontal="right" vertical="top"/>
    </xf>
    <xf numFmtId="0" fontId="5" fillId="0" borderId="0" xfId="0" applyFont="1" applyAlignment="1">
      <alignment vertical="top"/>
    </xf>
    <xf numFmtId="164" fontId="5" fillId="0" borderId="0" xfId="0" applyNumberFormat="1" applyFont="1" applyAlignment="1">
      <alignment vertical="top"/>
    </xf>
    <xf numFmtId="164" fontId="11" fillId="10" borderId="38" xfId="0" applyNumberFormat="1" applyFont="1" applyFill="1" applyBorder="1" applyAlignment="1">
      <alignment horizontal="right" vertical="top" wrapText="1"/>
    </xf>
    <xf numFmtId="164" fontId="11" fillId="10" borderId="2" xfId="0" applyNumberFormat="1" applyFont="1" applyFill="1" applyBorder="1" applyAlignment="1">
      <alignment horizontal="right" vertical="top" wrapText="1"/>
    </xf>
    <xf numFmtId="164" fontId="11" fillId="10" borderId="18" xfId="0" applyNumberFormat="1" applyFont="1" applyFill="1" applyBorder="1" applyAlignment="1">
      <alignment horizontal="right" vertical="top" wrapText="1"/>
    </xf>
    <xf numFmtId="164" fontId="11" fillId="10" borderId="51" xfId="0" applyNumberFormat="1" applyFont="1" applyFill="1" applyBorder="1" applyAlignment="1">
      <alignment horizontal="right" vertical="top" wrapText="1"/>
    </xf>
    <xf numFmtId="164" fontId="11" fillId="10" borderId="48" xfId="0" applyNumberFormat="1" applyFont="1" applyFill="1" applyBorder="1" applyAlignment="1">
      <alignment horizontal="right" vertical="top" wrapText="1"/>
    </xf>
    <xf numFmtId="164" fontId="11" fillId="10" borderId="1" xfId="0" applyNumberFormat="1" applyFont="1" applyFill="1" applyBorder="1" applyAlignment="1">
      <alignment horizontal="right" vertical="top" wrapText="1"/>
    </xf>
    <xf numFmtId="164" fontId="5" fillId="10" borderId="51" xfId="0" applyNumberFormat="1" applyFont="1" applyFill="1" applyBorder="1" applyAlignment="1">
      <alignment horizontal="right" vertical="top" wrapText="1"/>
    </xf>
    <xf numFmtId="164" fontId="5" fillId="10" borderId="48" xfId="0" applyNumberFormat="1" applyFont="1" applyFill="1" applyBorder="1" applyAlignment="1">
      <alignment horizontal="right" vertical="top" wrapText="1"/>
    </xf>
    <xf numFmtId="164" fontId="5" fillId="10" borderId="1" xfId="0" applyNumberFormat="1" applyFont="1" applyFill="1" applyBorder="1" applyAlignment="1">
      <alignment horizontal="right" vertical="top" wrapText="1"/>
    </xf>
    <xf numFmtId="49" fontId="3" fillId="0" borderId="78" xfId="0" applyNumberFormat="1" applyFont="1" applyFill="1" applyBorder="1" applyAlignment="1">
      <alignment horizontal="center" vertical="top"/>
    </xf>
    <xf numFmtId="49" fontId="3" fillId="0" borderId="76" xfId="0" applyNumberFormat="1" applyFont="1" applyFill="1" applyBorder="1" applyAlignment="1">
      <alignment horizontal="center" vertical="top"/>
    </xf>
    <xf numFmtId="49" fontId="3" fillId="0" borderId="70" xfId="0" applyNumberFormat="1" applyFont="1" applyFill="1" applyBorder="1" applyAlignment="1">
      <alignment horizontal="center" vertical="top"/>
    </xf>
    <xf numFmtId="49" fontId="3" fillId="0" borderId="40" xfId="0" applyNumberFormat="1" applyFont="1" applyFill="1" applyBorder="1" applyAlignment="1">
      <alignment horizontal="center" vertical="top"/>
    </xf>
    <xf numFmtId="0" fontId="5" fillId="0" borderId="40" xfId="0" applyFont="1" applyFill="1" applyBorder="1" applyAlignment="1">
      <alignment horizontal="center" vertical="top" wrapText="1"/>
    </xf>
    <xf numFmtId="0" fontId="3" fillId="0" borderId="57" xfId="0" applyFont="1" applyFill="1" applyBorder="1" applyAlignment="1">
      <alignment horizontal="center" vertical="top"/>
    </xf>
    <xf numFmtId="0" fontId="3" fillId="0" borderId="40" xfId="0" applyFont="1" applyFill="1" applyBorder="1" applyAlignment="1">
      <alignment horizontal="center" vertical="top"/>
    </xf>
    <xf numFmtId="0" fontId="5" fillId="0" borderId="40" xfId="0" applyFont="1" applyFill="1" applyBorder="1" applyAlignment="1">
      <alignment horizontal="center" vertical="top"/>
    </xf>
    <xf numFmtId="164" fontId="5" fillId="0" borderId="53" xfId="0" applyNumberFormat="1" applyFont="1" applyFill="1" applyBorder="1" applyAlignment="1">
      <alignment vertical="top"/>
    </xf>
    <xf numFmtId="164" fontId="5" fillId="10" borderId="10" xfId="0" applyNumberFormat="1" applyFont="1" applyFill="1" applyBorder="1" applyAlignment="1">
      <alignment horizontal="right" vertical="top"/>
    </xf>
    <xf numFmtId="164" fontId="5" fillId="10" borderId="53" xfId="0" applyNumberFormat="1" applyFont="1" applyFill="1" applyBorder="1" applyAlignment="1">
      <alignment horizontal="right" vertical="top"/>
    </xf>
    <xf numFmtId="164" fontId="5" fillId="3" borderId="5" xfId="0" applyNumberFormat="1" applyFont="1" applyFill="1" applyBorder="1" applyAlignment="1">
      <alignment horizontal="right" vertical="top"/>
    </xf>
    <xf numFmtId="164" fontId="5" fillId="3" borderId="80" xfId="0" applyNumberFormat="1" applyFont="1" applyFill="1" applyBorder="1" applyAlignment="1">
      <alignment horizontal="right" vertical="top"/>
    </xf>
    <xf numFmtId="0" fontId="3" fillId="0" borderId="27" xfId="0" applyFont="1" applyFill="1" applyBorder="1" applyAlignment="1">
      <alignment horizontal="left" vertical="top" wrapText="1"/>
    </xf>
    <xf numFmtId="0" fontId="3" fillId="3" borderId="63" xfId="0" applyFont="1" applyFill="1" applyBorder="1" applyAlignment="1">
      <alignment horizontal="center" vertical="top"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49" fontId="3" fillId="0" borderId="28" xfId="0" applyNumberFormat="1" applyFont="1" applyBorder="1" applyAlignment="1">
      <alignment horizontal="center" vertical="top" wrapText="1"/>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0" fontId="3" fillId="0" borderId="8" xfId="0" applyFont="1" applyFill="1" applyBorder="1" applyAlignment="1">
      <alignment vertical="top" wrapText="1"/>
    </xf>
    <xf numFmtId="49" fontId="5" fillId="4" borderId="8" xfId="0" applyNumberFormat="1" applyFont="1" applyFill="1" applyBorder="1" applyAlignment="1">
      <alignment horizontal="center" vertical="top"/>
    </xf>
    <xf numFmtId="49" fontId="5" fillId="4" borderId="10" xfId="0" applyNumberFormat="1" applyFont="1" applyFill="1" applyBorder="1" applyAlignment="1">
      <alignment horizontal="center" vertical="top"/>
    </xf>
    <xf numFmtId="49" fontId="5" fillId="3" borderId="28" xfId="0" applyNumberFormat="1" applyFont="1" applyFill="1" applyBorder="1" applyAlignment="1">
      <alignment horizontal="center" vertical="top"/>
    </xf>
    <xf numFmtId="49" fontId="5" fillId="0" borderId="1" xfId="0" applyNumberFormat="1" applyFont="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3" fillId="0" borderId="17" xfId="0" applyNumberFormat="1" applyFont="1" applyBorder="1" applyAlignment="1">
      <alignment horizontal="center" vertical="top"/>
    </xf>
    <xf numFmtId="49" fontId="3" fillId="0" borderId="34"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0" borderId="31" xfId="0" applyFont="1" applyFill="1" applyBorder="1" applyAlignment="1">
      <alignment horizontal="left" vertical="top" wrapText="1"/>
    </xf>
    <xf numFmtId="49" fontId="5" fillId="3" borderId="50" xfId="0" applyNumberFormat="1" applyFont="1" applyFill="1" applyBorder="1" applyAlignment="1">
      <alignment horizontal="center" vertical="top"/>
    </xf>
    <xf numFmtId="0" fontId="3" fillId="2" borderId="33" xfId="0" applyFont="1" applyFill="1" applyBorder="1" applyAlignment="1">
      <alignment horizontal="left" vertical="top" wrapText="1"/>
    </xf>
    <xf numFmtId="49" fontId="5" fillId="8" borderId="28"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center" vertical="center" textRotation="90" wrapText="1"/>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0" fontId="15" fillId="0" borderId="29" xfId="0" applyFont="1" applyFill="1" applyBorder="1" applyAlignment="1">
      <alignment horizontal="left" vertical="top" wrapText="1"/>
    </xf>
    <xf numFmtId="0" fontId="3" fillId="0" borderId="31" xfId="0" applyFont="1" applyFill="1" applyBorder="1" applyAlignment="1">
      <alignment horizontal="center" vertical="center" textRotation="90" wrapText="1"/>
    </xf>
    <xf numFmtId="0" fontId="3" fillId="0" borderId="45" xfId="0" applyFont="1" applyFill="1" applyBorder="1" applyAlignment="1">
      <alignment horizontal="center" vertical="center" textRotation="90" wrapText="1"/>
    </xf>
    <xf numFmtId="49" fontId="3" fillId="0" borderId="2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0" borderId="8"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0" fontId="26" fillId="0" borderId="0" xfId="0" applyFont="1" applyBorder="1" applyAlignment="1">
      <alignment vertical="top"/>
    </xf>
    <xf numFmtId="0" fontId="27" fillId="0" borderId="6" xfId="0" applyFont="1" applyFill="1" applyBorder="1" applyAlignment="1">
      <alignment horizontal="center" vertical="top" wrapText="1"/>
    </xf>
    <xf numFmtId="164" fontId="27" fillId="10" borderId="45" xfId="0" applyNumberFormat="1" applyFont="1" applyFill="1" applyBorder="1" applyAlignment="1">
      <alignment horizontal="right" vertical="top"/>
    </xf>
    <xf numFmtId="164" fontId="23" fillId="10" borderId="21" xfId="0" applyNumberFormat="1" applyFont="1" applyFill="1" applyBorder="1" applyAlignment="1">
      <alignment horizontal="right" vertical="top"/>
    </xf>
    <xf numFmtId="164" fontId="23" fillId="2" borderId="52" xfId="0" applyNumberFormat="1" applyFont="1" applyFill="1" applyBorder="1" applyAlignment="1">
      <alignment horizontal="right" vertical="top" wrapText="1"/>
    </xf>
    <xf numFmtId="3" fontId="23" fillId="0" borderId="21" xfId="0" applyNumberFormat="1" applyFont="1" applyFill="1" applyBorder="1" applyAlignment="1">
      <alignment horizontal="center" vertical="top"/>
    </xf>
    <xf numFmtId="0" fontId="23" fillId="0" borderId="24" xfId="0" applyFont="1" applyFill="1" applyBorder="1" applyAlignment="1">
      <alignment horizontal="center" vertical="top" wrapText="1"/>
    </xf>
    <xf numFmtId="164" fontId="23" fillId="10" borderId="31" xfId="0" applyNumberFormat="1" applyFont="1" applyFill="1" applyBorder="1" applyAlignment="1">
      <alignment horizontal="right" vertical="top"/>
    </xf>
    <xf numFmtId="164" fontId="23" fillId="0" borderId="53" xfId="0" applyNumberFormat="1" applyFont="1" applyFill="1" applyBorder="1" applyAlignment="1">
      <alignment horizontal="right" vertical="top"/>
    </xf>
    <xf numFmtId="3" fontId="23" fillId="0" borderId="17" xfId="0" applyNumberFormat="1" applyFont="1" applyFill="1" applyBorder="1" applyAlignment="1">
      <alignment horizontal="center" vertical="top"/>
    </xf>
    <xf numFmtId="3" fontId="23" fillId="0" borderId="0" xfId="0" applyNumberFormat="1" applyFont="1" applyFill="1" applyBorder="1" applyAlignment="1">
      <alignment horizontal="center" vertical="top"/>
    </xf>
    <xf numFmtId="0" fontId="29" fillId="0" borderId="66" xfId="0" applyFont="1" applyFill="1" applyBorder="1" applyAlignment="1">
      <alignment horizontal="center" vertical="top"/>
    </xf>
    <xf numFmtId="164" fontId="29" fillId="10" borderId="60" xfId="0" applyNumberFormat="1" applyFont="1" applyFill="1" applyBorder="1" applyAlignment="1">
      <alignment horizontal="right" vertical="top"/>
    </xf>
    <xf numFmtId="164" fontId="29" fillId="10" borderId="59" xfId="0" applyNumberFormat="1" applyFont="1" applyFill="1" applyBorder="1" applyAlignment="1">
      <alignment horizontal="right" vertical="top"/>
    </xf>
    <xf numFmtId="164" fontId="29" fillId="0" borderId="64" xfId="0" applyNumberFormat="1" applyFont="1" applyFill="1" applyBorder="1" applyAlignment="1">
      <alignment horizontal="right" vertical="top"/>
    </xf>
    <xf numFmtId="3" fontId="27" fillId="0" borderId="26" xfId="0" applyNumberFormat="1" applyFont="1" applyFill="1" applyBorder="1" applyAlignment="1">
      <alignment horizontal="center" vertical="top"/>
    </xf>
    <xf numFmtId="3" fontId="27" fillId="0" borderId="30" xfId="0" applyNumberFormat="1" applyFont="1" applyFill="1" applyBorder="1" applyAlignment="1">
      <alignment horizontal="center" vertical="top"/>
    </xf>
    <xf numFmtId="0" fontId="3" fillId="0" borderId="0" xfId="0" applyFont="1" applyBorder="1" applyAlignment="1">
      <alignment vertical="top" wrapText="1"/>
    </xf>
    <xf numFmtId="164" fontId="5" fillId="10" borderId="59" xfId="0" applyNumberFormat="1" applyFont="1" applyFill="1" applyBorder="1" applyAlignment="1">
      <alignment horizontal="right" vertical="top" wrapText="1"/>
    </xf>
    <xf numFmtId="164" fontId="27" fillId="2" borderId="52" xfId="0" applyNumberFormat="1" applyFont="1" applyFill="1" applyBorder="1" applyAlignment="1">
      <alignment horizontal="right" vertical="top" wrapText="1"/>
    </xf>
    <xf numFmtId="164" fontId="27" fillId="10" borderId="1" xfId="0" applyNumberFormat="1" applyFont="1" applyFill="1" applyBorder="1" applyAlignment="1">
      <alignment horizontal="right" vertical="top"/>
    </xf>
    <xf numFmtId="164" fontId="23" fillId="10" borderId="19" xfId="0" applyNumberFormat="1" applyFont="1" applyFill="1" applyBorder="1" applyAlignment="1">
      <alignment horizontal="right" vertical="top"/>
    </xf>
    <xf numFmtId="164" fontId="29" fillId="10" borderId="64" xfId="0" applyNumberFormat="1" applyFont="1" applyFill="1" applyBorder="1" applyAlignment="1">
      <alignment horizontal="right" vertical="top"/>
    </xf>
    <xf numFmtId="164" fontId="27" fillId="12" borderId="4" xfId="0" applyNumberFormat="1" applyFont="1" applyFill="1" applyBorder="1" applyAlignment="1">
      <alignment horizontal="right" vertical="top"/>
    </xf>
    <xf numFmtId="164" fontId="29" fillId="3" borderId="22" xfId="0" applyNumberFormat="1" applyFont="1" applyFill="1" applyBorder="1" applyAlignment="1">
      <alignment horizontal="right" vertical="top" wrapText="1"/>
    </xf>
    <xf numFmtId="164" fontId="29" fillId="10" borderId="64" xfId="0" applyNumberFormat="1" applyFont="1" applyFill="1" applyBorder="1" applyAlignment="1">
      <alignment horizontal="center" vertical="top" wrapText="1"/>
    </xf>
    <xf numFmtId="164" fontId="29" fillId="10" borderId="60" xfId="0" applyNumberFormat="1" applyFont="1" applyFill="1" applyBorder="1" applyAlignment="1">
      <alignment horizontal="right" vertical="top" wrapText="1"/>
    </xf>
    <xf numFmtId="164" fontId="29" fillId="3" borderId="56" xfId="0" applyNumberFormat="1" applyFont="1" applyFill="1" applyBorder="1" applyAlignment="1">
      <alignment horizontal="right" vertical="top" wrapText="1"/>
    </xf>
    <xf numFmtId="49" fontId="23" fillId="0" borderId="21" xfId="0" applyNumberFormat="1" applyFont="1" applyBorder="1" applyAlignment="1">
      <alignment horizontal="center" vertical="top"/>
    </xf>
    <xf numFmtId="49" fontId="29" fillId="0" borderId="53" xfId="0" applyNumberFormat="1" applyFont="1" applyBorder="1" applyAlignment="1">
      <alignment horizontal="center" vertical="top"/>
    </xf>
    <xf numFmtId="0" fontId="23" fillId="8" borderId="40" xfId="0" applyFont="1" applyFill="1" applyBorder="1" applyAlignment="1">
      <alignment horizontal="center" vertical="top"/>
    </xf>
    <xf numFmtId="164" fontId="23" fillId="10" borderId="10" xfId="0" applyNumberFormat="1" applyFont="1" applyFill="1" applyBorder="1" applyAlignment="1">
      <alignment horizontal="right" vertical="top"/>
    </xf>
    <xf numFmtId="164" fontId="29" fillId="10" borderId="17" xfId="0" applyNumberFormat="1" applyFont="1" applyFill="1" applyBorder="1" applyAlignment="1">
      <alignment horizontal="right" vertical="top"/>
    </xf>
    <xf numFmtId="164" fontId="29" fillId="10" borderId="19" xfId="0" applyNumberFormat="1" applyFont="1" applyFill="1" applyBorder="1" applyAlignment="1">
      <alignment horizontal="right" vertical="top"/>
    </xf>
    <xf numFmtId="164" fontId="29" fillId="8" borderId="0" xfId="0" applyNumberFormat="1" applyFont="1" applyFill="1" applyBorder="1" applyAlignment="1">
      <alignment horizontal="right" vertical="top"/>
    </xf>
    <xf numFmtId="164" fontId="29" fillId="8" borderId="40" xfId="0" applyNumberFormat="1" applyFont="1" applyFill="1" applyBorder="1" applyAlignment="1">
      <alignment horizontal="right" vertical="top"/>
    </xf>
    <xf numFmtId="3" fontId="23" fillId="0" borderId="17" xfId="0" applyNumberFormat="1" applyFont="1" applyFill="1" applyBorder="1" applyAlignment="1">
      <alignment horizontal="center" vertical="top" wrapText="1"/>
    </xf>
    <xf numFmtId="49" fontId="23" fillId="0" borderId="34" xfId="0" applyNumberFormat="1" applyFont="1" applyBorder="1" applyAlignment="1">
      <alignment horizontal="center" vertical="top"/>
    </xf>
    <xf numFmtId="0" fontId="29" fillId="8" borderId="40" xfId="0" applyFont="1" applyFill="1" applyBorder="1" applyAlignment="1">
      <alignment horizontal="center" vertical="top"/>
    </xf>
    <xf numFmtId="164" fontId="29" fillId="10" borderId="10" xfId="0" applyNumberFormat="1" applyFont="1" applyFill="1" applyBorder="1" applyAlignment="1">
      <alignment horizontal="right" vertical="top"/>
    </xf>
    <xf numFmtId="164" fontId="29" fillId="10" borderId="3" xfId="0" applyNumberFormat="1" applyFont="1" applyFill="1" applyBorder="1" applyAlignment="1">
      <alignment horizontal="right" vertical="top" wrapText="1"/>
    </xf>
    <xf numFmtId="0" fontId="23" fillId="0" borderId="17" xfId="1" applyNumberFormat="1" applyFont="1" applyFill="1" applyBorder="1" applyAlignment="1">
      <alignment horizontal="left" vertical="top"/>
    </xf>
    <xf numFmtId="0" fontId="23" fillId="0" borderId="17" xfId="1" applyNumberFormat="1" applyFont="1" applyFill="1" applyBorder="1" applyAlignment="1">
      <alignment horizontal="center" vertical="top"/>
    </xf>
    <xf numFmtId="0" fontId="3" fillId="0" borderId="26" xfId="1" applyNumberFormat="1" applyFont="1" applyFill="1" applyBorder="1" applyAlignment="1">
      <alignment horizontal="center" vertical="top"/>
    </xf>
    <xf numFmtId="164" fontId="29" fillId="3" borderId="5" xfId="0" applyNumberFormat="1" applyFont="1" applyFill="1" applyBorder="1" applyAlignment="1">
      <alignment horizontal="right" vertical="top" wrapText="1"/>
    </xf>
    <xf numFmtId="164" fontId="29" fillId="4" borderId="72" xfId="0" applyNumberFormat="1" applyFont="1" applyFill="1" applyBorder="1" applyAlignment="1">
      <alignment horizontal="right" vertical="top" wrapText="1"/>
    </xf>
    <xf numFmtId="164" fontId="29" fillId="4" borderId="54" xfId="0" applyNumberFormat="1" applyFont="1" applyFill="1" applyBorder="1" applyAlignment="1">
      <alignment horizontal="right" vertical="top" wrapText="1"/>
    </xf>
    <xf numFmtId="164" fontId="29" fillId="4" borderId="25" xfId="0" applyNumberFormat="1" applyFont="1" applyFill="1" applyBorder="1" applyAlignment="1">
      <alignment horizontal="right" vertical="top" wrapText="1"/>
    </xf>
    <xf numFmtId="164" fontId="5" fillId="7" borderId="5" xfId="0" applyNumberFormat="1" applyFont="1" applyFill="1" applyBorder="1" applyAlignment="1">
      <alignment horizontal="right" vertical="top"/>
    </xf>
    <xf numFmtId="164" fontId="29" fillId="7" borderId="25" xfId="0" applyNumberFormat="1" applyFont="1" applyFill="1" applyBorder="1" applyAlignment="1">
      <alignment horizontal="right" vertical="top" wrapText="1"/>
    </xf>
    <xf numFmtId="164" fontId="5" fillId="7" borderId="25" xfId="0" applyNumberFormat="1" applyFont="1" applyFill="1" applyBorder="1" applyAlignment="1">
      <alignment horizontal="right" vertical="top"/>
    </xf>
    <xf numFmtId="164" fontId="29" fillId="7" borderId="22" xfId="0" applyNumberFormat="1" applyFont="1" applyFill="1" applyBorder="1" applyAlignment="1">
      <alignment horizontal="right" vertical="top" wrapText="1"/>
    </xf>
    <xf numFmtId="164" fontId="29" fillId="7" borderId="69" xfId="0" applyNumberFormat="1" applyFont="1" applyFill="1" applyBorder="1" applyAlignment="1">
      <alignment horizontal="right" vertical="top" wrapText="1"/>
    </xf>
    <xf numFmtId="164" fontId="3" fillId="0" borderId="54" xfId="0" applyNumberFormat="1" applyFont="1" applyFill="1" applyBorder="1" applyAlignment="1">
      <alignment horizontal="right" vertical="top" wrapText="1"/>
    </xf>
    <xf numFmtId="0" fontId="5" fillId="0" borderId="66" xfId="0" applyFont="1" applyFill="1" applyBorder="1" applyAlignment="1">
      <alignment horizontal="center" vertical="top"/>
    </xf>
    <xf numFmtId="164" fontId="5" fillId="10" borderId="26" xfId="0" applyNumberFormat="1" applyFont="1" applyFill="1" applyBorder="1" applyAlignment="1">
      <alignment horizontal="right" vertical="top"/>
    </xf>
    <xf numFmtId="164" fontId="5" fillId="10" borderId="62" xfId="0" applyNumberFormat="1" applyFont="1" applyFill="1" applyBorder="1" applyAlignment="1">
      <alignment horizontal="right" vertical="top"/>
    </xf>
    <xf numFmtId="164" fontId="5" fillId="0" borderId="66" xfId="0" applyNumberFormat="1" applyFont="1" applyFill="1" applyBorder="1" applyAlignment="1">
      <alignment horizontal="right" vertical="top"/>
    </xf>
    <xf numFmtId="164" fontId="5" fillId="0" borderId="36" xfId="0" applyNumberFormat="1" applyFont="1" applyFill="1" applyBorder="1" applyAlignment="1">
      <alignment horizontal="right" vertical="top"/>
    </xf>
    <xf numFmtId="164" fontId="5" fillId="10" borderId="27" xfId="0" applyNumberFormat="1" applyFont="1" applyFill="1" applyBorder="1" applyAlignment="1">
      <alignment horizontal="right" vertical="top"/>
    </xf>
    <xf numFmtId="164" fontId="5" fillId="8" borderId="66" xfId="0" applyNumberFormat="1" applyFont="1" applyFill="1" applyBorder="1" applyAlignment="1">
      <alignment horizontal="right" vertical="top"/>
    </xf>
    <xf numFmtId="0" fontId="3" fillId="8" borderId="77" xfId="0" applyFont="1" applyFill="1" applyBorder="1" applyAlignment="1">
      <alignment horizontal="center" vertical="top"/>
    </xf>
    <xf numFmtId="164" fontId="5" fillId="10" borderId="28" xfId="0" applyNumberFormat="1" applyFont="1" applyFill="1" applyBorder="1" applyAlignment="1">
      <alignment horizontal="right" vertical="top"/>
    </xf>
    <xf numFmtId="164" fontId="5" fillId="10" borderId="29" xfId="0" applyNumberFormat="1" applyFont="1" applyFill="1" applyBorder="1" applyAlignment="1">
      <alignment horizontal="right" vertical="top"/>
    </xf>
    <xf numFmtId="3" fontId="3" fillId="0" borderId="29" xfId="0" applyNumberFormat="1" applyFont="1" applyFill="1" applyBorder="1" applyAlignment="1">
      <alignment vertical="top" wrapText="1"/>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0" fontId="3" fillId="2" borderId="62" xfId="0" applyFont="1" applyFill="1" applyBorder="1" applyAlignment="1">
      <alignment horizontal="left" vertical="top" wrapText="1"/>
    </xf>
    <xf numFmtId="0" fontId="3" fillId="0" borderId="10" xfId="0" applyFont="1" applyFill="1" applyBorder="1" applyAlignment="1">
      <alignment horizontal="left" vertical="top" wrapText="1"/>
    </xf>
    <xf numFmtId="49" fontId="3" fillId="0" borderId="17"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3" borderId="4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0" fontId="3" fillId="0" borderId="11" xfId="0" applyFont="1" applyFill="1" applyBorder="1" applyAlignment="1">
      <alignment horizontal="center" vertical="center" textRotation="90" wrapText="1"/>
    </xf>
    <xf numFmtId="49" fontId="3" fillId="0" borderId="28" xfId="0" applyNumberFormat="1" applyFont="1" applyBorder="1" applyAlignment="1">
      <alignment horizontal="center" vertical="top"/>
    </xf>
    <xf numFmtId="49" fontId="3" fillId="0" borderId="26" xfId="0" applyNumberFormat="1" applyFont="1" applyBorder="1" applyAlignment="1">
      <alignment horizontal="center" vertical="top"/>
    </xf>
    <xf numFmtId="3" fontId="3" fillId="2" borderId="1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49" fontId="3" fillId="0" borderId="2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8" borderId="35" xfId="0" applyFont="1" applyFill="1" applyBorder="1" applyAlignment="1">
      <alignment horizontal="center" vertical="top"/>
    </xf>
    <xf numFmtId="164" fontId="19" fillId="10" borderId="11" xfId="0" applyNumberFormat="1" applyFont="1" applyFill="1" applyBorder="1" applyAlignment="1">
      <alignment horizontal="right" vertical="top"/>
    </xf>
    <xf numFmtId="164" fontId="3" fillId="8" borderId="30" xfId="0" applyNumberFormat="1" applyFont="1" applyFill="1" applyBorder="1" applyAlignment="1">
      <alignment horizontal="right" vertical="top"/>
    </xf>
    <xf numFmtId="3" fontId="21" fillId="0" borderId="26" xfId="0" applyNumberFormat="1" applyFont="1" applyFill="1" applyBorder="1" applyAlignment="1">
      <alignment horizontal="center" vertical="center" wrapText="1"/>
    </xf>
    <xf numFmtId="164" fontId="3" fillId="8" borderId="41" xfId="0" applyNumberFormat="1" applyFont="1" applyFill="1" applyBorder="1" applyAlignment="1">
      <alignment horizontal="right" vertical="top"/>
    </xf>
    <xf numFmtId="164" fontId="5" fillId="8" borderId="46" xfId="0" applyNumberFormat="1" applyFont="1" applyFill="1" applyBorder="1" applyAlignment="1">
      <alignment horizontal="right" vertical="top"/>
    </xf>
    <xf numFmtId="0" fontId="3" fillId="0" borderId="8" xfId="1" applyFont="1" applyFill="1" applyBorder="1" applyAlignment="1">
      <alignment vertical="top" wrapText="1"/>
    </xf>
    <xf numFmtId="3" fontId="3" fillId="0" borderId="28" xfId="1" applyNumberFormat="1" applyFont="1" applyFill="1" applyBorder="1" applyAlignment="1">
      <alignment horizontal="center" vertical="center"/>
    </xf>
    <xf numFmtId="0" fontId="3" fillId="3" borderId="63" xfId="0" applyFont="1" applyFill="1" applyBorder="1" applyAlignment="1">
      <alignment horizontal="center" vertical="top"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49" fontId="3" fillId="0" borderId="28"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4" borderId="8" xfId="0" applyNumberFormat="1" applyFont="1" applyFill="1" applyBorder="1" applyAlignment="1">
      <alignment horizontal="center" vertical="top"/>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49" fontId="5" fillId="4" borderId="10"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0" fontId="3" fillId="2" borderId="48" xfId="0" applyFont="1" applyFill="1" applyBorder="1" applyAlignment="1">
      <alignment horizontal="left" vertical="top" wrapText="1"/>
    </xf>
    <xf numFmtId="0" fontId="3" fillId="2" borderId="62" xfId="0" applyFont="1" applyFill="1" applyBorder="1" applyAlignment="1">
      <alignment horizontal="left"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wrapText="1"/>
    </xf>
    <xf numFmtId="0" fontId="3" fillId="0" borderId="10" xfId="0" applyFont="1" applyFill="1" applyBorder="1" applyAlignment="1">
      <alignment horizontal="left"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7" fillId="0" borderId="11" xfId="0" applyFont="1" applyBorder="1" applyAlignment="1">
      <alignment vertical="top" wrapText="1"/>
    </xf>
    <xf numFmtId="49" fontId="5" fillId="3" borderId="50"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2" borderId="33" xfId="0" applyFont="1" applyFill="1" applyBorder="1" applyAlignment="1">
      <alignment horizontal="left" vertical="top" wrapText="1"/>
    </xf>
    <xf numFmtId="49" fontId="3" fillId="0" borderId="17" xfId="0" applyNumberFormat="1" applyFont="1" applyBorder="1" applyAlignment="1">
      <alignment horizontal="center" vertical="top"/>
    </xf>
    <xf numFmtId="49" fontId="3" fillId="0" borderId="34"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0" borderId="31" xfId="0" applyFont="1" applyFill="1" applyBorder="1" applyAlignment="1">
      <alignment horizontal="left" vertical="top" wrapText="1"/>
    </xf>
    <xf numFmtId="49" fontId="5" fillId="3" borderId="4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28" xfId="0" applyNumberFormat="1" applyFont="1" applyBorder="1" applyAlignment="1">
      <alignment horizontal="center" vertical="top"/>
    </xf>
    <xf numFmtId="49" fontId="3" fillId="0" borderId="26" xfId="0" applyNumberFormat="1" applyFont="1" applyBorder="1" applyAlignment="1">
      <alignment horizontal="center" vertical="top"/>
    </xf>
    <xf numFmtId="3" fontId="3" fillId="2" borderId="1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0" fontId="3" fillId="0" borderId="45" xfId="0" applyFont="1" applyFill="1" applyBorder="1" applyAlignment="1">
      <alignment horizontal="left"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0" fontId="15" fillId="0" borderId="29" xfId="0" applyFont="1" applyFill="1" applyBorder="1" applyAlignment="1">
      <alignment horizontal="left" vertical="top" wrapText="1"/>
    </xf>
    <xf numFmtId="0" fontId="3" fillId="0" borderId="45" xfId="0" applyFont="1" applyFill="1" applyBorder="1" applyAlignment="1">
      <alignment horizontal="center" vertical="center" textRotation="90" wrapText="1"/>
    </xf>
    <xf numFmtId="49" fontId="3" fillId="0" borderId="21" xfId="0" applyNumberFormat="1" applyFont="1" applyBorder="1" applyAlignment="1">
      <alignment horizontal="center" vertical="top"/>
    </xf>
    <xf numFmtId="49" fontId="5" fillId="0" borderId="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0" borderId="31" xfId="0" applyFont="1" applyFill="1" applyBorder="1" applyAlignment="1">
      <alignment horizontal="center" vertical="center" textRotation="90" wrapText="1"/>
    </xf>
    <xf numFmtId="49" fontId="5" fillId="8" borderId="26"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3" borderId="28" xfId="0" applyNumberFormat="1" applyFont="1" applyFill="1" applyBorder="1" applyAlignment="1">
      <alignment horizontal="center" vertical="top" wrapText="1"/>
    </xf>
    <xf numFmtId="0" fontId="9" fillId="0" borderId="8" xfId="0" applyFont="1" applyFill="1" applyBorder="1" applyAlignment="1">
      <alignment vertical="top" wrapText="1"/>
    </xf>
    <xf numFmtId="49" fontId="3" fillId="0" borderId="7" xfId="0" applyNumberFormat="1" applyFont="1" applyFill="1" applyBorder="1" applyAlignment="1">
      <alignment horizontal="center" vertical="top"/>
    </xf>
    <xf numFmtId="49" fontId="5" fillId="0" borderId="52" xfId="0" applyNumberFormat="1" applyFont="1" applyBorder="1" applyAlignment="1">
      <alignment horizontal="center" vertical="top"/>
    </xf>
    <xf numFmtId="0" fontId="3" fillId="0" borderId="8" xfId="0" applyFont="1" applyFill="1" applyBorder="1" applyAlignment="1">
      <alignment horizontal="center" vertical="top" wrapText="1"/>
    </xf>
    <xf numFmtId="49" fontId="5" fillId="14" borderId="16" xfId="0" applyNumberFormat="1" applyFont="1" applyFill="1" applyBorder="1" applyAlignment="1">
      <alignment horizontal="center" vertical="top" wrapText="1"/>
    </xf>
    <xf numFmtId="49" fontId="5" fillId="14" borderId="40" xfId="0" applyNumberFormat="1" applyFont="1" applyFill="1" applyBorder="1" applyAlignment="1">
      <alignment horizontal="center" vertical="top"/>
    </xf>
    <xf numFmtId="49" fontId="5" fillId="14" borderId="35" xfId="0" applyNumberFormat="1" applyFont="1" applyFill="1" applyBorder="1" applyAlignment="1">
      <alignment horizontal="center" vertical="top"/>
    </xf>
    <xf numFmtId="49" fontId="5" fillId="14" borderId="56" xfId="0" applyNumberFormat="1" applyFont="1" applyFill="1" applyBorder="1" applyAlignment="1">
      <alignment horizontal="center" vertical="top"/>
    </xf>
    <xf numFmtId="49" fontId="5" fillId="14" borderId="63" xfId="0" applyNumberFormat="1" applyFont="1" applyFill="1" applyBorder="1" applyAlignment="1">
      <alignment horizontal="center" vertical="top"/>
    </xf>
    <xf numFmtId="49" fontId="5" fillId="14" borderId="8" xfId="0" applyNumberFormat="1" applyFont="1" applyFill="1" applyBorder="1" applyAlignment="1">
      <alignment horizontal="center" vertical="top" wrapText="1"/>
    </xf>
    <xf numFmtId="0" fontId="3" fillId="0" borderId="0" xfId="1" applyFont="1" applyFill="1" applyBorder="1" applyAlignment="1">
      <alignment vertical="top" wrapText="1"/>
    </xf>
    <xf numFmtId="49" fontId="5" fillId="13" borderId="62" xfId="0" applyNumberFormat="1" applyFont="1" applyFill="1" applyBorder="1" applyAlignment="1">
      <alignment vertical="top"/>
    </xf>
    <xf numFmtId="49" fontId="5" fillId="13" borderId="30" xfId="0" applyNumberFormat="1" applyFont="1" applyFill="1" applyBorder="1" applyAlignment="1">
      <alignment vertical="top"/>
    </xf>
    <xf numFmtId="0" fontId="3" fillId="13" borderId="30" xfId="0" applyFont="1" applyFill="1" applyBorder="1" applyAlignment="1">
      <alignment horizontal="left" vertical="top" wrapText="1"/>
    </xf>
    <xf numFmtId="0" fontId="3" fillId="13" borderId="30" xfId="0" applyFont="1" applyFill="1" applyBorder="1" applyAlignment="1">
      <alignment horizontal="center" vertical="center" textRotation="90" wrapText="1"/>
    </xf>
    <xf numFmtId="49" fontId="5" fillId="13" borderId="30" xfId="0" applyNumberFormat="1" applyFont="1" applyFill="1" applyBorder="1" applyAlignment="1">
      <alignment horizontal="center" vertical="top"/>
    </xf>
    <xf numFmtId="0" fontId="3" fillId="2" borderId="40" xfId="0" applyFont="1" applyFill="1" applyBorder="1" applyAlignment="1">
      <alignment horizontal="center" vertical="top"/>
    </xf>
    <xf numFmtId="0" fontId="3" fillId="0" borderId="83" xfId="0" applyFont="1" applyFill="1" applyBorder="1" applyAlignment="1">
      <alignment horizontal="center" vertical="top" wrapText="1"/>
    </xf>
    <xf numFmtId="0" fontId="3" fillId="0" borderId="84" xfId="0" applyFont="1" applyFill="1" applyBorder="1" applyAlignment="1">
      <alignment horizontal="left" vertical="top" wrapText="1"/>
    </xf>
    <xf numFmtId="3" fontId="3" fillId="0" borderId="85" xfId="0" applyNumberFormat="1" applyFont="1" applyFill="1" applyBorder="1" applyAlignment="1">
      <alignment horizontal="center" vertical="top" wrapText="1"/>
    </xf>
    <xf numFmtId="3" fontId="3" fillId="0" borderId="93" xfId="0" applyNumberFormat="1" applyFont="1" applyFill="1" applyBorder="1" applyAlignment="1">
      <alignment horizontal="center" vertical="top" wrapText="1"/>
    </xf>
    <xf numFmtId="0" fontId="3" fillId="2" borderId="99" xfId="0" applyFont="1" applyFill="1" applyBorder="1" applyAlignment="1">
      <alignment horizontal="center" vertical="top"/>
    </xf>
    <xf numFmtId="0" fontId="3" fillId="0" borderId="95" xfId="0" applyFont="1" applyFill="1" applyBorder="1" applyAlignment="1">
      <alignment horizontal="center" vertical="top" wrapText="1"/>
    </xf>
    <xf numFmtId="0" fontId="3" fillId="0" borderId="84" xfId="0" applyFont="1" applyFill="1" applyBorder="1" applyAlignment="1">
      <alignment vertical="top" wrapText="1"/>
    </xf>
    <xf numFmtId="0" fontId="3" fillId="0" borderId="16" xfId="0" applyFont="1" applyFill="1" applyBorder="1" applyAlignment="1">
      <alignment horizontal="center" vertical="center" textRotation="90" wrapText="1"/>
    </xf>
    <xf numFmtId="0" fontId="3" fillId="0" borderId="35" xfId="0" applyFont="1" applyBorder="1" applyAlignment="1">
      <alignment vertical="top"/>
    </xf>
    <xf numFmtId="0" fontId="3" fillId="0" borderId="27" xfId="0" applyFont="1" applyBorder="1" applyAlignment="1">
      <alignment vertical="top"/>
    </xf>
    <xf numFmtId="0" fontId="3" fillId="0" borderId="93" xfId="0" applyFont="1" applyBorder="1" applyAlignment="1">
      <alignment vertical="top" wrapText="1"/>
    </xf>
    <xf numFmtId="49" fontId="3" fillId="0" borderId="83" xfId="0" applyNumberFormat="1" applyFont="1" applyFill="1" applyBorder="1" applyAlignment="1">
      <alignment horizontal="center" vertical="top"/>
    </xf>
    <xf numFmtId="3" fontId="3" fillId="0" borderId="85" xfId="0" applyNumberFormat="1" applyFont="1" applyFill="1" applyBorder="1" applyAlignment="1">
      <alignment horizontal="center" vertical="top"/>
    </xf>
    <xf numFmtId="3" fontId="3" fillId="0" borderId="93" xfId="0" applyNumberFormat="1" applyFont="1" applyFill="1" applyBorder="1" applyAlignment="1">
      <alignment horizontal="center" vertical="top"/>
    </xf>
    <xf numFmtId="3" fontId="3" fillId="0" borderId="97"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0" fontId="3" fillId="0" borderId="91" xfId="0" applyFont="1" applyFill="1" applyBorder="1" applyAlignment="1">
      <alignment horizontal="left" vertical="top" wrapText="1"/>
    </xf>
    <xf numFmtId="3" fontId="3" fillId="0" borderId="89" xfId="0" applyNumberFormat="1" applyFont="1" applyFill="1" applyBorder="1" applyAlignment="1">
      <alignment horizontal="center" vertical="top"/>
    </xf>
    <xf numFmtId="3" fontId="3" fillId="0" borderId="81" xfId="0" applyNumberFormat="1" applyFont="1" applyFill="1" applyBorder="1" applyAlignment="1">
      <alignment horizontal="center" vertical="top"/>
    </xf>
    <xf numFmtId="0" fontId="7" fillId="12" borderId="35" xfId="0" applyFont="1" applyFill="1" applyBorder="1" applyAlignment="1">
      <alignment vertical="top" wrapText="1"/>
    </xf>
    <xf numFmtId="0" fontId="7" fillId="12" borderId="68" xfId="0" applyNumberFormat="1" applyFont="1" applyFill="1" applyBorder="1" applyAlignment="1">
      <alignment horizontal="center" vertical="top" wrapText="1"/>
    </xf>
    <xf numFmtId="0" fontId="17" fillId="12" borderId="68" xfId="0" applyNumberFormat="1" applyFont="1" applyFill="1" applyBorder="1" applyAlignment="1">
      <alignment horizontal="center" vertical="top"/>
    </xf>
    <xf numFmtId="0" fontId="17" fillId="12" borderId="69" xfId="0" applyNumberFormat="1" applyFont="1" applyFill="1" applyBorder="1" applyAlignment="1">
      <alignment horizontal="center" vertical="top"/>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84" xfId="0" applyFont="1" applyBorder="1" applyAlignment="1">
      <alignment horizontal="left" vertical="top" wrapText="1"/>
    </xf>
    <xf numFmtId="3" fontId="9" fillId="0" borderId="85" xfId="0" applyNumberFormat="1" applyFont="1" applyBorder="1" applyAlignment="1">
      <alignment horizontal="center" vertical="top"/>
    </xf>
    <xf numFmtId="0" fontId="3" fillId="8" borderId="84" xfId="0" applyFont="1" applyFill="1" applyBorder="1" applyAlignment="1">
      <alignment horizontal="left" vertical="top" wrapText="1"/>
    </xf>
    <xf numFmtId="3" fontId="9" fillId="8" borderId="85" xfId="0" applyNumberFormat="1" applyFont="1" applyFill="1" applyBorder="1" applyAlignment="1">
      <alignment horizontal="center" vertical="top"/>
    </xf>
    <xf numFmtId="0" fontId="3" fillId="0" borderId="16" xfId="1" applyFont="1" applyFill="1" applyBorder="1" applyAlignment="1">
      <alignment vertical="top" wrapText="1"/>
    </xf>
    <xf numFmtId="49" fontId="5" fillId="8" borderId="27" xfId="0" applyNumberFormat="1" applyFont="1" applyFill="1" applyBorder="1" applyAlignment="1">
      <alignment horizontal="center" vertical="top"/>
    </xf>
    <xf numFmtId="0" fontId="3" fillId="8" borderId="40" xfId="0" applyFont="1" applyFill="1" applyBorder="1" applyAlignment="1">
      <alignment horizontal="center" vertical="center" textRotation="90" wrapText="1"/>
    </xf>
    <xf numFmtId="49" fontId="3" fillId="8" borderId="17" xfId="0" applyNumberFormat="1" applyFont="1" applyFill="1" applyBorder="1" applyAlignment="1">
      <alignment horizontal="center" vertical="top" wrapText="1"/>
    </xf>
    <xf numFmtId="165" fontId="19" fillId="0" borderId="19"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165" fontId="19" fillId="0" borderId="50" xfId="0" applyNumberFormat="1" applyFont="1" applyFill="1" applyBorder="1" applyAlignment="1">
      <alignment horizontal="center" vertical="top" wrapText="1"/>
    </xf>
    <xf numFmtId="3" fontId="3" fillId="0" borderId="86" xfId="0" applyNumberFormat="1" applyFont="1" applyFill="1" applyBorder="1" applyAlignment="1">
      <alignment horizontal="center" vertical="top" wrapText="1"/>
    </xf>
    <xf numFmtId="165" fontId="3" fillId="0" borderId="85" xfId="0" applyNumberFormat="1" applyFont="1" applyFill="1" applyBorder="1" applyAlignment="1">
      <alignment horizontal="center" vertical="top" wrapText="1"/>
    </xf>
    <xf numFmtId="165" fontId="3" fillId="0" borderId="93" xfId="0" applyNumberFormat="1" applyFont="1" applyFill="1" applyBorder="1" applyAlignment="1">
      <alignment horizontal="center" vertical="top" wrapText="1"/>
    </xf>
    <xf numFmtId="0" fontId="3" fillId="0" borderId="109" xfId="0" applyFont="1" applyFill="1" applyBorder="1" applyAlignment="1">
      <alignment horizontal="center" vertical="top" wrapText="1"/>
    </xf>
    <xf numFmtId="0" fontId="3" fillId="0" borderId="50" xfId="0" applyFont="1" applyBorder="1" applyAlignment="1">
      <alignment horizontal="center" vertical="top"/>
    </xf>
    <xf numFmtId="164" fontId="2" fillId="0" borderId="89" xfId="0" applyNumberFormat="1" applyFont="1" applyFill="1" applyBorder="1" applyAlignment="1">
      <alignment horizontal="center" vertical="center" wrapText="1"/>
    </xf>
    <xf numFmtId="164" fontId="2" fillId="0" borderId="81"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top"/>
    </xf>
    <xf numFmtId="0" fontId="3" fillId="8" borderId="10" xfId="0" applyFont="1" applyFill="1" applyBorder="1" applyAlignment="1">
      <alignment vertical="top" wrapText="1"/>
    </xf>
    <xf numFmtId="0" fontId="3" fillId="0" borderId="3" xfId="0" applyFont="1" applyBorder="1" applyAlignment="1">
      <alignment horizontal="center" vertical="center" textRotation="90" shrinkToFit="1"/>
    </xf>
    <xf numFmtId="0" fontId="3" fillId="0" borderId="4" xfId="0" applyFont="1" applyBorder="1" applyAlignment="1">
      <alignment horizontal="center" vertical="center" textRotation="90" shrinkToFit="1"/>
    </xf>
    <xf numFmtId="3" fontId="3" fillId="0" borderId="2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06" xfId="0" applyNumberFormat="1" applyFont="1" applyFill="1" applyBorder="1" applyAlignment="1">
      <alignment horizontal="center" vertical="top" wrapText="1"/>
    </xf>
    <xf numFmtId="3" fontId="3" fillId="0" borderId="82" xfId="0" applyNumberFormat="1" applyFont="1" applyFill="1" applyBorder="1" applyAlignment="1">
      <alignment horizontal="center" vertical="top" wrapText="1"/>
    </xf>
    <xf numFmtId="49" fontId="5" fillId="0" borderId="47" xfId="0" applyNumberFormat="1" applyFont="1" applyFill="1" applyBorder="1" applyAlignment="1">
      <alignment horizontal="center" vertical="top"/>
    </xf>
    <xf numFmtId="3" fontId="3" fillId="8" borderId="85" xfId="0" applyNumberFormat="1" applyFont="1" applyFill="1" applyBorder="1" applyAlignment="1">
      <alignment horizontal="center" vertical="top" wrapText="1"/>
    </xf>
    <xf numFmtId="49" fontId="3" fillId="0" borderId="85" xfId="0" applyNumberFormat="1" applyFont="1" applyFill="1" applyBorder="1" applyAlignment="1">
      <alignment horizontal="center" vertical="top" wrapText="1"/>
    </xf>
    <xf numFmtId="49" fontId="3" fillId="0" borderId="93" xfId="0" applyNumberFormat="1" applyFont="1" applyFill="1" applyBorder="1" applyAlignment="1">
      <alignment horizontal="center" vertical="top" wrapText="1"/>
    </xf>
    <xf numFmtId="0" fontId="3" fillId="8" borderId="104" xfId="0" applyFont="1" applyFill="1" applyBorder="1" applyAlignment="1">
      <alignment horizontal="left" vertical="top" wrapText="1"/>
    </xf>
    <xf numFmtId="3" fontId="9" fillId="0" borderId="110" xfId="0" applyNumberFormat="1" applyFont="1" applyBorder="1" applyAlignment="1">
      <alignment horizontal="center" vertical="top" wrapText="1"/>
    </xf>
    <xf numFmtId="0" fontId="3" fillId="0" borderId="91" xfId="0" applyFont="1" applyBorder="1" applyAlignment="1">
      <alignment vertical="top"/>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0" fontId="3" fillId="0" borderId="8" xfId="0" applyFont="1" applyFill="1" applyBorder="1" applyAlignment="1">
      <alignment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0" fontId="3" fillId="2" borderId="48" xfId="0" applyFont="1" applyFill="1" applyBorder="1" applyAlignment="1">
      <alignment horizontal="left"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0" borderId="10" xfId="1" applyFont="1" applyFill="1" applyBorder="1" applyAlignment="1">
      <alignment vertical="top" wrapText="1"/>
    </xf>
    <xf numFmtId="49" fontId="5" fillId="0" borderId="33"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center" vertical="center" textRotation="90" wrapText="1"/>
    </xf>
    <xf numFmtId="0" fontId="3" fillId="0" borderId="45" xfId="0" applyFont="1" applyFill="1" applyBorder="1" applyAlignment="1">
      <alignment horizontal="left" vertical="top" wrapText="1"/>
    </xf>
    <xf numFmtId="0" fontId="3" fillId="0" borderId="31" xfId="0" applyFont="1" applyFill="1" applyBorder="1" applyAlignment="1">
      <alignment horizontal="center" vertical="center" textRotation="90" wrapText="1"/>
    </xf>
    <xf numFmtId="49" fontId="5" fillId="14" borderId="8"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14" borderId="10" xfId="0" applyNumberFormat="1" applyFont="1" applyFill="1" applyBorder="1" applyAlignment="1">
      <alignment horizontal="center" vertical="top" wrapText="1"/>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49" fontId="5" fillId="14" borderId="10" xfId="0" applyNumberFormat="1" applyFont="1" applyFill="1" applyBorder="1" applyAlignment="1">
      <alignment horizontal="center" vertical="top" wrapText="1"/>
    </xf>
    <xf numFmtId="49" fontId="5" fillId="8" borderId="62" xfId="0" applyNumberFormat="1" applyFont="1" applyFill="1" applyBorder="1" applyAlignment="1">
      <alignment horizontal="center" vertical="top"/>
    </xf>
    <xf numFmtId="0" fontId="5" fillId="10" borderId="4" xfId="0" applyFont="1" applyFill="1" applyBorder="1" applyAlignment="1">
      <alignment horizontal="center" vertical="top"/>
    </xf>
    <xf numFmtId="49" fontId="5" fillId="0" borderId="32" xfId="0" applyNumberFormat="1" applyFont="1" applyFill="1" applyBorder="1" applyAlignment="1">
      <alignment horizontal="center" vertical="top"/>
    </xf>
    <xf numFmtId="0" fontId="0" fillId="0" borderId="50" xfId="0" applyBorder="1" applyAlignment="1">
      <alignment horizontal="center" vertical="top"/>
    </xf>
    <xf numFmtId="49" fontId="5" fillId="0" borderId="49" xfId="0" applyNumberFormat="1" applyFont="1" applyBorder="1" applyAlignment="1">
      <alignment horizontal="center" vertical="top"/>
    </xf>
    <xf numFmtId="0" fontId="3" fillId="2" borderId="9" xfId="0" applyFont="1" applyFill="1" applyBorder="1" applyAlignment="1">
      <alignment horizontal="center" vertical="top"/>
    </xf>
    <xf numFmtId="0" fontId="3" fillId="2" borderId="24" xfId="0" applyFont="1" applyFill="1" applyBorder="1" applyAlignment="1">
      <alignment horizontal="center" vertical="top"/>
    </xf>
    <xf numFmtId="0" fontId="3" fillId="2" borderId="23" xfId="0" applyFont="1" applyFill="1" applyBorder="1" applyAlignment="1">
      <alignment horizontal="center" vertical="top"/>
    </xf>
    <xf numFmtId="0" fontId="3" fillId="2" borderId="6" xfId="0" applyFont="1" applyFill="1" applyBorder="1" applyAlignment="1">
      <alignment horizontal="center" vertical="top"/>
    </xf>
    <xf numFmtId="49" fontId="3" fillId="0" borderId="24" xfId="0" applyNumberFormat="1" applyFont="1" applyFill="1" applyBorder="1" applyAlignment="1">
      <alignment horizontal="center" vertical="top"/>
    </xf>
    <xf numFmtId="164" fontId="3" fillId="0" borderId="0" xfId="0" applyNumberFormat="1" applyFont="1" applyAlignment="1">
      <alignment horizontal="center" vertical="top"/>
    </xf>
    <xf numFmtId="0" fontId="8" fillId="0" borderId="41"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5" fillId="0" borderId="19" xfId="0" applyNumberFormat="1" applyFont="1" applyBorder="1" applyAlignment="1">
      <alignment horizontal="center" vertical="top"/>
    </xf>
    <xf numFmtId="0" fontId="3" fillId="0" borderId="40"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45" xfId="0" applyFont="1" applyFill="1" applyBorder="1" applyAlignment="1">
      <alignment horizontal="center" vertical="center" textRotation="90" wrapText="1"/>
    </xf>
    <xf numFmtId="49" fontId="5" fillId="0" borderId="1" xfId="0" applyNumberFormat="1" applyFont="1" applyBorder="1" applyAlignment="1">
      <alignment horizontal="center" vertical="top"/>
    </xf>
    <xf numFmtId="3" fontId="19" fillId="0" borderId="19" xfId="0" applyNumberFormat="1" applyFont="1" applyFill="1" applyBorder="1" applyAlignment="1">
      <alignment horizontal="center" vertical="top" wrapText="1"/>
    </xf>
    <xf numFmtId="165" fontId="19" fillId="0" borderId="86" xfId="0" applyNumberFormat="1" applyFont="1" applyFill="1" applyBorder="1" applyAlignment="1">
      <alignment horizontal="center" vertical="top" wrapText="1"/>
    </xf>
    <xf numFmtId="165" fontId="19" fillId="0" borderId="93" xfId="0" applyNumberFormat="1" applyFont="1" applyFill="1" applyBorder="1" applyAlignment="1">
      <alignment horizontal="center" vertical="top" wrapText="1"/>
    </xf>
    <xf numFmtId="0" fontId="3" fillId="0" borderId="1" xfId="0" applyFont="1" applyBorder="1" applyAlignment="1">
      <alignment horizontal="center" vertical="top"/>
    </xf>
    <xf numFmtId="3" fontId="3" fillId="8" borderId="21" xfId="0" applyNumberFormat="1" applyFont="1" applyFill="1" applyBorder="1" applyAlignment="1">
      <alignment horizontal="center" vertical="top" wrapText="1"/>
    </xf>
    <xf numFmtId="0" fontId="5" fillId="10" borderId="19" xfId="0" applyFont="1" applyFill="1" applyBorder="1" applyAlignment="1">
      <alignment horizontal="center" vertical="top"/>
    </xf>
    <xf numFmtId="3" fontId="3" fillId="8" borderId="17" xfId="0" applyNumberFormat="1" applyFont="1" applyFill="1" applyBorder="1" applyAlignment="1">
      <alignment horizontal="center" vertical="top" wrapText="1"/>
    </xf>
    <xf numFmtId="0" fontId="3" fillId="0" borderId="39" xfId="0" applyFont="1" applyFill="1" applyBorder="1" applyAlignment="1">
      <alignment horizontal="left" vertical="top" wrapText="1"/>
    </xf>
    <xf numFmtId="0" fontId="3" fillId="0" borderId="100" xfId="0" applyFont="1" applyFill="1" applyBorder="1" applyAlignment="1">
      <alignment horizontal="left" vertical="top" wrapText="1"/>
    </xf>
    <xf numFmtId="0" fontId="3" fillId="2" borderId="48" xfId="0" applyFont="1" applyFill="1" applyBorder="1" applyAlignment="1">
      <alignment vertical="top" wrapText="1"/>
    </xf>
    <xf numFmtId="0" fontId="3" fillId="0" borderId="37" xfId="0" applyFont="1" applyFill="1" applyBorder="1" applyAlignment="1">
      <alignment vertical="top" wrapText="1"/>
    </xf>
    <xf numFmtId="0" fontId="3" fillId="0" borderId="70" xfId="0" applyFont="1" applyFill="1" applyBorder="1" applyAlignment="1">
      <alignment horizontal="center" vertical="top"/>
    </xf>
    <xf numFmtId="0" fontId="3" fillId="0" borderId="51" xfId="0" applyFont="1" applyFill="1" applyBorder="1" applyAlignment="1">
      <alignment horizontal="left" vertical="top" wrapText="1"/>
    </xf>
    <xf numFmtId="0" fontId="3" fillId="0" borderId="101" xfId="0" applyFont="1" applyFill="1" applyBorder="1" applyAlignment="1">
      <alignment vertical="top" wrapText="1"/>
    </xf>
    <xf numFmtId="0" fontId="3" fillId="0" borderId="88"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0" xfId="0" applyFont="1" applyFill="1" applyBorder="1" applyAlignment="1">
      <alignment vertical="top" wrapText="1"/>
    </xf>
    <xf numFmtId="0" fontId="3" fillId="0" borderId="51" xfId="0" applyFont="1" applyFill="1" applyBorder="1" applyAlignment="1">
      <alignment vertical="top" wrapText="1"/>
    </xf>
    <xf numFmtId="0" fontId="3" fillId="0" borderId="77" xfId="0" applyFont="1" applyFill="1" applyBorder="1" applyAlignment="1">
      <alignment horizontal="center" vertical="top"/>
    </xf>
    <xf numFmtId="0" fontId="5" fillId="10" borderId="35" xfId="0" applyFont="1" applyFill="1" applyBorder="1" applyAlignment="1">
      <alignment horizontal="center" vertical="top"/>
    </xf>
    <xf numFmtId="0" fontId="3" fillId="0" borderId="72" xfId="0" applyFont="1" applyFill="1" applyBorder="1" applyAlignment="1">
      <alignment horizontal="left" vertical="top" wrapText="1"/>
    </xf>
    <xf numFmtId="0" fontId="19" fillId="0" borderId="84" xfId="0" applyFont="1" applyFill="1" applyBorder="1" applyAlignment="1">
      <alignment horizontal="left" vertical="top" wrapText="1"/>
    </xf>
    <xf numFmtId="3" fontId="19" fillId="0" borderId="86" xfId="0" applyNumberFormat="1" applyFont="1" applyFill="1" applyBorder="1" applyAlignment="1">
      <alignment horizontal="center" vertical="top" wrapText="1"/>
    </xf>
    <xf numFmtId="0" fontId="3" fillId="0" borderId="86" xfId="0" applyFont="1" applyBorder="1" applyAlignment="1">
      <alignment horizontal="center" vertical="top"/>
    </xf>
    <xf numFmtId="3" fontId="19" fillId="0" borderId="93" xfId="0" applyNumberFormat="1" applyFont="1" applyFill="1" applyBorder="1" applyAlignment="1">
      <alignment horizontal="center" vertical="top" wrapText="1"/>
    </xf>
    <xf numFmtId="49" fontId="5" fillId="0" borderId="19" xfId="0" applyNumberFormat="1" applyFont="1" applyBorder="1" applyAlignment="1">
      <alignment horizontal="center" vertical="top"/>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14" borderId="10" xfId="0" applyNumberFormat="1" applyFont="1" applyFill="1" applyBorder="1" applyAlignment="1">
      <alignment horizontal="center" vertical="top"/>
    </xf>
    <xf numFmtId="0" fontId="3" fillId="0" borderId="19" xfId="0" applyFont="1" applyFill="1" applyBorder="1" applyAlignment="1">
      <alignment horizontal="left" vertical="top" wrapText="1"/>
    </xf>
    <xf numFmtId="3" fontId="9" fillId="0" borderId="85" xfId="0" applyNumberFormat="1" applyFont="1" applyFill="1" applyBorder="1" applyAlignment="1">
      <alignment horizontal="center" vertical="top" wrapText="1"/>
    </xf>
    <xf numFmtId="3" fontId="9" fillId="8" borderId="37" xfId="0" applyNumberFormat="1" applyFont="1" applyFill="1" applyBorder="1" applyAlignment="1">
      <alignment horizontal="center" vertical="top" wrapText="1"/>
    </xf>
    <xf numFmtId="0" fontId="3" fillId="2" borderId="111" xfId="0" applyFont="1" applyFill="1" applyBorder="1" applyAlignment="1">
      <alignment horizontal="center" vertical="top"/>
    </xf>
    <xf numFmtId="0" fontId="2" fillId="0" borderId="103" xfId="0" applyFont="1" applyBorder="1" applyAlignment="1">
      <alignment vertical="center" textRotation="90" wrapText="1"/>
    </xf>
    <xf numFmtId="0" fontId="3" fillId="8" borderId="16" xfId="0" applyFont="1" applyFill="1" applyBorder="1" applyAlignment="1">
      <alignment vertical="top" wrapText="1"/>
    </xf>
    <xf numFmtId="0" fontId="3" fillId="0" borderId="18" xfId="0" applyFont="1" applyFill="1" applyBorder="1" applyAlignment="1">
      <alignment horizontal="left" vertical="top" wrapText="1"/>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0" fontId="3" fillId="0" borderId="31" xfId="0" applyFont="1" applyBorder="1" applyAlignment="1">
      <alignment vertical="top" wrapText="1"/>
    </xf>
    <xf numFmtId="49" fontId="5" fillId="14" borderId="10"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0" borderId="0" xfId="0" applyNumberFormat="1" applyFont="1" applyBorder="1" applyAlignment="1">
      <alignment horizontal="center" vertical="top"/>
    </xf>
    <xf numFmtId="49" fontId="5" fillId="8" borderId="50" xfId="0" applyNumberFormat="1" applyFont="1" applyFill="1" applyBorder="1" applyAlignment="1">
      <alignment horizontal="center" vertical="top"/>
    </xf>
    <xf numFmtId="0" fontId="3" fillId="8" borderId="43" xfId="0" applyFont="1" applyFill="1" applyBorder="1" applyAlignment="1">
      <alignment horizontal="left" vertical="top" wrapText="1"/>
    </xf>
    <xf numFmtId="0" fontId="3" fillId="0" borderId="9" xfId="0" applyFont="1" applyBorder="1" applyAlignment="1">
      <alignment horizontal="center" vertical="top"/>
    </xf>
    <xf numFmtId="3" fontId="3" fillId="8" borderId="2" xfId="0" applyNumberFormat="1" applyFont="1" applyFill="1" applyBorder="1" applyAlignment="1">
      <alignment horizontal="center" vertical="top" wrapText="1"/>
    </xf>
    <xf numFmtId="49" fontId="5" fillId="0" borderId="19" xfId="0" applyNumberFormat="1" applyFont="1" applyBorder="1" applyAlignment="1">
      <alignment horizontal="center" vertical="top"/>
    </xf>
    <xf numFmtId="0" fontId="3" fillId="8" borderId="27" xfId="0" applyFont="1" applyFill="1" applyBorder="1" applyAlignment="1">
      <alignment horizontal="left" vertical="top" wrapText="1"/>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77" xfId="0" applyFont="1" applyFill="1" applyBorder="1" applyAlignment="1">
      <alignment horizontal="center" vertical="top" textRotation="90" wrapText="1"/>
    </xf>
    <xf numFmtId="0" fontId="3" fillId="0" borderId="40" xfId="0" applyFont="1" applyFill="1" applyBorder="1" applyAlignment="1">
      <alignment horizontal="center" vertical="top" textRotation="90" wrapText="1"/>
    </xf>
    <xf numFmtId="0" fontId="3" fillId="0" borderId="35" xfId="0" applyFont="1" applyFill="1" applyBorder="1" applyAlignment="1">
      <alignment horizontal="center" vertical="top" textRotation="90" wrapText="1"/>
    </xf>
    <xf numFmtId="49" fontId="5" fillId="0" borderId="19" xfId="0" applyNumberFormat="1" applyFont="1" applyBorder="1" applyAlignment="1">
      <alignment horizontal="center" vertical="top" wrapText="1"/>
    </xf>
    <xf numFmtId="0" fontId="19" fillId="8" borderId="29" xfId="0" applyFont="1" applyFill="1" applyBorder="1" applyAlignment="1">
      <alignment horizontal="left" vertical="top" wrapText="1"/>
    </xf>
    <xf numFmtId="0" fontId="0" fillId="0" borderId="35" xfId="0" applyBorder="1" applyAlignment="1">
      <alignment horizontal="center"/>
    </xf>
    <xf numFmtId="0" fontId="3" fillId="0" borderId="24" xfId="0" applyFont="1" applyBorder="1" applyAlignment="1">
      <alignment horizontal="center" vertical="top"/>
    </xf>
    <xf numFmtId="0" fontId="3" fillId="8" borderId="37" xfId="0" applyFont="1" applyFill="1" applyBorder="1" applyAlignment="1">
      <alignment horizontal="left" vertical="top" wrapText="1"/>
    </xf>
    <xf numFmtId="3" fontId="3" fillId="0" borderId="2" xfId="1" applyNumberFormat="1" applyFont="1" applyFill="1" applyBorder="1" applyAlignment="1">
      <alignment horizontal="center" vertical="center"/>
    </xf>
    <xf numFmtId="0" fontId="0" fillId="0" borderId="27" xfId="0" applyBorder="1" applyAlignment="1">
      <alignment horizontal="center"/>
    </xf>
    <xf numFmtId="0" fontId="0" fillId="8" borderId="11" xfId="0" applyFill="1" applyBorder="1" applyAlignment="1">
      <alignment vertical="top" wrapText="1"/>
    </xf>
    <xf numFmtId="0" fontId="3" fillId="8" borderId="103" xfId="0" applyFont="1" applyFill="1" applyBorder="1" applyAlignment="1">
      <alignment horizontal="left" vertical="top" wrapText="1"/>
    </xf>
    <xf numFmtId="3" fontId="3" fillId="0" borderId="107" xfId="0" applyNumberFormat="1" applyFont="1" applyFill="1" applyBorder="1" applyAlignment="1">
      <alignment horizontal="center" vertical="top" wrapText="1"/>
    </xf>
    <xf numFmtId="3" fontId="3" fillId="8" borderId="108" xfId="0" applyNumberFormat="1" applyFont="1" applyFill="1" applyBorder="1" applyAlignment="1">
      <alignment horizontal="center" vertical="top" wrapText="1"/>
    </xf>
    <xf numFmtId="0" fontId="3" fillId="8" borderId="39" xfId="1" applyFont="1" applyFill="1" applyBorder="1" applyAlignment="1">
      <alignment vertical="top" wrapText="1"/>
    </xf>
    <xf numFmtId="3" fontId="3" fillId="8" borderId="50" xfId="1" applyNumberFormat="1" applyFont="1" applyFill="1" applyBorder="1" applyAlignment="1">
      <alignment horizontal="center" vertical="top"/>
    </xf>
    <xf numFmtId="0" fontId="3" fillId="8" borderId="16" xfId="1" applyFont="1" applyFill="1" applyBorder="1" applyAlignment="1">
      <alignment vertical="top" wrapText="1"/>
    </xf>
    <xf numFmtId="0" fontId="3" fillId="8" borderId="24" xfId="0" applyFont="1" applyFill="1" applyBorder="1" applyAlignment="1">
      <alignment horizontal="center" vertical="top"/>
    </xf>
    <xf numFmtId="0" fontId="19" fillId="0" borderId="103" xfId="0" applyFont="1" applyFill="1" applyBorder="1" applyAlignment="1">
      <alignment horizontal="left" vertical="top" wrapText="1"/>
    </xf>
    <xf numFmtId="0" fontId="3" fillId="0" borderId="111" xfId="0" applyFont="1" applyFill="1" applyBorder="1" applyAlignment="1">
      <alignment horizontal="center" vertical="top" wrapText="1"/>
    </xf>
    <xf numFmtId="3" fontId="19" fillId="8" borderId="86" xfId="0" applyNumberFormat="1" applyFont="1" applyFill="1" applyBorder="1" applyAlignment="1">
      <alignment horizontal="center" vertical="top" wrapText="1"/>
    </xf>
    <xf numFmtId="0" fontId="3" fillId="8" borderId="86" xfId="0" applyFont="1" applyFill="1" applyBorder="1" applyAlignment="1">
      <alignment horizontal="center" vertical="top"/>
    </xf>
    <xf numFmtId="3" fontId="19" fillId="8" borderId="93" xfId="0" applyNumberFormat="1" applyFont="1" applyFill="1" applyBorder="1" applyAlignment="1">
      <alignment horizontal="center" vertical="top" wrapText="1"/>
    </xf>
    <xf numFmtId="3" fontId="19" fillId="8" borderId="50" xfId="0" applyNumberFormat="1" applyFont="1" applyFill="1" applyBorder="1" applyAlignment="1">
      <alignment horizontal="center" vertical="top" wrapText="1"/>
    </xf>
    <xf numFmtId="0" fontId="3" fillId="8" borderId="50" xfId="0" applyFont="1" applyFill="1" applyBorder="1" applyAlignment="1">
      <alignment horizontal="center" vertical="top"/>
    </xf>
    <xf numFmtId="3" fontId="19" fillId="8" borderId="19" xfId="0" applyNumberFormat="1" applyFont="1" applyFill="1" applyBorder="1" applyAlignment="1">
      <alignment horizontal="center" vertical="top" wrapText="1"/>
    </xf>
    <xf numFmtId="0" fontId="3" fillId="0" borderId="103" xfId="0" applyFont="1" applyFill="1" applyBorder="1" applyAlignment="1">
      <alignment vertical="top" wrapText="1"/>
    </xf>
    <xf numFmtId="3" fontId="3" fillId="0" borderId="108" xfId="0" applyNumberFormat="1" applyFont="1" applyFill="1" applyBorder="1" applyAlignment="1">
      <alignment horizontal="center" vertical="top" wrapText="1"/>
    </xf>
    <xf numFmtId="49" fontId="5" fillId="0" borderId="108" xfId="0" applyNumberFormat="1" applyFont="1" applyBorder="1" applyAlignment="1">
      <alignment horizontal="center" vertical="top"/>
    </xf>
    <xf numFmtId="0" fontId="3" fillId="0" borderId="81" xfId="0" applyNumberFormat="1" applyFont="1" applyBorder="1" applyAlignment="1">
      <alignment horizontal="center" vertical="top"/>
    </xf>
    <xf numFmtId="3" fontId="3" fillId="0" borderId="97" xfId="0" applyNumberFormat="1" applyFont="1" applyFill="1" applyBorder="1" applyAlignment="1">
      <alignment horizontal="center" vertical="top" wrapText="1"/>
    </xf>
    <xf numFmtId="3" fontId="3" fillId="0" borderId="98" xfId="0" applyNumberFormat="1" applyFont="1" applyFill="1" applyBorder="1" applyAlignment="1">
      <alignment horizontal="center" vertical="top" wrapText="1"/>
    </xf>
    <xf numFmtId="0" fontId="3" fillId="0" borderId="99" xfId="0" applyFont="1" applyBorder="1" applyAlignment="1">
      <alignment vertical="top" wrapText="1"/>
    </xf>
    <xf numFmtId="3" fontId="3" fillId="0" borderId="89" xfId="0" applyNumberFormat="1" applyFont="1" applyFill="1" applyBorder="1" applyAlignment="1">
      <alignment horizontal="center" vertical="top" wrapText="1"/>
    </xf>
    <xf numFmtId="0" fontId="3" fillId="0" borderId="89" xfId="0" applyNumberFormat="1" applyFont="1" applyBorder="1" applyAlignment="1">
      <alignment horizontal="center" vertical="top"/>
    </xf>
    <xf numFmtId="0" fontId="5" fillId="0" borderId="16" xfId="0" applyFont="1" applyFill="1" applyBorder="1" applyAlignment="1">
      <alignment horizontal="center" vertical="top" wrapText="1"/>
    </xf>
    <xf numFmtId="3" fontId="5" fillId="0" borderId="29" xfId="0" applyNumberFormat="1" applyFont="1" applyFill="1" applyBorder="1" applyAlignment="1">
      <alignment horizontal="center" vertical="top" wrapText="1"/>
    </xf>
    <xf numFmtId="0" fontId="3" fillId="0" borderId="10" xfId="0" applyFont="1" applyFill="1" applyBorder="1" applyAlignment="1">
      <alignment horizontal="center" vertical="center" textRotation="90" wrapText="1"/>
    </xf>
    <xf numFmtId="49" fontId="5" fillId="0" borderId="19"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9" fillId="8" borderId="85" xfId="0" applyNumberFormat="1" applyFont="1" applyFill="1" applyBorder="1" applyAlignment="1">
      <alignment horizontal="center" vertical="top" wrapText="1"/>
    </xf>
    <xf numFmtId="49" fontId="3" fillId="8" borderId="85" xfId="0" applyNumberFormat="1" applyFont="1" applyFill="1" applyBorder="1" applyAlignment="1">
      <alignment horizontal="center" vertical="top" wrapText="1"/>
    </xf>
    <xf numFmtId="49" fontId="3" fillId="8" borderId="93" xfId="0" applyNumberFormat="1" applyFont="1" applyFill="1" applyBorder="1" applyAlignment="1">
      <alignment horizontal="center" vertical="top" wrapText="1"/>
    </xf>
    <xf numFmtId="49" fontId="3" fillId="8" borderId="37" xfId="1" applyNumberFormat="1" applyFont="1" applyFill="1" applyBorder="1" applyAlignment="1">
      <alignment horizontal="center" vertical="center"/>
    </xf>
    <xf numFmtId="49" fontId="3" fillId="8" borderId="2"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49" fontId="9" fillId="8" borderId="93" xfId="0" applyNumberFormat="1" applyFont="1" applyFill="1" applyBorder="1" applyAlignment="1">
      <alignment horizontal="center" vertical="top" wrapText="1"/>
    </xf>
    <xf numFmtId="3" fontId="3" fillId="2" borderId="26" xfId="0" applyNumberFormat="1" applyFont="1" applyFill="1" applyBorder="1" applyAlignment="1">
      <alignment horizontal="center" vertical="top" wrapText="1"/>
    </xf>
    <xf numFmtId="3" fontId="3" fillId="0" borderId="17" xfId="1"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4" fontId="3" fillId="2" borderId="19" xfId="0" applyNumberFormat="1" applyFont="1" applyFill="1" applyBorder="1" applyAlignment="1">
      <alignment horizontal="center" vertical="top"/>
    </xf>
    <xf numFmtId="0" fontId="3" fillId="0" borderId="70" xfId="0" applyFont="1" applyFill="1" applyBorder="1" applyAlignment="1">
      <alignment horizontal="center" vertical="center" textRotation="90" wrapText="1"/>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5" fillId="0" borderId="50" xfId="0" applyFont="1" applyFill="1" applyBorder="1" applyAlignment="1">
      <alignment horizontal="left" vertical="top" wrapText="1"/>
    </xf>
    <xf numFmtId="0" fontId="3" fillId="2" borderId="31" xfId="0" applyFont="1" applyFill="1" applyBorder="1" applyAlignment="1">
      <alignment horizontal="left" vertical="top" wrapText="1"/>
    </xf>
    <xf numFmtId="49" fontId="5" fillId="0" borderId="33" xfId="0" applyNumberFormat="1" applyFont="1" applyBorder="1" applyAlignment="1">
      <alignment horizontal="center" vertical="top"/>
    </xf>
    <xf numFmtId="49" fontId="5" fillId="14" borderId="10" xfId="0" applyNumberFormat="1" applyFont="1" applyFill="1" applyBorder="1" applyAlignment="1">
      <alignment horizontal="center" vertical="top"/>
    </xf>
    <xf numFmtId="0" fontId="3" fillId="0" borderId="70" xfId="0" applyFont="1" applyBorder="1" applyAlignment="1">
      <alignment horizontal="center" vertical="top"/>
    </xf>
    <xf numFmtId="49" fontId="5" fillId="14" borderId="16"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3" fontId="3" fillId="0" borderId="24" xfId="0" applyNumberFormat="1" applyFont="1" applyFill="1" applyBorder="1" applyAlignment="1">
      <alignment horizontal="right" vertical="top" wrapText="1"/>
    </xf>
    <xf numFmtId="3" fontId="3" fillId="0" borderId="9" xfId="0" applyNumberFormat="1" applyFont="1" applyFill="1" applyBorder="1" applyAlignment="1">
      <alignment horizontal="right" vertical="top" wrapText="1"/>
    </xf>
    <xf numFmtId="3" fontId="3" fillId="8" borderId="9" xfId="0" applyNumberFormat="1" applyFont="1" applyFill="1" applyBorder="1" applyAlignment="1">
      <alignment horizontal="right" vertical="top" wrapText="1"/>
    </xf>
    <xf numFmtId="3" fontId="3" fillId="0" borderId="9" xfId="0" applyNumberFormat="1" applyFont="1" applyFill="1" applyBorder="1" applyAlignment="1">
      <alignment horizontal="right" vertical="top"/>
    </xf>
    <xf numFmtId="3" fontId="3" fillId="2" borderId="9" xfId="0" applyNumberFormat="1" applyFont="1" applyFill="1" applyBorder="1" applyAlignment="1">
      <alignment horizontal="right" vertical="top" wrapText="1"/>
    </xf>
    <xf numFmtId="3" fontId="3" fillId="2" borderId="87" xfId="0" applyNumberFormat="1" applyFont="1" applyFill="1" applyBorder="1" applyAlignment="1">
      <alignment horizontal="right" vertical="top"/>
    </xf>
    <xf numFmtId="3" fontId="5" fillId="2" borderId="87" xfId="0" applyNumberFormat="1" applyFont="1" applyFill="1" applyBorder="1" applyAlignment="1">
      <alignment horizontal="right" vertical="top"/>
    </xf>
    <xf numFmtId="3" fontId="3" fillId="2" borderId="9" xfId="0" applyNumberFormat="1" applyFont="1" applyFill="1" applyBorder="1" applyAlignment="1">
      <alignment horizontal="right" vertical="top"/>
    </xf>
    <xf numFmtId="3" fontId="5" fillId="2" borderId="9" xfId="0" applyNumberFormat="1" applyFont="1" applyFill="1" applyBorder="1" applyAlignment="1">
      <alignment horizontal="right" vertical="top"/>
    </xf>
    <xf numFmtId="3" fontId="3" fillId="2" borderId="111" xfId="0" applyNumberFormat="1" applyFont="1" applyFill="1" applyBorder="1" applyAlignment="1">
      <alignment horizontal="right" vertical="top"/>
    </xf>
    <xf numFmtId="3" fontId="5" fillId="2" borderId="111" xfId="0" applyNumberFormat="1" applyFont="1" applyFill="1" applyBorder="1" applyAlignment="1">
      <alignment horizontal="right" vertical="top"/>
    </xf>
    <xf numFmtId="3" fontId="3" fillId="2" borderId="24" xfId="0" applyNumberFormat="1" applyFont="1" applyFill="1" applyBorder="1" applyAlignment="1">
      <alignment horizontal="right" vertical="top"/>
    </xf>
    <xf numFmtId="3" fontId="5" fillId="2" borderId="24" xfId="0" applyNumberFormat="1" applyFont="1" applyFill="1" applyBorder="1" applyAlignment="1">
      <alignment horizontal="right" vertical="top"/>
    </xf>
    <xf numFmtId="3" fontId="3" fillId="2" borderId="23" xfId="0" applyNumberFormat="1" applyFont="1" applyFill="1" applyBorder="1" applyAlignment="1">
      <alignment horizontal="right" vertical="top"/>
    </xf>
    <xf numFmtId="3" fontId="3" fillId="8" borderId="23" xfId="0" applyNumberFormat="1" applyFont="1" applyFill="1" applyBorder="1" applyAlignment="1">
      <alignment horizontal="right" vertical="top"/>
    </xf>
    <xf numFmtId="3" fontId="3" fillId="0" borderId="6" xfId="0" applyNumberFormat="1" applyFont="1" applyFill="1" applyBorder="1" applyAlignment="1">
      <alignment horizontal="right" vertical="top" wrapText="1"/>
    </xf>
    <xf numFmtId="3" fontId="3" fillId="0" borderId="95" xfId="0" applyNumberFormat="1" applyFont="1" applyFill="1" applyBorder="1" applyAlignment="1">
      <alignment horizontal="right" vertical="top" wrapText="1"/>
    </xf>
    <xf numFmtId="3" fontId="3" fillId="0" borderId="95" xfId="0" applyNumberFormat="1" applyFont="1" applyFill="1" applyBorder="1" applyAlignment="1">
      <alignment horizontal="right" vertical="top"/>
    </xf>
    <xf numFmtId="3" fontId="3" fillId="2" borderId="92" xfId="0" applyNumberFormat="1" applyFont="1" applyFill="1" applyBorder="1" applyAlignment="1">
      <alignment horizontal="right" vertical="top" wrapText="1"/>
    </xf>
    <xf numFmtId="3" fontId="3" fillId="0" borderId="24" xfId="0" applyNumberFormat="1" applyFont="1" applyFill="1" applyBorder="1" applyAlignment="1">
      <alignment horizontal="right" vertical="top"/>
    </xf>
    <xf numFmtId="3" fontId="3" fillId="2" borderId="24" xfId="0" applyNumberFormat="1" applyFont="1" applyFill="1" applyBorder="1" applyAlignment="1">
      <alignment horizontal="right" vertical="top" wrapText="1"/>
    </xf>
    <xf numFmtId="3" fontId="3" fillId="2" borderId="55" xfId="0" applyNumberFormat="1" applyFont="1" applyFill="1" applyBorder="1" applyAlignment="1">
      <alignment horizontal="right" vertical="top" wrapText="1"/>
    </xf>
    <xf numFmtId="3" fontId="3" fillId="0" borderId="53" xfId="0" applyNumberFormat="1" applyFont="1" applyFill="1" applyBorder="1" applyAlignment="1">
      <alignment horizontal="right" vertical="top" wrapText="1"/>
    </xf>
    <xf numFmtId="3" fontId="3" fillId="0" borderId="40" xfId="0" applyNumberFormat="1" applyFont="1" applyFill="1" applyBorder="1" applyAlignment="1">
      <alignment horizontal="right" vertical="top" wrapText="1"/>
    </xf>
    <xf numFmtId="3" fontId="3" fillId="0" borderId="40" xfId="0" applyNumberFormat="1" applyFont="1" applyFill="1" applyBorder="1" applyAlignment="1">
      <alignment horizontal="right" vertical="top"/>
    </xf>
    <xf numFmtId="3" fontId="3" fillId="0" borderId="83" xfId="0" applyNumberFormat="1" applyFont="1" applyFill="1" applyBorder="1" applyAlignment="1">
      <alignment horizontal="right" vertical="top"/>
    </xf>
    <xf numFmtId="3" fontId="3" fillId="0" borderId="94" xfId="0" applyNumberFormat="1" applyFont="1" applyFill="1" applyBorder="1" applyAlignment="1">
      <alignment horizontal="right" vertical="top"/>
    </xf>
    <xf numFmtId="3" fontId="3" fillId="0" borderId="109" xfId="0" applyNumberFormat="1" applyFont="1" applyFill="1" applyBorder="1" applyAlignment="1">
      <alignment horizontal="right" vertical="top"/>
    </xf>
    <xf numFmtId="3" fontId="3" fillId="0" borderId="115" xfId="0" applyNumberFormat="1" applyFont="1" applyFill="1" applyBorder="1" applyAlignment="1">
      <alignment horizontal="right" vertical="top"/>
    </xf>
    <xf numFmtId="3" fontId="3" fillId="0" borderId="111" xfId="0" applyNumberFormat="1" applyFont="1" applyFill="1" applyBorder="1" applyAlignment="1">
      <alignment horizontal="right" vertical="top"/>
    </xf>
    <xf numFmtId="3" fontId="3" fillId="0" borderId="105" xfId="0" applyNumberFormat="1" applyFont="1" applyFill="1" applyBorder="1" applyAlignment="1">
      <alignment horizontal="right" vertical="top"/>
    </xf>
    <xf numFmtId="3" fontId="5" fillId="0" borderId="94" xfId="0" applyNumberFormat="1" applyFont="1" applyFill="1" applyBorder="1" applyAlignment="1">
      <alignment horizontal="right" vertical="top"/>
    </xf>
    <xf numFmtId="3" fontId="5" fillId="0" borderId="95" xfId="0" applyNumberFormat="1" applyFont="1" applyFill="1" applyBorder="1" applyAlignment="1">
      <alignment horizontal="right" vertical="top"/>
    </xf>
    <xf numFmtId="3" fontId="3" fillId="2" borderId="0" xfId="0" applyNumberFormat="1" applyFont="1" applyFill="1" applyBorder="1" applyAlignment="1">
      <alignment horizontal="right" vertical="top" wrapText="1"/>
    </xf>
    <xf numFmtId="3" fontId="3" fillId="8" borderId="49"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wrapText="1"/>
    </xf>
    <xf numFmtId="3" fontId="3" fillId="0" borderId="43" xfId="0" applyNumberFormat="1" applyFont="1" applyFill="1" applyBorder="1" applyAlignment="1">
      <alignment horizontal="right" vertical="top" wrapText="1"/>
    </xf>
    <xf numFmtId="3" fontId="3" fillId="0" borderId="23" xfId="0" applyNumberFormat="1" applyFont="1" applyFill="1" applyBorder="1" applyAlignment="1">
      <alignment horizontal="right" vertical="top" wrapText="1"/>
    </xf>
    <xf numFmtId="3" fontId="3" fillId="2" borderId="46" xfId="0" applyNumberFormat="1" applyFont="1" applyFill="1" applyBorder="1" applyAlignment="1">
      <alignment horizontal="right" vertical="top" wrapText="1"/>
    </xf>
    <xf numFmtId="3" fontId="3" fillId="2" borderId="54" xfId="0" applyNumberFormat="1" applyFont="1" applyFill="1" applyBorder="1" applyAlignment="1">
      <alignment horizontal="right" vertical="top" wrapText="1"/>
    </xf>
    <xf numFmtId="3" fontId="3" fillId="2" borderId="53" xfId="0" applyNumberFormat="1" applyFont="1" applyFill="1" applyBorder="1" applyAlignment="1">
      <alignment horizontal="right" vertical="top" wrapText="1"/>
    </xf>
    <xf numFmtId="3" fontId="5" fillId="10" borderId="61" xfId="0" applyNumberFormat="1" applyFont="1" applyFill="1" applyBorder="1" applyAlignment="1">
      <alignment horizontal="right" vertical="top"/>
    </xf>
    <xf numFmtId="3" fontId="5" fillId="10" borderId="59" xfId="0" applyNumberFormat="1" applyFont="1" applyFill="1" applyBorder="1" applyAlignment="1">
      <alignment horizontal="right" vertical="top"/>
    </xf>
    <xf numFmtId="3" fontId="3" fillId="2" borderId="41" xfId="0" applyNumberFormat="1" applyFont="1" applyFill="1" applyBorder="1" applyAlignment="1">
      <alignment horizontal="right" vertical="top" wrapText="1"/>
    </xf>
    <xf numFmtId="3" fontId="3" fillId="2" borderId="44" xfId="0" applyNumberFormat="1" applyFont="1" applyFill="1" applyBorder="1" applyAlignment="1">
      <alignment horizontal="right" vertical="top" wrapText="1"/>
    </xf>
    <xf numFmtId="3" fontId="5" fillId="10" borderId="67" xfId="0" applyNumberFormat="1" applyFont="1" applyFill="1" applyBorder="1" applyAlignment="1">
      <alignment horizontal="right" vertical="top"/>
    </xf>
    <xf numFmtId="3" fontId="3" fillId="2" borderId="23" xfId="0" applyNumberFormat="1" applyFont="1" applyFill="1" applyBorder="1" applyAlignment="1">
      <alignment horizontal="right" vertical="top" wrapText="1"/>
    </xf>
    <xf numFmtId="3" fontId="3" fillId="0" borderId="44" xfId="0" applyNumberFormat="1" applyFont="1" applyFill="1" applyBorder="1" applyAlignment="1">
      <alignment horizontal="right" vertical="top" wrapText="1"/>
    </xf>
    <xf numFmtId="3" fontId="5" fillId="8" borderId="9" xfId="0" applyNumberFormat="1" applyFont="1" applyFill="1" applyBorder="1" applyAlignment="1">
      <alignment horizontal="right" vertical="top"/>
    </xf>
    <xf numFmtId="3" fontId="5" fillId="8" borderId="0" xfId="0" applyNumberFormat="1" applyFont="1" applyFill="1" applyBorder="1" applyAlignment="1">
      <alignment horizontal="right" vertical="top"/>
    </xf>
    <xf numFmtId="3" fontId="5" fillId="3" borderId="25" xfId="0" applyNumberFormat="1" applyFont="1" applyFill="1" applyBorder="1" applyAlignment="1">
      <alignment horizontal="right" vertical="top"/>
    </xf>
    <xf numFmtId="0" fontId="5" fillId="10" borderId="61" xfId="0" applyFont="1" applyFill="1" applyBorder="1" applyAlignment="1">
      <alignment vertical="center"/>
    </xf>
    <xf numFmtId="3" fontId="3" fillId="0" borderId="46" xfId="0" applyNumberFormat="1" applyFont="1" applyFill="1" applyBorder="1" applyAlignment="1">
      <alignment horizontal="right" wrapText="1"/>
    </xf>
    <xf numFmtId="3" fontId="3" fillId="0" borderId="6" xfId="0" applyNumberFormat="1" applyFont="1" applyFill="1" applyBorder="1" applyAlignment="1">
      <alignment horizontal="right" wrapText="1"/>
    </xf>
    <xf numFmtId="3" fontId="3" fillId="0" borderId="9" xfId="0" applyNumberFormat="1" applyFont="1" applyFill="1" applyBorder="1" applyAlignment="1">
      <alignment horizontal="right" wrapText="1"/>
    </xf>
    <xf numFmtId="3" fontId="3" fillId="2" borderId="9" xfId="0" applyNumberFormat="1" applyFont="1" applyFill="1" applyBorder="1" applyAlignment="1">
      <alignment horizontal="right" wrapText="1"/>
    </xf>
    <xf numFmtId="3" fontId="5" fillId="10" borderId="64" xfId="0" applyNumberFormat="1" applyFont="1" applyFill="1" applyBorder="1" applyAlignment="1">
      <alignment horizontal="right" vertical="top"/>
    </xf>
    <xf numFmtId="3" fontId="5" fillId="3" borderId="22" xfId="0" applyNumberFormat="1" applyFont="1" applyFill="1" applyBorder="1" applyAlignment="1">
      <alignment horizontal="right" vertical="top"/>
    </xf>
    <xf numFmtId="3" fontId="5" fillId="10" borderId="66" xfId="0" applyNumberFormat="1" applyFont="1" applyFill="1" applyBorder="1" applyAlignment="1">
      <alignment horizontal="right" vertical="top"/>
    </xf>
    <xf numFmtId="3" fontId="5" fillId="10" borderId="36" xfId="0" applyNumberFormat="1" applyFont="1" applyFill="1" applyBorder="1" applyAlignment="1">
      <alignment horizontal="right" vertical="top"/>
    </xf>
    <xf numFmtId="3" fontId="5" fillId="5" borderId="7"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5" borderId="24" xfId="0" applyNumberFormat="1" applyFont="1" applyFill="1" applyBorder="1" applyAlignment="1">
      <alignment horizontal="right" vertical="top"/>
    </xf>
    <xf numFmtId="3" fontId="5" fillId="6" borderId="66" xfId="0" applyNumberFormat="1" applyFont="1" applyFill="1" applyBorder="1" applyAlignment="1">
      <alignment horizontal="right"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2" borderId="62" xfId="0" applyFont="1" applyFill="1" applyBorder="1" applyAlignment="1">
      <alignment horizontal="left" vertical="top"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8" borderId="86" xfId="0" applyFont="1" applyFill="1" applyBorder="1" applyAlignment="1">
      <alignment horizontal="left" vertical="top" wrapText="1"/>
    </xf>
    <xf numFmtId="0" fontId="3" fillId="8" borderId="110" xfId="0" applyFont="1" applyFill="1" applyBorder="1" applyAlignment="1">
      <alignment vertical="top" wrapText="1"/>
    </xf>
    <xf numFmtId="0" fontId="3" fillId="8" borderId="86" xfId="0" applyFont="1" applyFill="1" applyBorder="1" applyAlignment="1">
      <alignment vertical="top" wrapText="1"/>
    </xf>
    <xf numFmtId="0" fontId="3" fillId="8" borderId="114" xfId="0" applyFont="1" applyFill="1" applyBorder="1" applyAlignment="1">
      <alignment vertical="top" wrapText="1"/>
    </xf>
    <xf numFmtId="0" fontId="3" fillId="0" borderId="84" xfId="0" applyFont="1" applyFill="1" applyBorder="1" applyAlignment="1">
      <alignment horizontal="center" vertical="center" textRotation="90" wrapText="1"/>
    </xf>
    <xf numFmtId="49" fontId="5" fillId="0" borderId="93" xfId="0" applyNumberFormat="1" applyFont="1" applyBorder="1" applyAlignment="1">
      <alignment horizontal="center" vertical="top"/>
    </xf>
    <xf numFmtId="0" fontId="3" fillId="0" borderId="103" xfId="0" applyFont="1" applyFill="1" applyBorder="1" applyAlignment="1">
      <alignment horizontal="center" vertical="center" textRotation="90" wrapText="1"/>
    </xf>
    <xf numFmtId="0" fontId="3" fillId="0" borderId="104" xfId="0" applyFont="1" applyFill="1" applyBorder="1" applyAlignment="1">
      <alignment horizontal="center" vertical="center" textRotation="90" wrapText="1"/>
    </xf>
    <xf numFmtId="49" fontId="5" fillId="0" borderId="82" xfId="0" applyNumberFormat="1" applyFont="1" applyBorder="1" applyAlignment="1">
      <alignment horizontal="center" vertical="top"/>
    </xf>
    <xf numFmtId="0" fontId="24" fillId="0" borderId="10" xfId="0" applyFont="1" applyFill="1" applyBorder="1" applyAlignment="1">
      <alignment horizontal="center" vertical="center" textRotation="90" wrapText="1"/>
    </xf>
    <xf numFmtId="0" fontId="2" fillId="0" borderId="10" xfId="0" applyFont="1" applyBorder="1" applyAlignment="1">
      <alignment textRotation="90"/>
    </xf>
    <xf numFmtId="49" fontId="3" fillId="0" borderId="9" xfId="0" applyNumberFormat="1" applyFont="1" applyFill="1" applyBorder="1" applyAlignment="1">
      <alignment horizontal="center" vertical="top"/>
    </xf>
    <xf numFmtId="0" fontId="3" fillId="8" borderId="18" xfId="0" applyFont="1" applyFill="1" applyBorder="1" applyAlignment="1">
      <alignment horizontal="left" vertical="top" wrapText="1"/>
    </xf>
    <xf numFmtId="164" fontId="3" fillId="2" borderId="31" xfId="0" applyNumberFormat="1" applyFont="1" applyFill="1" applyBorder="1" applyAlignment="1">
      <alignment horizontal="left" vertical="top" wrapText="1"/>
    </xf>
    <xf numFmtId="0" fontId="3" fillId="0" borderId="34" xfId="0" applyNumberFormat="1" applyFont="1" applyFill="1" applyBorder="1" applyAlignment="1">
      <alignment horizontal="center" vertical="top"/>
    </xf>
    <xf numFmtId="0" fontId="3" fillId="0" borderId="49" xfId="0" applyNumberFormat="1" applyFont="1" applyFill="1" applyBorder="1" applyAlignment="1">
      <alignment horizontal="center" vertical="top"/>
    </xf>
    <xf numFmtId="0" fontId="3" fillId="0" borderId="98" xfId="0" applyFont="1" applyBorder="1" applyAlignment="1">
      <alignment vertical="top" wrapText="1"/>
    </xf>
    <xf numFmtId="0" fontId="2" fillId="0" borderId="96" xfId="0" applyFont="1" applyBorder="1" applyAlignment="1">
      <alignment textRotation="90"/>
    </xf>
    <xf numFmtId="0" fontId="0" fillId="0" borderId="32" xfId="0" applyBorder="1" applyAlignment="1">
      <alignment horizontal="center" vertical="top"/>
    </xf>
    <xf numFmtId="49" fontId="3" fillId="0" borderId="95"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10" borderId="70" xfId="0" applyNumberFormat="1" applyFont="1" applyFill="1" applyBorder="1" applyAlignment="1">
      <alignment horizontal="right" vertical="top"/>
    </xf>
    <xf numFmtId="3" fontId="3" fillId="10" borderId="40" xfId="0" applyNumberFormat="1" applyFont="1" applyFill="1" applyBorder="1" applyAlignment="1">
      <alignment horizontal="right" vertical="top"/>
    </xf>
    <xf numFmtId="3" fontId="3" fillId="10" borderId="40" xfId="0" applyNumberFormat="1" applyFont="1" applyFill="1" applyBorder="1" applyAlignment="1">
      <alignment horizontal="right" vertical="top" wrapText="1"/>
    </xf>
    <xf numFmtId="3" fontId="3" fillId="10" borderId="99" xfId="0" applyNumberFormat="1" applyFont="1" applyFill="1" applyBorder="1" applyAlignment="1">
      <alignment horizontal="right" vertical="top"/>
    </xf>
    <xf numFmtId="3" fontId="3" fillId="10" borderId="105" xfId="0" applyNumberFormat="1" applyFont="1" applyFill="1" applyBorder="1" applyAlignment="1">
      <alignment horizontal="right" vertical="top"/>
    </xf>
    <xf numFmtId="3" fontId="3" fillId="10" borderId="76" xfId="0" applyNumberFormat="1" applyFont="1" applyFill="1" applyBorder="1" applyAlignment="1">
      <alignment horizontal="right" vertical="top"/>
    </xf>
    <xf numFmtId="3" fontId="5" fillId="2" borderId="23" xfId="0" applyNumberFormat="1" applyFont="1" applyFill="1" applyBorder="1" applyAlignment="1">
      <alignment horizontal="right" vertical="top"/>
    </xf>
    <xf numFmtId="3" fontId="3" fillId="10" borderId="76" xfId="0" applyNumberFormat="1" applyFont="1" applyFill="1" applyBorder="1" applyAlignment="1">
      <alignment horizontal="right" vertical="top" wrapText="1"/>
    </xf>
    <xf numFmtId="3" fontId="3" fillId="10" borderId="57" xfId="0" applyNumberFormat="1" applyFont="1" applyFill="1" applyBorder="1" applyAlignment="1">
      <alignment horizontal="right" vertical="top"/>
    </xf>
    <xf numFmtId="3" fontId="3" fillId="10" borderId="83" xfId="0" applyNumberFormat="1" applyFont="1" applyFill="1" applyBorder="1" applyAlignment="1">
      <alignment horizontal="right" vertical="top"/>
    </xf>
    <xf numFmtId="3" fontId="3" fillId="0" borderId="83" xfId="0" applyNumberFormat="1" applyFont="1" applyFill="1" applyBorder="1" applyAlignment="1">
      <alignment horizontal="right" vertical="top" wrapText="1"/>
    </xf>
    <xf numFmtId="3" fontId="3" fillId="10" borderId="0" xfId="0" applyNumberFormat="1" applyFont="1" applyFill="1" applyBorder="1" applyAlignment="1">
      <alignment horizontal="right" vertical="top"/>
    </xf>
    <xf numFmtId="3" fontId="5" fillId="10" borderId="30" xfId="0" applyNumberFormat="1" applyFont="1" applyFill="1" applyBorder="1" applyAlignment="1">
      <alignment horizontal="right" vertical="top"/>
    </xf>
    <xf numFmtId="3" fontId="3" fillId="10" borderId="70" xfId="0" applyNumberFormat="1" applyFont="1" applyFill="1" applyBorder="1" applyAlignment="1">
      <alignment horizontal="right" vertical="top" wrapText="1"/>
    </xf>
    <xf numFmtId="3" fontId="3" fillId="10" borderId="94" xfId="0" applyNumberFormat="1" applyFont="1" applyFill="1" applyBorder="1" applyAlignment="1">
      <alignment horizontal="right" vertical="top" wrapText="1"/>
    </xf>
    <xf numFmtId="3" fontId="5" fillId="10" borderId="0" xfId="0" applyNumberFormat="1" applyFont="1" applyFill="1" applyBorder="1" applyAlignment="1">
      <alignment horizontal="right" vertical="top"/>
    </xf>
    <xf numFmtId="3" fontId="5" fillId="10" borderId="9" xfId="0" applyNumberFormat="1" applyFont="1" applyFill="1" applyBorder="1" applyAlignment="1">
      <alignment horizontal="right" vertical="top"/>
    </xf>
    <xf numFmtId="3" fontId="3" fillId="10" borderId="46" xfId="0" applyNumberFormat="1" applyFont="1" applyFill="1" applyBorder="1" applyAlignment="1">
      <alignment horizontal="right" vertical="top" wrapText="1"/>
    </xf>
    <xf numFmtId="3" fontId="3" fillId="8" borderId="46" xfId="0" applyNumberFormat="1" applyFont="1" applyFill="1" applyBorder="1" applyAlignment="1">
      <alignment horizontal="right" vertical="top" wrapText="1"/>
    </xf>
    <xf numFmtId="3" fontId="3" fillId="8" borderId="77" xfId="0" applyNumberFormat="1" applyFont="1" applyFill="1" applyBorder="1" applyAlignment="1">
      <alignment horizontal="right" vertical="top" wrapText="1"/>
    </xf>
    <xf numFmtId="3" fontId="3" fillId="10" borderId="6" xfId="0" applyNumberFormat="1" applyFont="1" applyFill="1" applyBorder="1" applyAlignment="1">
      <alignment horizontal="right" vertical="top" wrapText="1"/>
    </xf>
    <xf numFmtId="3" fontId="3" fillId="8" borderId="6" xfId="0" applyNumberFormat="1" applyFont="1" applyFill="1" applyBorder="1" applyAlignment="1">
      <alignment horizontal="right" vertical="top" wrapText="1"/>
    </xf>
    <xf numFmtId="3" fontId="3" fillId="8" borderId="57" xfId="0" applyNumberFormat="1" applyFont="1" applyFill="1" applyBorder="1" applyAlignment="1">
      <alignment horizontal="right" vertical="top" wrapText="1"/>
    </xf>
    <xf numFmtId="3" fontId="3" fillId="10" borderId="24" xfId="0" applyNumberFormat="1" applyFont="1" applyFill="1" applyBorder="1" applyAlignment="1">
      <alignment horizontal="right" vertical="top" wrapText="1"/>
    </xf>
    <xf numFmtId="3" fontId="3" fillId="10" borderId="24" xfId="0" applyNumberFormat="1" applyFont="1" applyFill="1" applyBorder="1" applyAlignment="1">
      <alignment horizontal="right" vertical="top"/>
    </xf>
    <xf numFmtId="3" fontId="3" fillId="10" borderId="9" xfId="0" applyNumberFormat="1" applyFont="1" applyFill="1" applyBorder="1" applyAlignment="1">
      <alignment horizontal="right" vertical="top" wrapText="1"/>
    </xf>
    <xf numFmtId="3" fontId="36" fillId="10" borderId="83" xfId="0" applyNumberFormat="1" applyFont="1" applyFill="1" applyBorder="1" applyAlignment="1">
      <alignment horizontal="right" vertical="top" wrapText="1"/>
    </xf>
    <xf numFmtId="3" fontId="36" fillId="10" borderId="109" xfId="0" applyNumberFormat="1" applyFont="1" applyFill="1" applyBorder="1" applyAlignment="1">
      <alignment horizontal="right" vertical="top" wrapText="1"/>
    </xf>
    <xf numFmtId="3" fontId="36" fillId="10" borderId="9" xfId="0" applyNumberFormat="1" applyFont="1" applyFill="1" applyBorder="1" applyAlignment="1">
      <alignment horizontal="right" vertical="top" wrapText="1"/>
    </xf>
    <xf numFmtId="3" fontId="36" fillId="10" borderId="111" xfId="0" applyNumberFormat="1" applyFont="1" applyFill="1" applyBorder="1" applyAlignment="1">
      <alignment horizontal="right" vertical="top" wrapText="1"/>
    </xf>
    <xf numFmtId="3" fontId="36" fillId="10" borderId="95" xfId="0" applyNumberFormat="1" applyFont="1" applyFill="1" applyBorder="1" applyAlignment="1">
      <alignment horizontal="right" vertical="top" wrapText="1"/>
    </xf>
    <xf numFmtId="3" fontId="5" fillId="10" borderId="35" xfId="0" applyNumberFormat="1" applyFont="1" applyFill="1" applyBorder="1" applyAlignment="1">
      <alignment horizontal="right" vertical="top"/>
    </xf>
    <xf numFmtId="3" fontId="3" fillId="10" borderId="41" xfId="0" applyNumberFormat="1" applyFont="1" applyFill="1" applyBorder="1" applyAlignment="1">
      <alignment horizontal="right" vertical="top" wrapText="1"/>
    </xf>
    <xf numFmtId="3" fontId="3" fillId="10" borderId="49" xfId="0" applyNumberFormat="1" applyFont="1" applyFill="1" applyBorder="1" applyAlignment="1">
      <alignment horizontal="right" vertical="top" wrapText="1"/>
    </xf>
    <xf numFmtId="3" fontId="3" fillId="10" borderId="78" xfId="0" applyNumberFormat="1" applyFont="1" applyFill="1" applyBorder="1" applyAlignment="1">
      <alignment horizontal="right" vertical="top" wrapText="1"/>
    </xf>
    <xf numFmtId="3" fontId="5" fillId="10" borderId="73" xfId="0" applyNumberFormat="1" applyFont="1" applyFill="1" applyBorder="1" applyAlignment="1">
      <alignment horizontal="right" vertical="top"/>
    </xf>
    <xf numFmtId="3" fontId="3" fillId="10"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3" fontId="3" fillId="0" borderId="65" xfId="0" applyNumberFormat="1" applyFont="1" applyFill="1" applyBorder="1" applyAlignment="1">
      <alignment horizontal="right" vertical="top"/>
    </xf>
    <xf numFmtId="3" fontId="3" fillId="0" borderId="49" xfId="0" applyNumberFormat="1" applyFont="1" applyFill="1" applyBorder="1" applyAlignment="1">
      <alignment horizontal="right" vertical="top"/>
    </xf>
    <xf numFmtId="3" fontId="3" fillId="0" borderId="99" xfId="0" applyNumberFormat="1" applyFont="1" applyFill="1" applyBorder="1" applyAlignment="1">
      <alignment horizontal="right" vertical="top"/>
    </xf>
    <xf numFmtId="3" fontId="3" fillId="10" borderId="95" xfId="0" applyNumberFormat="1" applyFont="1" applyFill="1" applyBorder="1" applyAlignment="1">
      <alignment horizontal="right" vertical="top"/>
    </xf>
    <xf numFmtId="3" fontId="3" fillId="10" borderId="9"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3" fillId="10" borderId="23" xfId="0" applyNumberFormat="1" applyFont="1" applyFill="1" applyBorder="1" applyAlignment="1">
      <alignment horizontal="right" vertical="top"/>
    </xf>
    <xf numFmtId="3" fontId="3" fillId="10" borderId="23" xfId="0" applyNumberFormat="1" applyFont="1" applyFill="1" applyBorder="1" applyAlignment="1">
      <alignment horizontal="right" vertical="top" wrapText="1"/>
    </xf>
    <xf numFmtId="3" fontId="3" fillId="10" borderId="7" xfId="0" applyNumberFormat="1" applyFont="1" applyFill="1" applyBorder="1" applyAlignment="1">
      <alignment horizontal="right" vertical="top" wrapText="1"/>
    </xf>
    <xf numFmtId="3" fontId="3" fillId="8" borderId="7" xfId="0" applyNumberFormat="1" applyFont="1" applyFill="1" applyBorder="1" applyAlignment="1">
      <alignment horizontal="right" vertical="top" wrapText="1"/>
    </xf>
    <xf numFmtId="0" fontId="3" fillId="0" borderId="34" xfId="0" applyFont="1" applyBorder="1" applyAlignment="1">
      <alignment horizontal="center" vertical="top"/>
    </xf>
    <xf numFmtId="0" fontId="3" fillId="0" borderId="33" xfId="0" applyFont="1" applyBorder="1" applyAlignment="1">
      <alignment horizontal="center" vertical="top"/>
    </xf>
    <xf numFmtId="0" fontId="3" fillId="0" borderId="89" xfId="0" applyFont="1" applyBorder="1" applyAlignment="1">
      <alignment horizontal="center" vertical="top"/>
    </xf>
    <xf numFmtId="0" fontId="3" fillId="0" borderId="81" xfId="0" applyFont="1" applyBorder="1" applyAlignment="1">
      <alignment horizontal="center" vertical="top"/>
    </xf>
    <xf numFmtId="49" fontId="3" fillId="8" borderId="18"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18" xfId="0" applyNumberFormat="1" applyFont="1" applyFill="1" applyBorder="1" applyAlignment="1">
      <alignment horizontal="center" vertical="top" wrapText="1"/>
    </xf>
    <xf numFmtId="3" fontId="3" fillId="8" borderId="26" xfId="1" applyNumberFormat="1" applyFont="1" applyFill="1" applyBorder="1" applyAlignment="1">
      <alignment horizontal="center" vertical="top"/>
    </xf>
    <xf numFmtId="3" fontId="3" fillId="8" borderId="26" xfId="0" applyNumberFormat="1" applyFont="1" applyFill="1" applyBorder="1" applyAlignment="1">
      <alignment horizontal="center" vertical="top" wrapText="1"/>
    </xf>
    <xf numFmtId="3" fontId="3" fillId="8" borderId="27" xfId="0" applyNumberFormat="1" applyFont="1" applyFill="1" applyBorder="1" applyAlignment="1">
      <alignment horizontal="center" vertical="top" wrapText="1"/>
    </xf>
    <xf numFmtId="0" fontId="3" fillId="0" borderId="27" xfId="0" applyFont="1" applyBorder="1" applyAlignment="1">
      <alignment horizontal="center" vertical="top"/>
    </xf>
    <xf numFmtId="0" fontId="3" fillId="0" borderId="26" xfId="0" applyFont="1" applyBorder="1" applyAlignment="1">
      <alignment horizontal="center" vertical="top"/>
    </xf>
    <xf numFmtId="0" fontId="3" fillId="0" borderId="62" xfId="0" applyFont="1" applyBorder="1" applyAlignment="1">
      <alignment horizontal="center" vertical="top"/>
    </xf>
    <xf numFmtId="3" fontId="3" fillId="10" borderId="46" xfId="0" applyNumberFormat="1" applyFont="1" applyFill="1" applyBorder="1" applyAlignment="1">
      <alignment horizontal="right"/>
    </xf>
    <xf numFmtId="3" fontId="3" fillId="10" borderId="6" xfId="0" applyNumberFormat="1" applyFont="1" applyFill="1" applyBorder="1" applyAlignment="1">
      <alignment horizontal="right"/>
    </xf>
    <xf numFmtId="3" fontId="3" fillId="10" borderId="9" xfId="0" applyNumberFormat="1" applyFont="1" applyFill="1" applyBorder="1" applyAlignment="1">
      <alignment horizontal="right"/>
    </xf>
    <xf numFmtId="3" fontId="5" fillId="12" borderId="68" xfId="0" applyNumberFormat="1" applyFont="1" applyFill="1" applyBorder="1" applyAlignment="1">
      <alignment horizontal="right" vertical="top"/>
    </xf>
    <xf numFmtId="3" fontId="5" fillId="12" borderId="25" xfId="0" applyNumberFormat="1" applyFont="1" applyFill="1" applyBorder="1" applyAlignment="1">
      <alignment horizontal="right" vertical="top"/>
    </xf>
    <xf numFmtId="3" fontId="5" fillId="10" borderId="67" xfId="0" applyNumberFormat="1" applyFont="1" applyFill="1" applyBorder="1" applyAlignment="1">
      <alignment horizontal="right" vertical="center"/>
    </xf>
    <xf numFmtId="3" fontId="5" fillId="10" borderId="61" xfId="0" applyNumberFormat="1" applyFont="1" applyFill="1" applyBorder="1" applyAlignment="1">
      <alignment horizontal="right" vertical="center"/>
    </xf>
    <xf numFmtId="3" fontId="5" fillId="10" borderId="64" xfId="0" applyNumberFormat="1" applyFont="1" applyFill="1" applyBorder="1" applyAlignment="1">
      <alignment horizontal="right" vertical="center"/>
    </xf>
    <xf numFmtId="3" fontId="5" fillId="3" borderId="68" xfId="0" applyNumberFormat="1" applyFont="1" applyFill="1" applyBorder="1" applyAlignment="1">
      <alignment horizontal="right" vertical="center"/>
    </xf>
    <xf numFmtId="3" fontId="5" fillId="3" borderId="25" xfId="0" applyNumberFormat="1" applyFont="1" applyFill="1" applyBorder="1" applyAlignment="1">
      <alignment horizontal="right" vertical="center"/>
    </xf>
    <xf numFmtId="165" fontId="3" fillId="0" borderId="28" xfId="0" applyNumberFormat="1" applyFont="1" applyFill="1" applyBorder="1" applyAlignment="1">
      <alignment horizontal="center" vertical="top"/>
    </xf>
    <xf numFmtId="165" fontId="3" fillId="0" borderId="29" xfId="0" applyNumberFormat="1" applyFont="1" applyFill="1" applyBorder="1" applyAlignment="1">
      <alignment horizontal="center" vertical="top"/>
    </xf>
    <xf numFmtId="165" fontId="3" fillId="0" borderId="17" xfId="0" applyNumberFormat="1" applyFont="1" applyFill="1" applyBorder="1" applyAlignment="1">
      <alignment horizontal="center" vertical="top" textRotation="90"/>
    </xf>
    <xf numFmtId="3" fontId="3" fillId="8" borderId="78" xfId="0" applyNumberFormat="1" applyFont="1" applyFill="1" applyBorder="1" applyAlignment="1">
      <alignment horizontal="right" vertical="top" wrapText="1"/>
    </xf>
    <xf numFmtId="3" fontId="5" fillId="3" borderId="68" xfId="0" applyNumberFormat="1" applyFont="1" applyFill="1" applyBorder="1" applyAlignment="1">
      <alignment horizontal="right" vertical="top"/>
    </xf>
    <xf numFmtId="3" fontId="5" fillId="14" borderId="25" xfId="0" applyNumberFormat="1" applyFont="1" applyFill="1" applyBorder="1" applyAlignment="1">
      <alignment horizontal="right" vertical="top"/>
    </xf>
    <xf numFmtId="3" fontId="5" fillId="5" borderId="25" xfId="0" applyNumberFormat="1" applyFont="1" applyFill="1" applyBorder="1" applyAlignment="1">
      <alignment horizontal="right"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3" borderId="26"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3" fontId="3" fillId="0" borderId="28"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49" fontId="5" fillId="14" borderId="10"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0" fontId="3" fillId="8" borderId="66" xfId="0" applyFont="1" applyFill="1" applyBorder="1" applyAlignment="1">
      <alignment horizontal="center" vertical="top"/>
    </xf>
    <xf numFmtId="3" fontId="3" fillId="10" borderId="66" xfId="0" applyNumberFormat="1" applyFont="1" applyFill="1" applyBorder="1" applyAlignment="1">
      <alignment horizontal="right" vertical="top"/>
    </xf>
    <xf numFmtId="3" fontId="5" fillId="8" borderId="66" xfId="0" applyNumberFormat="1" applyFont="1" applyFill="1" applyBorder="1" applyAlignment="1">
      <alignment horizontal="right" vertical="top"/>
    </xf>
    <xf numFmtId="3" fontId="5" fillId="8" borderId="35" xfId="0" applyNumberFormat="1" applyFont="1" applyFill="1" applyBorder="1" applyAlignment="1">
      <alignment horizontal="right" vertical="top"/>
    </xf>
    <xf numFmtId="3" fontId="3" fillId="8" borderId="28" xfId="0" applyNumberFormat="1" applyFont="1" applyFill="1" applyBorder="1" applyAlignment="1">
      <alignment horizontal="center" vertical="top" wrapText="1"/>
    </xf>
    <xf numFmtId="3" fontId="3" fillId="0" borderId="0" xfId="0" applyNumberFormat="1" applyFont="1" applyAlignment="1">
      <alignment horizontal="center"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3" borderId="26" xfId="0" applyNumberFormat="1" applyFont="1" applyFill="1" applyBorder="1" applyAlignment="1">
      <alignment horizontal="center" vertical="top" wrapText="1"/>
    </xf>
    <xf numFmtId="0" fontId="3" fillId="2" borderId="4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0"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11" xfId="0" applyFont="1" applyFill="1" applyBorder="1" applyAlignment="1">
      <alignment horizontal="left" vertical="top" wrapText="1"/>
    </xf>
    <xf numFmtId="0" fontId="3" fillId="0" borderId="10" xfId="1" applyFont="1" applyFill="1" applyBorder="1" applyAlignment="1">
      <alignment vertical="top" wrapText="1"/>
    </xf>
    <xf numFmtId="49" fontId="5" fillId="0" borderId="33" xfId="0" applyNumberFormat="1" applyFont="1" applyBorder="1" applyAlignment="1">
      <alignment horizontal="center" vertical="top"/>
    </xf>
    <xf numFmtId="0" fontId="3" fillId="2" borderId="10"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0" fontId="3" fillId="0" borderId="31" xfId="0" applyFont="1" applyFill="1" applyBorder="1" applyAlignment="1">
      <alignment horizontal="center" vertical="center" textRotation="90" wrapText="1"/>
    </xf>
    <xf numFmtId="49" fontId="5" fillId="0" borderId="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49" fontId="5" fillId="14" borderId="11" xfId="0" applyNumberFormat="1" applyFont="1" applyFill="1" applyBorder="1" applyAlignment="1">
      <alignment horizontal="center" vertical="top" wrapText="1"/>
    </xf>
    <xf numFmtId="49" fontId="5" fillId="0" borderId="62" xfId="0" applyNumberFormat="1" applyFont="1" applyFill="1" applyBorder="1" applyAlignment="1">
      <alignment horizontal="center" vertical="top" wrapText="1"/>
    </xf>
    <xf numFmtId="49" fontId="5" fillId="0" borderId="27" xfId="0" applyNumberFormat="1" applyFont="1" applyBorder="1" applyAlignment="1">
      <alignment horizontal="center" vertical="top" wrapText="1"/>
    </xf>
    <xf numFmtId="49" fontId="5" fillId="0" borderId="98" xfId="0" applyNumberFormat="1" applyFont="1" applyBorder="1" applyAlignment="1">
      <alignment horizontal="center" vertical="top"/>
    </xf>
    <xf numFmtId="0" fontId="3" fillId="0" borderId="96" xfId="0" applyFont="1" applyFill="1" applyBorder="1" applyAlignment="1">
      <alignment horizontal="center" vertical="center" textRotation="90" wrapText="1"/>
    </xf>
    <xf numFmtId="0" fontId="3" fillId="8" borderId="33" xfId="0" applyFont="1" applyFill="1" applyBorder="1" applyAlignment="1">
      <alignment vertical="top" wrapText="1"/>
    </xf>
    <xf numFmtId="49" fontId="5" fillId="0" borderId="18" xfId="0" applyNumberFormat="1" applyFont="1" applyBorder="1" applyAlignment="1">
      <alignment horizontal="center" vertical="top"/>
    </xf>
    <xf numFmtId="0" fontId="3" fillId="2" borderId="110" xfId="0" applyFont="1" applyFill="1" applyBorder="1" applyAlignment="1">
      <alignment horizontal="left" vertical="top" wrapText="1"/>
    </xf>
    <xf numFmtId="4" fontId="3" fillId="2" borderId="21" xfId="0" applyNumberFormat="1" applyFont="1" applyFill="1" applyBorder="1" applyAlignment="1">
      <alignment horizontal="center" vertical="top"/>
    </xf>
    <xf numFmtId="4" fontId="3" fillId="2" borderId="1" xfId="0" applyNumberFormat="1" applyFont="1" applyFill="1" applyBorder="1" applyAlignment="1">
      <alignment horizontal="center" vertical="top"/>
    </xf>
    <xf numFmtId="0" fontId="3" fillId="0" borderId="103" xfId="0" applyFont="1" applyFill="1" applyBorder="1" applyAlignment="1">
      <alignment horizontal="left" vertical="top" wrapText="1"/>
    </xf>
    <xf numFmtId="0" fontId="3" fillId="0" borderId="104" xfId="0" applyFont="1" applyFill="1" applyBorder="1" applyAlignment="1">
      <alignment horizontal="left" vertical="top" wrapText="1"/>
    </xf>
    <xf numFmtId="3" fontId="3" fillId="0" borderId="55" xfId="0" applyNumberFormat="1" applyFont="1" applyFill="1" applyBorder="1" applyAlignment="1">
      <alignment horizontal="right" vertical="top" wrapText="1"/>
    </xf>
    <xf numFmtId="3" fontId="3" fillId="0" borderId="53" xfId="0" applyNumberFormat="1" applyFont="1" applyFill="1" applyBorder="1" applyAlignment="1">
      <alignment horizontal="right" vertical="top"/>
    </xf>
    <xf numFmtId="49" fontId="3" fillId="8" borderId="19" xfId="0" applyNumberFormat="1" applyFont="1" applyFill="1" applyBorder="1" applyAlignment="1">
      <alignment horizontal="center" vertical="top" wrapText="1"/>
    </xf>
    <xf numFmtId="0" fontId="3" fillId="8" borderId="84" xfId="0" applyFont="1" applyFill="1" applyBorder="1" applyAlignment="1">
      <alignment vertical="top" wrapText="1"/>
    </xf>
    <xf numFmtId="0" fontId="3" fillId="0" borderId="104" xfId="0" applyFont="1" applyFill="1" applyBorder="1" applyAlignment="1">
      <alignment vertical="top" wrapText="1"/>
    </xf>
    <xf numFmtId="165" fontId="3" fillId="0" borderId="106" xfId="0" applyNumberFormat="1" applyFont="1" applyFill="1" applyBorder="1" applyAlignment="1">
      <alignment horizontal="center" vertical="top" wrapText="1"/>
    </xf>
    <xf numFmtId="165" fontId="3" fillId="0" borderId="82" xfId="0" applyNumberFormat="1" applyFont="1" applyFill="1" applyBorder="1" applyAlignment="1">
      <alignment horizontal="center" vertical="top" wrapText="1"/>
    </xf>
    <xf numFmtId="3" fontId="3" fillId="8" borderId="71" xfId="0" applyNumberFormat="1" applyFont="1" applyFill="1" applyBorder="1" applyAlignment="1">
      <alignment horizontal="right" vertical="top" wrapText="1"/>
    </xf>
    <xf numFmtId="0" fontId="3" fillId="8" borderId="62" xfId="0" applyFont="1" applyFill="1" applyBorder="1" applyAlignment="1">
      <alignment horizontal="left" vertical="top" wrapText="1"/>
    </xf>
    <xf numFmtId="3" fontId="3" fillId="0" borderId="62" xfId="1" applyNumberFormat="1" applyFont="1" applyFill="1" applyBorder="1" applyAlignment="1">
      <alignment horizontal="center" vertical="top"/>
    </xf>
    <xf numFmtId="3" fontId="3" fillId="0" borderId="62" xfId="0" applyNumberFormat="1" applyFont="1" applyFill="1" applyBorder="1" applyAlignment="1">
      <alignment horizontal="center" vertical="top" wrapText="1"/>
    </xf>
    <xf numFmtId="3" fontId="3" fillId="10" borderId="111" xfId="0" applyNumberFormat="1" applyFont="1" applyFill="1" applyBorder="1" applyAlignment="1">
      <alignment horizontal="right" vertical="top" wrapText="1"/>
    </xf>
    <xf numFmtId="3" fontId="3" fillId="0" borderId="111" xfId="0" applyNumberFormat="1" applyFont="1" applyFill="1" applyBorder="1" applyAlignment="1">
      <alignment horizontal="right" vertical="top" wrapText="1"/>
    </xf>
    <xf numFmtId="3" fontId="3" fillId="0" borderId="105" xfId="0" applyNumberFormat="1" applyFont="1" applyFill="1" applyBorder="1" applyAlignment="1">
      <alignment horizontal="right" vertical="top" wrapText="1"/>
    </xf>
    <xf numFmtId="0" fontId="19" fillId="8" borderId="50" xfId="0" applyFont="1" applyFill="1" applyBorder="1" applyAlignment="1">
      <alignment vertical="top" wrapText="1"/>
    </xf>
    <xf numFmtId="3" fontId="5" fillId="8" borderId="40" xfId="0" applyNumberFormat="1" applyFont="1" applyFill="1" applyBorder="1" applyAlignment="1">
      <alignment horizontal="right" vertical="top"/>
    </xf>
    <xf numFmtId="3" fontId="3" fillId="0" borderId="50" xfId="1" applyNumberFormat="1" applyFont="1" applyFill="1" applyBorder="1" applyAlignment="1">
      <alignment horizontal="center" vertical="top"/>
    </xf>
    <xf numFmtId="3" fontId="3" fillId="0" borderId="50" xfId="0" applyNumberFormat="1" applyFont="1" applyFill="1" applyBorder="1" applyAlignment="1">
      <alignment horizontal="center" vertical="top" wrapText="1"/>
    </xf>
    <xf numFmtId="3" fontId="3" fillId="10" borderId="109" xfId="0" applyNumberFormat="1" applyFont="1" applyFill="1" applyBorder="1" applyAlignment="1">
      <alignment horizontal="right" vertical="top" wrapText="1"/>
    </xf>
    <xf numFmtId="3" fontId="3" fillId="0" borderId="109" xfId="0" applyNumberFormat="1" applyFont="1" applyFill="1" applyBorder="1" applyAlignment="1">
      <alignment horizontal="right" vertical="top" wrapText="1"/>
    </xf>
    <xf numFmtId="3" fontId="3" fillId="8" borderId="93" xfId="0" applyNumberFormat="1" applyFont="1" applyFill="1" applyBorder="1" applyAlignment="1">
      <alignment horizontal="center" vertical="top" wrapText="1"/>
    </xf>
    <xf numFmtId="0" fontId="3" fillId="8" borderId="104" xfId="0" applyFont="1" applyFill="1" applyBorder="1" applyAlignment="1">
      <alignment vertical="top" wrapText="1"/>
    </xf>
    <xf numFmtId="3" fontId="3" fillId="8" borderId="106" xfId="0" applyNumberFormat="1" applyFont="1" applyFill="1" applyBorder="1" applyAlignment="1">
      <alignment horizontal="center" vertical="top" wrapText="1"/>
    </xf>
    <xf numFmtId="3" fontId="3" fillId="8" borderId="82" xfId="0" applyNumberFormat="1" applyFont="1" applyFill="1" applyBorder="1" applyAlignment="1">
      <alignment horizontal="center" vertical="top" wrapText="1"/>
    </xf>
    <xf numFmtId="0" fontId="3" fillId="8" borderId="102" xfId="0" applyFont="1" applyFill="1" applyBorder="1" applyAlignment="1">
      <alignment horizontal="left" vertical="top" wrapText="1"/>
    </xf>
    <xf numFmtId="3" fontId="3" fillId="10" borderId="95" xfId="0" applyNumberFormat="1" applyFont="1" applyFill="1" applyBorder="1" applyAlignment="1">
      <alignment horizontal="right" vertical="top" wrapText="1"/>
    </xf>
    <xf numFmtId="3" fontId="3" fillId="0" borderId="112" xfId="0" applyNumberFormat="1" applyFont="1" applyFill="1" applyBorder="1" applyAlignment="1">
      <alignment horizontal="right" vertical="top" wrapText="1"/>
    </xf>
    <xf numFmtId="0" fontId="3" fillId="0" borderId="96" xfId="0" applyFont="1" applyFill="1" applyBorder="1" applyAlignment="1">
      <alignment horizontal="left" vertical="top" wrapText="1"/>
    </xf>
    <xf numFmtId="3" fontId="3" fillId="0" borderId="102" xfId="0" applyNumberFormat="1" applyFont="1" applyFill="1" applyBorder="1" applyAlignment="1">
      <alignment horizontal="center" vertical="top" wrapText="1"/>
    </xf>
    <xf numFmtId="3" fontId="3" fillId="0" borderId="41" xfId="0" applyNumberFormat="1" applyFont="1" applyFill="1" applyBorder="1" applyAlignment="1">
      <alignment horizontal="right" vertical="top" wrapText="1"/>
    </xf>
    <xf numFmtId="3" fontId="3" fillId="0" borderId="46" xfId="0" applyNumberFormat="1" applyFont="1" applyFill="1" applyBorder="1" applyAlignment="1">
      <alignment horizontal="right" vertical="top" wrapText="1"/>
    </xf>
    <xf numFmtId="3" fontId="3" fillId="10" borderId="77" xfId="0" applyNumberFormat="1" applyFont="1" applyFill="1" applyBorder="1" applyAlignment="1">
      <alignment horizontal="right" vertical="top" wrapText="1"/>
    </xf>
    <xf numFmtId="3" fontId="3" fillId="2" borderId="46" xfId="0" applyNumberFormat="1" applyFont="1" applyFill="1" applyBorder="1" applyAlignment="1">
      <alignment horizontal="right" vertical="top"/>
    </xf>
    <xf numFmtId="3" fontId="3" fillId="2" borderId="83" xfId="0" applyNumberFormat="1" applyFont="1" applyFill="1" applyBorder="1" applyAlignment="1">
      <alignment horizontal="right" vertical="top"/>
    </xf>
    <xf numFmtId="0" fontId="3" fillId="2" borderId="10" xfId="0" applyFont="1" applyFill="1" applyBorder="1" applyAlignment="1">
      <alignment vertical="top" wrapText="1"/>
    </xf>
    <xf numFmtId="3" fontId="3" fillId="2" borderId="106" xfId="0" applyNumberFormat="1" applyFont="1" applyFill="1" applyBorder="1" applyAlignment="1">
      <alignment horizontal="center" vertical="top"/>
    </xf>
    <xf numFmtId="3" fontId="3" fillId="2" borderId="82" xfId="0" applyNumberFormat="1" applyFont="1" applyFill="1" applyBorder="1" applyAlignment="1">
      <alignment horizontal="center" vertical="top"/>
    </xf>
    <xf numFmtId="3" fontId="3" fillId="10" borderId="70" xfId="0" applyNumberFormat="1" applyFont="1" applyFill="1" applyBorder="1" applyAlignment="1">
      <alignment horizontal="right" vertical="center"/>
    </xf>
    <xf numFmtId="0" fontId="3" fillId="8" borderId="116" xfId="0" applyFont="1" applyFill="1" applyBorder="1" applyAlignment="1">
      <alignment horizontal="center" vertical="top"/>
    </xf>
    <xf numFmtId="3" fontId="3" fillId="10" borderId="117" xfId="0" applyNumberFormat="1" applyFont="1" applyFill="1" applyBorder="1" applyAlignment="1">
      <alignment horizontal="right" vertical="center"/>
    </xf>
    <xf numFmtId="3" fontId="3" fillId="2" borderId="116"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3" fillId="8" borderId="55" xfId="0" applyNumberFormat="1" applyFont="1" applyFill="1" applyBorder="1" applyAlignment="1">
      <alignment horizontal="right" vertical="top"/>
    </xf>
    <xf numFmtId="3" fontId="3" fillId="8" borderId="9" xfId="0" applyNumberFormat="1" applyFont="1" applyFill="1" applyBorder="1" applyAlignment="1">
      <alignment horizontal="right" vertical="top"/>
    </xf>
    <xf numFmtId="3" fontId="3" fillId="8" borderId="53" xfId="0" applyNumberFormat="1" applyFont="1" applyFill="1" applyBorder="1" applyAlignment="1">
      <alignment horizontal="right" vertical="top"/>
    </xf>
    <xf numFmtId="0" fontId="5" fillId="2" borderId="50" xfId="0" applyFont="1" applyFill="1" applyBorder="1" applyAlignment="1">
      <alignment horizontal="left" vertical="top" wrapText="1"/>
    </xf>
    <xf numFmtId="49" fontId="5" fillId="0" borderId="50" xfId="0" applyNumberFormat="1" applyFont="1" applyFill="1" applyBorder="1" applyAlignment="1">
      <alignment horizontal="center" vertical="top" wrapText="1"/>
    </xf>
    <xf numFmtId="49" fontId="5" fillId="0" borderId="62" xfId="0" applyNumberFormat="1" applyFont="1" applyFill="1" applyBorder="1" applyAlignment="1">
      <alignment horizontal="center" vertical="top" wrapText="1"/>
    </xf>
    <xf numFmtId="3" fontId="3" fillId="0" borderId="0" xfId="0" applyNumberFormat="1" applyFont="1" applyAlignment="1">
      <alignment vertical="top"/>
    </xf>
    <xf numFmtId="0" fontId="3" fillId="2" borderId="91" xfId="0" applyFont="1" applyFill="1" applyBorder="1" applyAlignment="1">
      <alignment horizontal="left" vertical="top" wrapText="1"/>
    </xf>
    <xf numFmtId="1" fontId="3" fillId="10" borderId="2" xfId="0" applyNumberFormat="1" applyFont="1" applyFill="1" applyBorder="1" applyAlignment="1">
      <alignment horizontal="right" vertical="top"/>
    </xf>
    <xf numFmtId="1" fontId="3" fillId="10" borderId="18" xfId="0" applyNumberFormat="1" applyFont="1" applyFill="1" applyBorder="1" applyAlignment="1">
      <alignment horizontal="right" vertical="top"/>
    </xf>
    <xf numFmtId="0" fontId="3" fillId="8" borderId="24" xfId="0" applyFont="1" applyFill="1" applyBorder="1" applyAlignment="1">
      <alignment horizontal="center" vertical="top" wrapText="1"/>
    </xf>
    <xf numFmtId="0" fontId="5" fillId="16" borderId="30" xfId="0" applyFont="1" applyFill="1" applyBorder="1" applyAlignment="1">
      <alignment vertical="center"/>
    </xf>
    <xf numFmtId="0" fontId="3" fillId="16" borderId="30" xfId="0" applyFont="1" applyFill="1" applyBorder="1" applyAlignment="1">
      <alignment horizontal="center" vertical="center" textRotation="90" wrapText="1"/>
    </xf>
    <xf numFmtId="0" fontId="5" fillId="12" borderId="26" xfId="0" applyFont="1" applyFill="1" applyBorder="1" applyAlignment="1">
      <alignment horizontal="center" vertical="center"/>
    </xf>
    <xf numFmtId="0" fontId="3" fillId="0" borderId="7" xfId="0" applyFont="1" applyBorder="1" applyAlignment="1">
      <alignment horizontal="center" vertical="center"/>
    </xf>
    <xf numFmtId="49" fontId="5" fillId="13" borderId="28" xfId="0" applyNumberFormat="1" applyFont="1" applyFill="1" applyBorder="1" applyAlignment="1">
      <alignment horizontal="center" vertical="top" wrapText="1"/>
    </xf>
    <xf numFmtId="49" fontId="5" fillId="2" borderId="50" xfId="0" applyNumberFormat="1" applyFont="1" applyFill="1" applyBorder="1" applyAlignment="1">
      <alignment horizontal="center" vertical="top" wrapText="1"/>
    </xf>
    <xf numFmtId="0" fontId="3" fillId="0" borderId="30" xfId="0" applyFont="1" applyBorder="1" applyAlignment="1">
      <alignment horizontal="center" vertical="top"/>
    </xf>
    <xf numFmtId="0" fontId="0" fillId="0" borderId="0" xfId="0" applyAlignment="1">
      <alignment vertical="top" wrapText="1"/>
    </xf>
    <xf numFmtId="49" fontId="3" fillId="0" borderId="9" xfId="0" applyNumberFormat="1" applyFont="1" applyBorder="1" applyAlignment="1">
      <alignment horizontal="center" vertical="top" wrapText="1"/>
    </xf>
    <xf numFmtId="49" fontId="5" fillId="0" borderId="0" xfId="0" applyNumberFormat="1" applyFont="1" applyFill="1" applyBorder="1" applyAlignment="1">
      <alignment horizontal="center" vertical="top" wrapText="1"/>
    </xf>
    <xf numFmtId="0" fontId="5" fillId="0" borderId="0" xfId="0" applyNumberFormat="1" applyFont="1" applyAlignment="1">
      <alignment vertical="top"/>
    </xf>
    <xf numFmtId="0" fontId="9" fillId="0" borderId="0" xfId="0" applyFont="1" applyAlignment="1">
      <alignment horizontal="center" vertical="top"/>
    </xf>
    <xf numFmtId="0" fontId="3" fillId="0" borderId="0" xfId="0" applyFont="1" applyAlignment="1">
      <alignment vertical="top" wrapText="1"/>
    </xf>
    <xf numFmtId="0" fontId="3" fillId="8" borderId="3" xfId="0" applyFont="1" applyFill="1" applyBorder="1" applyAlignment="1">
      <alignment horizontal="center" vertical="center" textRotation="90" wrapText="1"/>
    </xf>
    <xf numFmtId="0" fontId="39" fillId="0" borderId="3" xfId="0" applyFont="1" applyBorder="1" applyAlignment="1">
      <alignment horizontal="center" vertical="center" textRotation="90" wrapText="1"/>
    </xf>
    <xf numFmtId="0" fontId="39" fillId="0" borderId="3" xfId="0" applyFont="1" applyFill="1" applyBorder="1" applyAlignment="1">
      <alignment horizontal="center" vertical="center" textRotation="90" wrapText="1"/>
    </xf>
    <xf numFmtId="0" fontId="39" fillId="0" borderId="3" xfId="0" applyFont="1" applyBorder="1" applyAlignment="1">
      <alignment horizontal="center" vertical="center" textRotation="90"/>
    </xf>
    <xf numFmtId="0" fontId="39" fillId="0" borderId="4" xfId="0" applyFont="1" applyBorder="1" applyAlignment="1">
      <alignment horizontal="center" vertical="center" textRotation="90"/>
    </xf>
    <xf numFmtId="49" fontId="5" fillId="17" borderId="70" xfId="0" applyNumberFormat="1" applyFont="1" applyFill="1" applyBorder="1" applyAlignment="1">
      <alignment horizontal="center" vertical="top" wrapText="1"/>
    </xf>
    <xf numFmtId="49" fontId="5" fillId="17" borderId="31"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0" fontId="3" fillId="0" borderId="55" xfId="0" applyFont="1" applyFill="1" applyBorder="1" applyAlignment="1">
      <alignment horizontal="center" vertical="top" wrapText="1"/>
    </xf>
    <xf numFmtId="1" fontId="3" fillId="10" borderId="31" xfId="0" applyNumberFormat="1" applyFont="1" applyFill="1" applyBorder="1" applyAlignment="1">
      <alignment horizontal="right" vertical="top"/>
    </xf>
    <xf numFmtId="1" fontId="3" fillId="10" borderId="34" xfId="0" applyNumberFormat="1" applyFont="1" applyFill="1" applyBorder="1" applyAlignment="1">
      <alignment horizontal="right" vertical="top"/>
    </xf>
    <xf numFmtId="1" fontId="3" fillId="10" borderId="32" xfId="0" applyNumberFormat="1" applyFont="1" applyFill="1" applyBorder="1" applyAlignment="1">
      <alignment horizontal="right" vertical="top"/>
    </xf>
    <xf numFmtId="1" fontId="3" fillId="10" borderId="12" xfId="0" applyNumberFormat="1" applyFont="1" applyFill="1" applyBorder="1" applyAlignment="1">
      <alignment horizontal="right" vertical="top"/>
    </xf>
    <xf numFmtId="1" fontId="3" fillId="10" borderId="13" xfId="0" applyNumberFormat="1" applyFont="1" applyFill="1" applyBorder="1" applyAlignment="1">
      <alignment horizontal="right" vertical="top"/>
    </xf>
    <xf numFmtId="1" fontId="3" fillId="10" borderId="15" xfId="0" applyNumberFormat="1" applyFont="1" applyFill="1" applyBorder="1" applyAlignment="1">
      <alignment horizontal="right" vertical="top"/>
    </xf>
    <xf numFmtId="1" fontId="3" fillId="10" borderId="7" xfId="0" applyNumberFormat="1" applyFont="1" applyFill="1" applyBorder="1" applyAlignment="1">
      <alignment horizontal="right" vertical="top"/>
    </xf>
    <xf numFmtId="3" fontId="3" fillId="0" borderId="47" xfId="0" applyNumberFormat="1" applyFont="1" applyFill="1" applyBorder="1" applyAlignment="1">
      <alignment horizontal="center" vertical="top" wrapText="1"/>
    </xf>
    <xf numFmtId="0" fontId="3" fillId="0" borderId="28" xfId="0" applyFont="1" applyBorder="1" applyAlignment="1">
      <alignment vertical="top" wrapText="1"/>
    </xf>
    <xf numFmtId="0" fontId="3" fillId="0" borderId="29" xfId="0" applyFont="1" applyBorder="1" applyAlignment="1">
      <alignment vertical="top"/>
    </xf>
    <xf numFmtId="0" fontId="3" fillId="0" borderId="44" xfId="0" applyFont="1" applyFill="1" applyBorder="1" applyAlignment="1">
      <alignment horizontal="center" vertical="top" wrapText="1"/>
    </xf>
    <xf numFmtId="1" fontId="3" fillId="10" borderId="16" xfId="0" applyNumberFormat="1" applyFont="1" applyFill="1" applyBorder="1" applyAlignment="1">
      <alignment horizontal="right" vertical="top"/>
    </xf>
    <xf numFmtId="1" fontId="3" fillId="10" borderId="17" xfId="0" applyNumberFormat="1" applyFont="1" applyFill="1" applyBorder="1" applyAlignment="1">
      <alignment horizontal="right" vertical="top"/>
    </xf>
    <xf numFmtId="1" fontId="3" fillId="10" borderId="50" xfId="0" applyNumberFormat="1" applyFont="1" applyFill="1" applyBorder="1" applyAlignment="1">
      <alignment horizontal="right" vertical="top"/>
    </xf>
    <xf numFmtId="1" fontId="3" fillId="10" borderId="23" xfId="0" applyNumberFormat="1" applyFont="1" applyFill="1" applyBorder="1" applyAlignment="1">
      <alignment horizontal="right" vertical="top"/>
    </xf>
    <xf numFmtId="0" fontId="3" fillId="0" borderId="17" xfId="0" applyFont="1" applyBorder="1" applyAlignment="1">
      <alignment vertical="top" wrapText="1"/>
    </xf>
    <xf numFmtId="0" fontId="3" fillId="0" borderId="19" xfId="0" applyFont="1" applyBorder="1" applyAlignment="1">
      <alignment vertical="top"/>
    </xf>
    <xf numFmtId="1" fontId="3" fillId="10" borderId="21" xfId="0" applyNumberFormat="1" applyFont="1" applyFill="1" applyBorder="1" applyAlignment="1">
      <alignment horizontal="right" vertical="top"/>
    </xf>
    <xf numFmtId="1" fontId="3" fillId="10" borderId="48" xfId="0" applyNumberFormat="1" applyFont="1" applyFill="1" applyBorder="1" applyAlignment="1">
      <alignment horizontal="right" vertical="top"/>
    </xf>
    <xf numFmtId="1" fontId="3" fillId="10" borderId="51" xfId="0" applyNumberFormat="1" applyFont="1" applyFill="1" applyBorder="1" applyAlignment="1">
      <alignment horizontal="right" vertical="top"/>
    </xf>
    <xf numFmtId="1" fontId="3" fillId="10" borderId="42" xfId="0" applyNumberFormat="1" applyFont="1" applyFill="1" applyBorder="1" applyAlignment="1">
      <alignment horizontal="right" vertical="top"/>
    </xf>
    <xf numFmtId="164" fontId="3" fillId="10" borderId="6" xfId="0" applyNumberFormat="1" applyFont="1" applyFill="1" applyBorder="1" applyAlignment="1">
      <alignment horizontal="right" vertical="top"/>
    </xf>
    <xf numFmtId="1" fontId="3" fillId="10" borderId="45" xfId="0" applyNumberFormat="1" applyFont="1" applyFill="1" applyBorder="1" applyAlignment="1">
      <alignment horizontal="right" vertical="top"/>
    </xf>
    <xf numFmtId="1" fontId="3" fillId="10" borderId="6" xfId="0" applyNumberFormat="1" applyFont="1" applyFill="1" applyBorder="1" applyAlignment="1">
      <alignment horizontal="right" vertical="top"/>
    </xf>
    <xf numFmtId="0" fontId="3" fillId="0" borderId="53" xfId="0" applyFont="1" applyFill="1" applyBorder="1" applyAlignment="1">
      <alignment horizontal="center" vertical="top" wrapText="1"/>
    </xf>
    <xf numFmtId="1" fontId="3" fillId="10" borderId="10" xfId="0" applyNumberFormat="1" applyFont="1" applyFill="1" applyBorder="1" applyAlignment="1">
      <alignment horizontal="right" vertical="top"/>
    </xf>
    <xf numFmtId="49" fontId="5" fillId="0" borderId="66" xfId="0" applyNumberFormat="1" applyFont="1" applyBorder="1" applyAlignment="1">
      <alignment horizontal="center" vertical="top"/>
    </xf>
    <xf numFmtId="0" fontId="5" fillId="10" borderId="64" xfId="0" applyFont="1" applyFill="1" applyBorder="1" applyAlignment="1">
      <alignment horizontal="center" vertical="top"/>
    </xf>
    <xf numFmtId="1" fontId="5" fillId="10" borderId="60" xfId="0" applyNumberFormat="1" applyFont="1" applyFill="1" applyBorder="1" applyAlignment="1">
      <alignment horizontal="right" vertical="top"/>
    </xf>
    <xf numFmtId="1" fontId="5" fillId="10" borderId="59" xfId="0" applyNumberFormat="1" applyFont="1" applyFill="1" applyBorder="1" applyAlignment="1">
      <alignment horizontal="right" vertical="top"/>
    </xf>
    <xf numFmtId="1" fontId="5" fillId="10" borderId="67" xfId="0" applyNumberFormat="1" applyFont="1" applyFill="1" applyBorder="1" applyAlignment="1">
      <alignment horizontal="right" vertical="top"/>
    </xf>
    <xf numFmtId="0" fontId="3" fillId="0" borderId="26" xfId="0" applyFont="1" applyBorder="1" applyAlignment="1">
      <alignment vertical="top" wrapText="1"/>
    </xf>
    <xf numFmtId="49" fontId="5" fillId="17" borderId="56" xfId="0" applyNumberFormat="1" applyFont="1" applyFill="1" applyBorder="1" applyAlignment="1">
      <alignment horizontal="center" vertical="top"/>
    </xf>
    <xf numFmtId="1" fontId="5" fillId="3" borderId="56" xfId="0" applyNumberFormat="1" applyFont="1" applyFill="1" applyBorder="1" applyAlignment="1">
      <alignment horizontal="right" vertical="top"/>
    </xf>
    <xf numFmtId="0" fontId="3" fillId="3" borderId="63" xfId="0" applyFont="1" applyFill="1" applyBorder="1" applyAlignment="1">
      <alignment vertical="top" wrapText="1"/>
    </xf>
    <xf numFmtId="0" fontId="3" fillId="3" borderId="68" xfId="0" applyFont="1" applyFill="1" applyBorder="1" applyAlignment="1">
      <alignment vertical="top" wrapText="1"/>
    </xf>
    <xf numFmtId="0" fontId="3" fillId="3" borderId="69" xfId="0" applyFont="1" applyFill="1" applyBorder="1" applyAlignment="1">
      <alignment vertical="top" wrapText="1"/>
    </xf>
    <xf numFmtId="49" fontId="5" fillId="17" borderId="63" xfId="0" applyNumberFormat="1" applyFont="1" applyFill="1" applyBorder="1" applyAlignment="1">
      <alignment horizontal="center" vertical="top"/>
    </xf>
    <xf numFmtId="1" fontId="5" fillId="17" borderId="22" xfId="0" applyNumberFormat="1" applyFont="1" applyFill="1" applyBorder="1" applyAlignment="1">
      <alignment horizontal="right" vertical="top"/>
    </xf>
    <xf numFmtId="1" fontId="5" fillId="5" borderId="22" xfId="0" applyNumberFormat="1" applyFont="1" applyFill="1" applyBorder="1" applyAlignment="1">
      <alignment horizontal="right" vertical="top"/>
    </xf>
    <xf numFmtId="1" fontId="5" fillId="5" borderId="56" xfId="0" applyNumberFormat="1" applyFont="1" applyFill="1" applyBorder="1" applyAlignment="1">
      <alignment horizontal="right" vertical="top"/>
    </xf>
    <xf numFmtId="1" fontId="5" fillId="5" borderId="63" xfId="0" applyNumberFormat="1" applyFont="1" applyFill="1" applyBorder="1" applyAlignment="1">
      <alignment horizontal="right" vertical="top"/>
    </xf>
    <xf numFmtId="0" fontId="5" fillId="0" borderId="0" xfId="0" applyFont="1" applyBorder="1" applyAlignment="1">
      <alignment horizontal="center" vertical="center" wrapText="1"/>
    </xf>
    <xf numFmtId="165" fontId="5" fillId="5" borderId="0" xfId="0" applyNumberFormat="1" applyFont="1" applyFill="1" applyBorder="1" applyAlignment="1">
      <alignment horizontal="center" vertical="top" wrapText="1"/>
    </xf>
    <xf numFmtId="165" fontId="3" fillId="0" borderId="0" xfId="0" applyNumberFormat="1" applyFont="1" applyBorder="1" applyAlignment="1">
      <alignment horizontal="center" vertical="top" wrapText="1"/>
    </xf>
    <xf numFmtId="0" fontId="5" fillId="6" borderId="0" xfId="0" applyNumberFormat="1" applyFont="1" applyFill="1" applyBorder="1" applyAlignment="1">
      <alignment horizontal="center" vertical="top" wrapText="1"/>
    </xf>
    <xf numFmtId="165" fontId="3" fillId="8" borderId="19" xfId="0" applyNumberFormat="1" applyFont="1" applyFill="1" applyBorder="1" applyAlignment="1">
      <alignment horizontal="center" vertical="top"/>
    </xf>
    <xf numFmtId="3" fontId="3" fillId="0" borderId="0" xfId="0" applyNumberFormat="1" applyFont="1" applyBorder="1" applyAlignment="1">
      <alignment vertical="top"/>
    </xf>
    <xf numFmtId="3" fontId="17" fillId="10" borderId="35" xfId="0" applyNumberFormat="1" applyFont="1" applyFill="1" applyBorder="1" applyAlignment="1">
      <alignment horizontal="right" vertical="top"/>
    </xf>
    <xf numFmtId="0" fontId="22" fillId="13" borderId="35" xfId="0" applyNumberFormat="1" applyFont="1" applyFill="1" applyBorder="1" applyAlignment="1">
      <alignment horizontal="left" vertical="top" wrapText="1"/>
    </xf>
    <xf numFmtId="49" fontId="3" fillId="2" borderId="34" xfId="0" applyNumberFormat="1" applyFont="1" applyFill="1" applyBorder="1" applyAlignment="1">
      <alignment horizontal="center" vertical="top" wrapText="1"/>
    </xf>
    <xf numFmtId="0" fontId="3" fillId="0" borderId="83" xfId="0" applyFont="1" applyBorder="1" applyAlignment="1">
      <alignment horizontal="center" vertical="top" wrapText="1"/>
    </xf>
    <xf numFmtId="49" fontId="3" fillId="2" borderId="17" xfId="0" applyNumberFormat="1" applyFont="1" applyFill="1" applyBorder="1" applyAlignment="1">
      <alignment horizontal="center" vertical="top"/>
    </xf>
    <xf numFmtId="0" fontId="5" fillId="13" borderId="30" xfId="0" applyFont="1" applyFill="1" applyBorder="1" applyAlignment="1">
      <alignment horizontal="center" vertical="center"/>
    </xf>
    <xf numFmtId="0" fontId="5" fillId="13" borderId="36" xfId="0" applyFont="1" applyFill="1" applyBorder="1" applyAlignment="1">
      <alignment horizontal="center" vertical="top" wrapText="1"/>
    </xf>
    <xf numFmtId="0" fontId="5" fillId="0" borderId="29" xfId="0" applyFont="1" applyBorder="1" applyAlignment="1">
      <alignment horizontal="center" vertical="center"/>
    </xf>
    <xf numFmtId="0" fontId="5" fillId="8" borderId="19" xfId="0" applyFont="1" applyFill="1" applyBorder="1" applyAlignment="1">
      <alignment horizontal="center" vertical="center"/>
    </xf>
    <xf numFmtId="1" fontId="3" fillId="0" borderId="0" xfId="0" applyNumberFormat="1" applyFont="1" applyAlignment="1">
      <alignment vertical="top"/>
    </xf>
    <xf numFmtId="49" fontId="5" fillId="13" borderId="62" xfId="0" applyNumberFormat="1" applyFont="1" applyFill="1" applyBorder="1" applyAlignment="1">
      <alignment horizontal="center" vertical="top"/>
    </xf>
    <xf numFmtId="0" fontId="3" fillId="8" borderId="6"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24" xfId="0" applyFont="1" applyFill="1" applyBorder="1" applyAlignment="1">
      <alignment horizontal="center" vertical="center"/>
    </xf>
    <xf numFmtId="49" fontId="5" fillId="8" borderId="50" xfId="0" applyNumberFormat="1" applyFont="1" applyFill="1" applyBorder="1" applyAlignment="1">
      <alignment horizontal="center" vertical="center"/>
    </xf>
    <xf numFmtId="49" fontId="5" fillId="13" borderId="0" xfId="0" applyNumberFormat="1" applyFont="1" applyFill="1" applyBorder="1" applyAlignment="1">
      <alignment horizontal="center" vertical="top"/>
    </xf>
    <xf numFmtId="0" fontId="3" fillId="8" borderId="51" xfId="0" applyFont="1" applyFill="1" applyBorder="1" applyAlignment="1">
      <alignment horizontal="left" vertical="top" wrapText="1"/>
    </xf>
    <xf numFmtId="0" fontId="3" fillId="0" borderId="39" xfId="0" applyFont="1" applyFill="1" applyBorder="1" applyAlignment="1">
      <alignment vertical="top" wrapText="1"/>
    </xf>
    <xf numFmtId="0" fontId="3" fillId="0" borderId="45" xfId="0" applyFont="1" applyFill="1" applyBorder="1" applyAlignment="1">
      <alignment vertical="top" wrapText="1"/>
    </xf>
    <xf numFmtId="0" fontId="3" fillId="3" borderId="35" xfId="0" applyFont="1" applyFill="1" applyBorder="1" applyAlignment="1">
      <alignment horizontal="center" vertical="top" wrapText="1"/>
    </xf>
    <xf numFmtId="0" fontId="3" fillId="3" borderId="36" xfId="0" applyFont="1" applyFill="1" applyBorder="1" applyAlignment="1">
      <alignment horizontal="center" vertical="top" wrapText="1"/>
    </xf>
    <xf numFmtId="49" fontId="5" fillId="0" borderId="106" xfId="0" applyNumberFormat="1" applyFont="1" applyBorder="1" applyAlignment="1">
      <alignment horizontal="center" vertical="top"/>
    </xf>
    <xf numFmtId="0" fontId="3" fillId="8" borderId="6" xfId="0" applyFont="1" applyFill="1" applyBorder="1" applyAlignment="1">
      <alignment horizontal="center" vertical="top"/>
    </xf>
    <xf numFmtId="0" fontId="3" fillId="8" borderId="24" xfId="0" applyFont="1" applyFill="1" applyBorder="1" applyAlignment="1">
      <alignment horizontal="center" vertical="top"/>
    </xf>
    <xf numFmtId="0" fontId="3" fillId="16" borderId="30" xfId="0" applyFont="1" applyFill="1" applyBorder="1" applyAlignment="1">
      <alignment vertical="center" wrapText="1"/>
    </xf>
    <xf numFmtId="0" fontId="5" fillId="16" borderId="30" xfId="0" applyFont="1" applyFill="1" applyBorder="1" applyAlignment="1">
      <alignment horizontal="center" vertical="center"/>
    </xf>
    <xf numFmtId="0" fontId="5" fillId="15" borderId="35" xfId="0" applyFont="1" applyFill="1" applyBorder="1" applyAlignment="1">
      <alignment horizontal="center" vertical="center"/>
    </xf>
    <xf numFmtId="0" fontId="3" fillId="8" borderId="7" xfId="0" applyFont="1" applyFill="1" applyBorder="1" applyAlignment="1">
      <alignment horizontal="center" vertical="top" wrapText="1"/>
    </xf>
    <xf numFmtId="49" fontId="5" fillId="8" borderId="62" xfId="0" applyNumberFormat="1" applyFont="1" applyFill="1" applyBorder="1" applyAlignment="1">
      <alignment horizontal="center" vertical="top" wrapText="1"/>
    </xf>
    <xf numFmtId="49" fontId="3" fillId="8" borderId="35" xfId="0" applyNumberFormat="1" applyFont="1" applyFill="1" applyBorder="1" applyAlignment="1">
      <alignment horizontal="center" vertical="top" wrapText="1"/>
    </xf>
    <xf numFmtId="49" fontId="5" fillId="12" borderId="26" xfId="0" applyNumberFormat="1" applyFont="1" applyFill="1" applyBorder="1" applyAlignment="1">
      <alignment horizontal="center" vertical="top"/>
    </xf>
    <xf numFmtId="0" fontId="3" fillId="8" borderId="111" xfId="0" applyFont="1" applyFill="1" applyBorder="1" applyAlignment="1">
      <alignment horizontal="center" vertical="center"/>
    </xf>
    <xf numFmtId="0" fontId="7" fillId="8" borderId="33" xfId="0" applyFont="1" applyFill="1" applyBorder="1" applyAlignment="1">
      <alignment horizontal="center" vertical="center" wrapText="1"/>
    </xf>
    <xf numFmtId="0" fontId="3" fillId="8" borderId="49" xfId="0" applyFont="1" applyFill="1" applyBorder="1" applyAlignment="1">
      <alignment horizontal="center" vertical="center" wrapText="1"/>
    </xf>
    <xf numFmtId="3" fontId="7" fillId="0" borderId="0" xfId="0" applyNumberFormat="1" applyFont="1" applyFill="1" applyAlignment="1">
      <alignment horizontal="left" vertical="top"/>
    </xf>
    <xf numFmtId="3" fontId="17" fillId="10" borderId="66" xfId="0" applyNumberFormat="1" applyFont="1" applyFill="1" applyBorder="1" applyAlignment="1">
      <alignment horizontal="right" vertical="top"/>
    </xf>
    <xf numFmtId="0" fontId="3" fillId="8" borderId="111" xfId="0" applyFont="1" applyFill="1" applyBorder="1" applyAlignment="1">
      <alignment horizontal="center" vertical="center" wrapText="1"/>
    </xf>
    <xf numFmtId="0" fontId="3" fillId="8" borderId="111" xfId="0" applyFont="1" applyFill="1" applyBorder="1" applyAlignment="1">
      <alignment horizontal="center" vertical="top"/>
    </xf>
    <xf numFmtId="0" fontId="3" fillId="8" borderId="83" xfId="0" applyFont="1" applyFill="1" applyBorder="1" applyAlignment="1">
      <alignment horizontal="center" vertical="center" wrapText="1"/>
    </xf>
    <xf numFmtId="0" fontId="3" fillId="8" borderId="83" xfId="0" applyFont="1" applyFill="1" applyBorder="1" applyAlignment="1">
      <alignment horizontal="center" vertical="top"/>
    </xf>
    <xf numFmtId="0" fontId="3" fillId="8" borderId="24" xfId="0" applyFont="1" applyFill="1" applyBorder="1" applyAlignment="1">
      <alignment horizontal="center" vertical="center" wrapText="1"/>
    </xf>
    <xf numFmtId="3" fontId="3" fillId="0" borderId="33" xfId="0" applyNumberFormat="1" applyFont="1" applyFill="1" applyBorder="1" applyAlignment="1">
      <alignment horizontal="center" vertical="top"/>
    </xf>
    <xf numFmtId="49" fontId="3" fillId="8" borderId="46" xfId="0" applyNumberFormat="1" applyFont="1" applyFill="1" applyBorder="1" applyAlignment="1">
      <alignment horizontal="center" vertical="top"/>
    </xf>
    <xf numFmtId="49" fontId="3" fillId="8" borderId="9" xfId="0" applyNumberFormat="1" applyFont="1" applyFill="1" applyBorder="1" applyAlignment="1">
      <alignment horizontal="center" vertical="top"/>
    </xf>
    <xf numFmtId="49" fontId="5" fillId="8" borderId="41" xfId="0" applyNumberFormat="1" applyFont="1" applyFill="1" applyBorder="1" applyAlignment="1">
      <alignment horizontal="center" vertical="top"/>
    </xf>
    <xf numFmtId="49" fontId="5" fillId="8" borderId="0" xfId="0" applyNumberFormat="1" applyFont="1" applyFill="1" applyBorder="1" applyAlignment="1">
      <alignment horizontal="center" vertical="top"/>
    </xf>
    <xf numFmtId="49" fontId="5" fillId="13" borderId="47" xfId="0" applyNumberFormat="1" applyFont="1" applyFill="1" applyBorder="1" applyAlignment="1">
      <alignment horizontal="center" vertical="top"/>
    </xf>
    <xf numFmtId="49" fontId="5" fillId="13" borderId="50" xfId="0" applyNumberFormat="1" applyFont="1" applyFill="1" applyBorder="1" applyAlignment="1">
      <alignment horizontal="center" vertical="top"/>
    </xf>
    <xf numFmtId="49" fontId="3" fillId="8" borderId="17" xfId="0" applyNumberFormat="1" applyFont="1" applyFill="1" applyBorder="1" applyAlignment="1">
      <alignment horizontal="center" vertical="top"/>
    </xf>
    <xf numFmtId="0" fontId="7" fillId="8" borderId="40" xfId="0" applyFont="1" applyFill="1" applyBorder="1" applyAlignment="1">
      <alignment horizontal="center" vertical="top"/>
    </xf>
    <xf numFmtId="49" fontId="5" fillId="3" borderId="79"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3" fillId="8" borderId="13" xfId="0" applyNumberFormat="1" applyFont="1" applyFill="1" applyBorder="1" applyAlignment="1">
      <alignment horizontal="center" vertical="top"/>
    </xf>
    <xf numFmtId="49" fontId="3" fillId="8"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3" fontId="3" fillId="8" borderId="34" xfId="0" applyNumberFormat="1" applyFont="1" applyFill="1" applyBorder="1" applyAlignment="1">
      <alignment horizontal="center" vertical="top" wrapText="1"/>
    </xf>
    <xf numFmtId="3" fontId="3" fillId="0" borderId="0" xfId="0" applyNumberFormat="1" applyFont="1" applyFill="1" applyAlignment="1">
      <alignment vertical="top"/>
    </xf>
    <xf numFmtId="49" fontId="5" fillId="12" borderId="17" xfId="0" applyNumberFormat="1" applyFont="1" applyFill="1" applyBorder="1" applyAlignment="1">
      <alignment horizontal="center" vertical="top"/>
    </xf>
    <xf numFmtId="49" fontId="5" fillId="16" borderId="0" xfId="0" applyNumberFormat="1" applyFont="1" applyFill="1" applyBorder="1" applyAlignment="1">
      <alignment horizontal="center" vertical="top"/>
    </xf>
    <xf numFmtId="0" fontId="3" fillId="0" borderId="9" xfId="0" applyFont="1" applyBorder="1" applyAlignment="1">
      <alignment horizontal="center" vertical="top" wrapText="1"/>
    </xf>
    <xf numFmtId="0" fontId="3" fillId="8" borderId="10" xfId="0" applyFont="1" applyFill="1" applyBorder="1" applyAlignment="1">
      <alignment horizontal="left" wrapText="1"/>
    </xf>
    <xf numFmtId="0" fontId="7" fillId="13" borderId="35" xfId="0" applyFont="1" applyFill="1" applyBorder="1" applyAlignment="1">
      <alignment vertical="top" wrapText="1"/>
    </xf>
    <xf numFmtId="3" fontId="3" fillId="8" borderId="71" xfId="0" applyNumberFormat="1" applyFont="1" applyFill="1" applyBorder="1" applyAlignment="1">
      <alignment horizontal="right" vertical="center"/>
    </xf>
    <xf numFmtId="0" fontId="7" fillId="0" borderId="31" xfId="0" applyFont="1" applyBorder="1" applyAlignment="1">
      <alignment vertical="top" wrapText="1"/>
    </xf>
    <xf numFmtId="0" fontId="7" fillId="13" borderId="36" xfId="0" applyFont="1" applyFill="1" applyBorder="1" applyAlignment="1">
      <alignment horizontal="center" vertical="center" wrapText="1"/>
    </xf>
    <xf numFmtId="0" fontId="7" fillId="8" borderId="19" xfId="0" applyFont="1" applyFill="1" applyBorder="1" applyAlignment="1">
      <alignment horizontal="center" vertical="center" wrapText="1"/>
    </xf>
    <xf numFmtId="3" fontId="3" fillId="0" borderId="19" xfId="0" applyNumberFormat="1" applyFont="1" applyFill="1" applyBorder="1" applyAlignment="1">
      <alignment horizontal="center" vertical="top"/>
    </xf>
    <xf numFmtId="3" fontId="3" fillId="0" borderId="21" xfId="0" applyNumberFormat="1" applyFont="1" applyFill="1" applyBorder="1" applyAlignment="1">
      <alignment horizontal="center" vertical="top" wrapText="1"/>
    </xf>
    <xf numFmtId="3" fontId="3" fillId="8" borderId="17" xfId="0" applyNumberFormat="1" applyFont="1" applyFill="1" applyBorder="1" applyAlignment="1">
      <alignment horizontal="center" vertical="top" wrapText="1"/>
    </xf>
    <xf numFmtId="49" fontId="5" fillId="15" borderId="77" xfId="0" applyNumberFormat="1" applyFont="1" applyFill="1" applyBorder="1" applyAlignment="1">
      <alignment horizontal="center" vertical="top"/>
    </xf>
    <xf numFmtId="49" fontId="5" fillId="15" borderId="40" xfId="0" applyNumberFormat="1" applyFont="1" applyFill="1" applyBorder="1" applyAlignment="1">
      <alignment horizontal="center" vertical="top"/>
    </xf>
    <xf numFmtId="0" fontId="3" fillId="8" borderId="31" xfId="0" applyFont="1" applyFill="1" applyBorder="1" applyAlignment="1">
      <alignment horizontal="left" vertical="top" wrapText="1"/>
    </xf>
    <xf numFmtId="165" fontId="3" fillId="8" borderId="70" xfId="0" applyNumberFormat="1" applyFont="1" applyFill="1" applyBorder="1" applyAlignment="1">
      <alignment horizontal="center" vertical="top"/>
    </xf>
    <xf numFmtId="165" fontId="3" fillId="2" borderId="40" xfId="0" applyNumberFormat="1" applyFont="1" applyFill="1" applyBorder="1" applyAlignment="1">
      <alignment horizontal="right" vertical="top"/>
    </xf>
    <xf numFmtId="0" fontId="3" fillId="8" borderId="0" xfId="0" applyFont="1" applyFill="1" applyBorder="1" applyAlignment="1">
      <alignment horizontal="center" vertical="center" textRotation="90" wrapText="1"/>
    </xf>
    <xf numFmtId="0" fontId="3" fillId="8" borderId="71" xfId="0" applyFont="1" applyFill="1" applyBorder="1" applyAlignment="1">
      <alignment horizontal="center" vertical="center" textRotation="90" wrapText="1"/>
    </xf>
    <xf numFmtId="0" fontId="7" fillId="8" borderId="0" xfId="0" applyFont="1" applyFill="1" applyBorder="1" applyAlignment="1">
      <alignment horizontal="center" vertical="center" textRotation="90" wrapText="1"/>
    </xf>
    <xf numFmtId="0" fontId="7" fillId="8" borderId="49" xfId="0" applyFont="1" applyFill="1" applyBorder="1" applyAlignment="1">
      <alignment horizontal="center" vertical="center" textRotation="90" wrapText="1"/>
    </xf>
    <xf numFmtId="0" fontId="3" fillId="8" borderId="41" xfId="0" applyFont="1" applyFill="1" applyBorder="1" applyAlignment="1">
      <alignment horizontal="center" vertical="center" textRotation="90" wrapText="1"/>
    </xf>
    <xf numFmtId="0" fontId="5" fillId="2" borderId="0" xfId="0" applyFont="1" applyFill="1" applyBorder="1" applyAlignment="1">
      <alignment horizontal="center" vertical="top" wrapText="1"/>
    </xf>
    <xf numFmtId="3" fontId="3" fillId="13" borderId="36" xfId="1" applyNumberFormat="1" applyFont="1" applyFill="1" applyBorder="1" applyAlignment="1">
      <alignment vertical="top"/>
    </xf>
    <xf numFmtId="0" fontId="5" fillId="0" borderId="13" xfId="0" applyFont="1" applyFill="1" applyBorder="1" applyAlignment="1">
      <alignment horizontal="left" vertical="top" wrapText="1"/>
    </xf>
    <xf numFmtId="0" fontId="3" fillId="8" borderId="13" xfId="0" applyFont="1" applyFill="1" applyBorder="1" applyAlignment="1">
      <alignment horizontal="center" vertical="center" textRotation="90" wrapText="1"/>
    </xf>
    <xf numFmtId="0" fontId="3" fillId="8" borderId="34" xfId="0" applyFont="1" applyFill="1" applyBorder="1" applyAlignment="1">
      <alignment horizontal="center" vertical="center" textRotation="90" wrapText="1"/>
    </xf>
    <xf numFmtId="0" fontId="3" fillId="8" borderId="19" xfId="0" applyFont="1" applyFill="1" applyBorder="1" applyAlignment="1">
      <alignment horizontal="center" vertical="center"/>
    </xf>
    <xf numFmtId="0" fontId="3" fillId="8" borderId="33" xfId="0" applyFont="1" applyFill="1" applyBorder="1" applyAlignment="1">
      <alignment horizontal="center" vertical="center"/>
    </xf>
    <xf numFmtId="0" fontId="24" fillId="8" borderId="41" xfId="0" applyFont="1" applyFill="1" applyBorder="1" applyAlignment="1">
      <alignment horizontal="center" vertical="center" textRotation="90" wrapText="1"/>
    </xf>
    <xf numFmtId="0" fontId="3" fillId="8" borderId="57" xfId="0" applyFont="1" applyFill="1" applyBorder="1" applyAlignment="1">
      <alignment horizontal="center" vertical="top" wrapText="1"/>
    </xf>
    <xf numFmtId="0" fontId="3" fillId="8" borderId="70" xfId="0" applyFont="1" applyFill="1" applyBorder="1" applyAlignment="1">
      <alignment horizontal="center" vertical="top" wrapText="1"/>
    </xf>
    <xf numFmtId="0" fontId="3" fillId="8" borderId="105" xfId="0" applyFont="1" applyFill="1" applyBorder="1" applyAlignment="1">
      <alignment horizontal="center" vertical="top" wrapText="1"/>
    </xf>
    <xf numFmtId="0" fontId="3" fillId="8" borderId="76" xfId="0" applyFont="1" applyFill="1" applyBorder="1" applyAlignment="1">
      <alignment horizontal="center" vertical="top" wrapText="1"/>
    </xf>
    <xf numFmtId="0" fontId="3" fillId="8" borderId="77" xfId="0" applyFont="1" applyFill="1" applyBorder="1" applyAlignment="1">
      <alignment horizontal="center" vertical="top" wrapText="1"/>
    </xf>
    <xf numFmtId="0" fontId="7" fillId="8" borderId="39" xfId="0" applyFont="1" applyFill="1" applyBorder="1" applyAlignment="1">
      <alignment horizontal="center" vertical="center" textRotation="90" wrapText="1"/>
    </xf>
    <xf numFmtId="0" fontId="7" fillId="8" borderId="20" xfId="0" applyFont="1" applyFill="1" applyBorder="1" applyAlignment="1">
      <alignment horizontal="center" vertical="center" textRotation="90" wrapText="1"/>
    </xf>
    <xf numFmtId="0" fontId="15" fillId="0" borderId="13" xfId="0" applyFont="1" applyFill="1" applyBorder="1" applyAlignment="1">
      <alignment horizontal="left" vertical="top" wrapText="1"/>
    </xf>
    <xf numFmtId="0" fontId="3" fillId="8" borderId="20" xfId="0" applyFont="1" applyFill="1" applyBorder="1" applyAlignment="1">
      <alignment horizontal="center" vertical="top" wrapText="1"/>
    </xf>
    <xf numFmtId="0" fontId="3" fillId="8" borderId="17" xfId="0" applyFont="1" applyFill="1" applyBorder="1" applyAlignment="1">
      <alignment vertical="center" wrapText="1"/>
    </xf>
    <xf numFmtId="0" fontId="3" fillId="8" borderId="34" xfId="0" applyFont="1" applyFill="1" applyBorder="1" applyAlignment="1">
      <alignment vertical="center" wrapText="1"/>
    </xf>
    <xf numFmtId="0" fontId="3" fillId="0" borderId="77" xfId="0" applyFont="1" applyBorder="1" applyAlignment="1">
      <alignment vertical="center" wrapText="1"/>
    </xf>
    <xf numFmtId="0" fontId="3" fillId="0" borderId="29" xfId="0" applyFont="1" applyBorder="1" applyAlignment="1">
      <alignment horizontal="center" vertical="center"/>
    </xf>
    <xf numFmtId="0" fontId="3" fillId="8" borderId="57" xfId="0" applyFont="1" applyFill="1" applyBorder="1" applyAlignment="1">
      <alignment vertical="center" wrapText="1"/>
    </xf>
    <xf numFmtId="0" fontId="3" fillId="8" borderId="1" xfId="0" applyFont="1" applyFill="1" applyBorder="1" applyAlignment="1">
      <alignment horizontal="center" vertical="center"/>
    </xf>
    <xf numFmtId="0" fontId="3" fillId="8" borderId="40" xfId="0" applyFont="1" applyFill="1" applyBorder="1" applyAlignment="1">
      <alignment vertical="center" wrapText="1"/>
    </xf>
    <xf numFmtId="0" fontId="3" fillId="8" borderId="70" xfId="0" applyFont="1" applyFill="1" applyBorder="1" applyAlignment="1">
      <alignment vertical="center" wrapText="1"/>
    </xf>
    <xf numFmtId="0" fontId="3" fillId="8" borderId="82" xfId="0" applyFont="1" applyFill="1" applyBorder="1" applyAlignment="1">
      <alignment horizontal="center" vertical="center"/>
    </xf>
    <xf numFmtId="0" fontId="3" fillId="8" borderId="94" xfId="0" applyFont="1" applyFill="1" applyBorder="1" applyAlignment="1">
      <alignment vertical="center" wrapText="1"/>
    </xf>
    <xf numFmtId="0" fontId="3" fillId="16" borderId="35" xfId="0" applyFont="1" applyFill="1" applyBorder="1" applyAlignment="1">
      <alignment vertical="center" wrapText="1"/>
    </xf>
    <xf numFmtId="49" fontId="5" fillId="2" borderId="13" xfId="0" applyNumberFormat="1" applyFont="1" applyFill="1" applyBorder="1" applyAlignment="1">
      <alignment horizontal="center" vertical="top" wrapText="1"/>
    </xf>
    <xf numFmtId="0" fontId="3" fillId="0" borderId="7" xfId="0" applyFont="1" applyBorder="1" applyAlignment="1">
      <alignment horizontal="center" vertical="top" wrapText="1"/>
    </xf>
    <xf numFmtId="3" fontId="3" fillId="2" borderId="12" xfId="0" applyNumberFormat="1" applyFont="1" applyFill="1" applyBorder="1" applyAlignment="1">
      <alignment horizontal="right" vertical="top"/>
    </xf>
    <xf numFmtId="0" fontId="3" fillId="8" borderId="12" xfId="0" applyFont="1" applyFill="1" applyBorder="1" applyAlignment="1">
      <alignment vertical="top" wrapText="1"/>
    </xf>
    <xf numFmtId="0" fontId="7" fillId="12" borderId="68" xfId="0" applyFont="1" applyFill="1" applyBorder="1" applyAlignment="1">
      <alignment vertical="top" wrapText="1"/>
    </xf>
    <xf numFmtId="0" fontId="7" fillId="12" borderId="69" xfId="0" applyNumberFormat="1" applyFont="1" applyFill="1" applyBorder="1" applyAlignment="1">
      <alignment horizontal="center" vertical="top" wrapText="1"/>
    </xf>
    <xf numFmtId="0" fontId="7" fillId="12" borderId="36" xfId="0" applyNumberFormat="1" applyFont="1" applyFill="1" applyBorder="1" applyAlignment="1">
      <alignment horizontal="center" vertical="top" wrapText="1"/>
    </xf>
    <xf numFmtId="0" fontId="3" fillId="0" borderId="12" xfId="0" applyFont="1" applyFill="1" applyBorder="1" applyAlignment="1">
      <alignment horizontal="left" vertical="top" wrapText="1"/>
    </xf>
    <xf numFmtId="165" fontId="5" fillId="5" borderId="7" xfId="0" applyNumberFormat="1" applyFont="1" applyFill="1" applyBorder="1" applyAlignment="1">
      <alignment horizontal="center" vertical="top" wrapText="1"/>
    </xf>
    <xf numFmtId="165" fontId="5" fillId="10" borderId="23" xfId="0" applyNumberFormat="1" applyFont="1" applyFill="1" applyBorder="1" applyAlignment="1">
      <alignment horizontal="center" vertical="top" wrapText="1"/>
    </xf>
    <xf numFmtId="165" fontId="3" fillId="8" borderId="23" xfId="0" applyNumberFormat="1" applyFont="1" applyFill="1" applyBorder="1" applyAlignment="1">
      <alignment horizontal="center" vertical="top" wrapText="1"/>
    </xf>
    <xf numFmtId="165" fontId="3" fillId="0" borderId="23" xfId="0" applyNumberFormat="1" applyFont="1" applyBorder="1" applyAlignment="1">
      <alignment horizontal="center" vertical="top" wrapText="1"/>
    </xf>
    <xf numFmtId="165" fontId="3" fillId="10" borderId="23" xfId="0" applyNumberFormat="1" applyFont="1" applyFill="1" applyBorder="1" applyAlignment="1">
      <alignment horizontal="center" vertical="top" wrapText="1"/>
    </xf>
    <xf numFmtId="165" fontId="5" fillId="5" borderId="23" xfId="0" applyNumberFormat="1" applyFont="1" applyFill="1" applyBorder="1" applyAlignment="1">
      <alignment horizontal="center" vertical="top" wrapText="1"/>
    </xf>
    <xf numFmtId="165" fontId="5" fillId="6" borderId="66" xfId="0" applyNumberFormat="1" applyFont="1" applyFill="1" applyBorder="1" applyAlignment="1">
      <alignment horizontal="center" vertical="top" wrapText="1"/>
    </xf>
    <xf numFmtId="0" fontId="7" fillId="8" borderId="17" xfId="0" applyFont="1" applyFill="1" applyBorder="1" applyAlignment="1">
      <alignment horizontal="center" vertical="center" textRotation="90" wrapText="1"/>
    </xf>
    <xf numFmtId="165" fontId="3" fillId="8" borderId="20" xfId="0" applyNumberFormat="1" applyFont="1" applyFill="1" applyBorder="1" applyAlignment="1">
      <alignment horizontal="center" vertical="top"/>
    </xf>
    <xf numFmtId="165" fontId="3" fillId="8" borderId="51" xfId="0" applyNumberFormat="1" applyFont="1" applyFill="1" applyBorder="1" applyAlignment="1">
      <alignment horizontal="center" vertical="top"/>
    </xf>
    <xf numFmtId="165" fontId="3" fillId="8" borderId="39" xfId="0" applyNumberFormat="1" applyFont="1" applyFill="1" applyBorder="1" applyAlignment="1">
      <alignment horizontal="center" vertical="top"/>
    </xf>
    <xf numFmtId="165" fontId="3" fillId="8" borderId="113" xfId="0" applyNumberFormat="1" applyFont="1" applyFill="1" applyBorder="1" applyAlignment="1">
      <alignment horizontal="center" vertical="top"/>
    </xf>
    <xf numFmtId="165" fontId="5" fillId="13" borderId="35" xfId="0" applyNumberFormat="1" applyFont="1" applyFill="1" applyBorder="1" applyAlignment="1">
      <alignment horizontal="center" vertical="top"/>
    </xf>
    <xf numFmtId="165" fontId="3" fillId="8" borderId="78" xfId="0" applyNumberFormat="1" applyFont="1" applyFill="1" applyBorder="1" applyAlignment="1">
      <alignment horizontal="center" vertical="top"/>
    </xf>
    <xf numFmtId="165" fontId="3" fillId="8" borderId="31" xfId="0" applyNumberFormat="1" applyFont="1" applyFill="1" applyBorder="1" applyAlignment="1">
      <alignment horizontal="center" vertical="top"/>
    </xf>
    <xf numFmtId="165" fontId="3" fillId="8" borderId="71" xfId="0" applyNumberFormat="1" applyFont="1" applyFill="1" applyBorder="1" applyAlignment="1">
      <alignment horizontal="center" vertical="top"/>
    </xf>
    <xf numFmtId="165" fontId="3" fillId="0" borderId="0" xfId="0" applyNumberFormat="1" applyFont="1" applyBorder="1" applyAlignment="1">
      <alignment horizontal="center" vertical="top"/>
    </xf>
    <xf numFmtId="165" fontId="3" fillId="8" borderId="49" xfId="0" applyNumberFormat="1" applyFont="1" applyFill="1" applyBorder="1" applyAlignment="1">
      <alignment horizontal="center" vertical="top"/>
    </xf>
    <xf numFmtId="165" fontId="3" fillId="8" borderId="0" xfId="0" applyNumberFormat="1" applyFont="1" applyFill="1" applyAlignment="1">
      <alignment horizontal="center" vertical="center"/>
    </xf>
    <xf numFmtId="165" fontId="3" fillId="8" borderId="0" xfId="0" applyNumberFormat="1" applyFont="1" applyFill="1" applyBorder="1" applyAlignment="1">
      <alignment horizontal="center" vertical="top"/>
    </xf>
    <xf numFmtId="165" fontId="3" fillId="8" borderId="6" xfId="0" applyNumberFormat="1" applyFont="1" applyFill="1" applyBorder="1" applyAlignment="1">
      <alignment horizontal="center" vertical="top"/>
    </xf>
    <xf numFmtId="165" fontId="3" fillId="8" borderId="24" xfId="0" applyNumberFormat="1" applyFont="1" applyFill="1" applyBorder="1" applyAlignment="1">
      <alignment horizontal="center" vertical="top"/>
    </xf>
    <xf numFmtId="165" fontId="3" fillId="8" borderId="111" xfId="0" applyNumberFormat="1" applyFont="1" applyFill="1" applyBorder="1" applyAlignment="1">
      <alignment horizontal="center" vertical="top"/>
    </xf>
    <xf numFmtId="165" fontId="3" fillId="8" borderId="23" xfId="0" applyNumberFormat="1" applyFont="1" applyFill="1" applyBorder="1" applyAlignment="1">
      <alignment horizontal="center" vertical="top"/>
    </xf>
    <xf numFmtId="165" fontId="5" fillId="13" borderId="66" xfId="0" applyNumberFormat="1" applyFont="1" applyFill="1" applyBorder="1" applyAlignment="1">
      <alignment horizontal="center" vertical="top"/>
    </xf>
    <xf numFmtId="165" fontId="5" fillId="3" borderId="68" xfId="0" applyNumberFormat="1" applyFont="1" applyFill="1" applyBorder="1" applyAlignment="1">
      <alignment horizontal="center" vertical="top"/>
    </xf>
    <xf numFmtId="165" fontId="3" fillId="8" borderId="42" xfId="0" applyNumberFormat="1" applyFont="1" applyFill="1" applyBorder="1" applyAlignment="1">
      <alignment horizontal="center" vertical="center"/>
    </xf>
    <xf numFmtId="165" fontId="3" fillId="8" borderId="0" xfId="0" applyNumberFormat="1" applyFont="1" applyFill="1" applyBorder="1" applyAlignment="1">
      <alignment horizontal="center" vertical="center"/>
    </xf>
    <xf numFmtId="165" fontId="3" fillId="8" borderId="49" xfId="0" applyNumberFormat="1" applyFont="1" applyFill="1" applyBorder="1" applyAlignment="1">
      <alignment horizontal="center" vertical="center"/>
    </xf>
    <xf numFmtId="165" fontId="3" fillId="8" borderId="118" xfId="0" applyNumberFormat="1" applyFont="1" applyFill="1" applyBorder="1" applyAlignment="1">
      <alignment horizontal="center" vertical="center"/>
    </xf>
    <xf numFmtId="165" fontId="5" fillId="16" borderId="30" xfId="0" applyNumberFormat="1" applyFont="1" applyFill="1" applyBorder="1" applyAlignment="1">
      <alignment horizontal="center" vertical="center"/>
    </xf>
    <xf numFmtId="165" fontId="5" fillId="3" borderId="25" xfId="0" applyNumberFormat="1" applyFont="1" applyFill="1" applyBorder="1" applyAlignment="1">
      <alignment horizontal="center" vertical="top"/>
    </xf>
    <xf numFmtId="165" fontId="3" fillId="2" borderId="10" xfId="0" applyNumberFormat="1" applyFont="1" applyFill="1" applyBorder="1" applyAlignment="1">
      <alignment horizontal="center" vertical="top"/>
    </xf>
    <xf numFmtId="165" fontId="3" fillId="8" borderId="57" xfId="0" applyNumberFormat="1" applyFont="1" applyFill="1" applyBorder="1" applyAlignment="1">
      <alignment horizontal="center" vertical="top"/>
    </xf>
    <xf numFmtId="165" fontId="5" fillId="16" borderId="35" xfId="0" applyNumberFormat="1" applyFont="1" applyFill="1" applyBorder="1" applyAlignment="1">
      <alignment horizontal="center" vertical="center"/>
    </xf>
    <xf numFmtId="165" fontId="3" fillId="10" borderId="73" xfId="0" applyNumberFormat="1" applyFont="1" applyFill="1" applyBorder="1" applyAlignment="1">
      <alignment horizontal="center" vertical="top"/>
    </xf>
    <xf numFmtId="165" fontId="11" fillId="8" borderId="40" xfId="0" applyNumberFormat="1" applyFont="1" applyFill="1" applyBorder="1" applyAlignment="1">
      <alignment horizontal="center" vertical="top"/>
    </xf>
    <xf numFmtId="165" fontId="3" fillId="0" borderId="40" xfId="0" applyNumberFormat="1" applyFont="1" applyBorder="1" applyAlignment="1">
      <alignment horizontal="center" vertical="top"/>
    </xf>
    <xf numFmtId="165" fontId="5" fillId="3" borderId="30" xfId="0" applyNumberFormat="1" applyFont="1" applyFill="1" applyBorder="1" applyAlignment="1">
      <alignment horizontal="center" vertical="top"/>
    </xf>
    <xf numFmtId="165" fontId="3" fillId="8" borderId="94" xfId="0" applyNumberFormat="1" applyFont="1" applyFill="1" applyBorder="1" applyAlignment="1">
      <alignment horizontal="center" vertical="top"/>
    </xf>
    <xf numFmtId="165" fontId="3" fillId="2" borderId="57" xfId="0" applyNumberFormat="1" applyFont="1" applyFill="1" applyBorder="1" applyAlignment="1">
      <alignment horizontal="center" vertical="top"/>
    </xf>
    <xf numFmtId="165" fontId="3" fillId="0" borderId="70" xfId="0" applyNumberFormat="1" applyFont="1" applyBorder="1" applyAlignment="1">
      <alignment horizontal="center" vertical="top"/>
    </xf>
    <xf numFmtId="165" fontId="5" fillId="13" borderId="35" xfId="0" applyNumberFormat="1" applyFont="1" applyFill="1" applyBorder="1" applyAlignment="1">
      <alignment horizontal="center" vertical="center"/>
    </xf>
    <xf numFmtId="165" fontId="5" fillId="3" borderId="35" xfId="0" applyNumberFormat="1" applyFont="1" applyFill="1" applyBorder="1" applyAlignment="1">
      <alignment horizontal="center" vertical="top"/>
    </xf>
    <xf numFmtId="165" fontId="5" fillId="14" borderId="63" xfId="0" applyNumberFormat="1" applyFont="1" applyFill="1" applyBorder="1" applyAlignment="1">
      <alignment horizontal="center" vertical="top"/>
    </xf>
    <xf numFmtId="165" fontId="5" fillId="5" borderId="63" xfId="0" applyNumberFormat="1" applyFont="1" applyFill="1" applyBorder="1" applyAlignment="1">
      <alignment horizontal="center" vertical="top"/>
    </xf>
    <xf numFmtId="49" fontId="5" fillId="12" borderId="47" xfId="0" applyNumberFormat="1" applyFont="1" applyFill="1" applyBorder="1" applyAlignment="1">
      <alignment horizontal="center" vertical="top"/>
    </xf>
    <xf numFmtId="49" fontId="5" fillId="16" borderId="47" xfId="0" applyNumberFormat="1" applyFont="1" applyFill="1" applyBorder="1" applyAlignment="1">
      <alignment horizontal="center" vertical="top"/>
    </xf>
    <xf numFmtId="49" fontId="5" fillId="16" borderId="50" xfId="0" applyNumberFormat="1" applyFont="1" applyFill="1" applyBorder="1" applyAlignment="1">
      <alignment horizontal="center" vertical="top"/>
    </xf>
    <xf numFmtId="0" fontId="3" fillId="8" borderId="19" xfId="0" applyFont="1" applyFill="1" applyBorder="1" applyAlignment="1">
      <alignment horizontal="center" vertical="top"/>
    </xf>
    <xf numFmtId="0" fontId="3" fillId="2" borderId="34" xfId="0" applyFont="1" applyFill="1" applyBorder="1" applyAlignment="1">
      <alignment horizontal="left" vertical="top" wrapText="1"/>
    </xf>
    <xf numFmtId="3" fontId="3" fillId="0" borderId="38" xfId="0" applyNumberFormat="1" applyFont="1" applyFill="1" applyBorder="1" applyAlignment="1">
      <alignment horizontal="center" vertical="center" textRotation="90" wrapText="1"/>
    </xf>
    <xf numFmtId="49" fontId="9" fillId="8" borderId="34" xfId="0" applyNumberFormat="1" applyFont="1" applyFill="1" applyBorder="1" applyAlignment="1">
      <alignment horizontal="center" vertical="center" textRotation="90" wrapText="1"/>
    </xf>
    <xf numFmtId="0" fontId="7" fillId="8" borderId="34" xfId="0" applyFont="1" applyFill="1" applyBorder="1" applyAlignment="1">
      <alignment horizontal="center" vertical="center" textRotation="90" wrapText="1"/>
    </xf>
    <xf numFmtId="0" fontId="3" fillId="8" borderId="111" xfId="0" applyFont="1" applyFill="1" applyBorder="1" applyAlignment="1">
      <alignment horizontal="center" vertical="top" wrapText="1"/>
    </xf>
    <xf numFmtId="165" fontId="3" fillId="8" borderId="118" xfId="0" applyNumberFormat="1" applyFont="1" applyFill="1" applyBorder="1" applyAlignment="1">
      <alignment horizontal="center" vertical="top"/>
    </xf>
    <xf numFmtId="0" fontId="9" fillId="8" borderId="0" xfId="0" applyFont="1" applyFill="1" applyBorder="1" applyAlignment="1">
      <alignment horizontal="center" vertical="center" textRotation="90" wrapText="1"/>
    </xf>
    <xf numFmtId="0" fontId="9" fillId="8" borderId="20" xfId="0" applyFont="1" applyFill="1" applyBorder="1" applyAlignment="1">
      <alignment horizontal="center" vertical="center" textRotation="90" wrapText="1"/>
    </xf>
    <xf numFmtId="3" fontId="2" fillId="0" borderId="2" xfId="0" applyNumberFormat="1" applyFont="1" applyBorder="1" applyAlignment="1">
      <alignment horizontal="center" vertical="top" textRotation="90" wrapText="1"/>
    </xf>
    <xf numFmtId="0" fontId="3" fillId="0" borderId="58" xfId="0" applyFont="1" applyBorder="1" applyAlignment="1">
      <alignment horizontal="center" vertical="center" textRotation="90" wrapText="1"/>
    </xf>
    <xf numFmtId="0" fontId="5" fillId="2" borderId="58" xfId="0" applyFont="1" applyFill="1" applyBorder="1" applyAlignment="1">
      <alignment horizontal="center" vertical="top" wrapText="1"/>
    </xf>
    <xf numFmtId="0" fontId="5" fillId="2" borderId="13" xfId="0" applyFont="1" applyFill="1" applyBorder="1" applyAlignment="1">
      <alignment horizontal="left" vertical="top" wrapText="1"/>
    </xf>
    <xf numFmtId="0" fontId="3" fillId="0" borderId="106" xfId="0" applyFont="1" applyBorder="1" applyAlignment="1">
      <alignment horizontal="left" vertical="top" wrapText="1"/>
    </xf>
    <xf numFmtId="0" fontId="5" fillId="8" borderId="72" xfId="0" applyFont="1" applyFill="1" applyBorder="1" applyAlignment="1">
      <alignment horizontal="center" vertical="top" wrapText="1"/>
    </xf>
    <xf numFmtId="0" fontId="5" fillId="8" borderId="75" xfId="0" applyFont="1" applyFill="1" applyBorder="1" applyAlignment="1">
      <alignment horizontal="center" vertical="top" wrapText="1"/>
    </xf>
    <xf numFmtId="0" fontId="3" fillId="2" borderId="26" xfId="0" applyFont="1" applyFill="1" applyBorder="1" applyAlignment="1">
      <alignment vertical="top" wrapText="1"/>
    </xf>
    <xf numFmtId="0" fontId="5" fillId="8" borderId="39" xfId="0" applyFont="1" applyFill="1" applyBorder="1" applyAlignment="1">
      <alignment horizontal="center" vertical="top" wrapText="1"/>
    </xf>
    <xf numFmtId="0" fontId="3" fillId="2" borderId="26" xfId="0" applyFont="1" applyFill="1" applyBorder="1" applyAlignment="1">
      <alignment horizontal="left" vertical="top" wrapText="1"/>
    </xf>
    <xf numFmtId="49" fontId="5" fillId="8" borderId="53" xfId="0" applyNumberFormat="1" applyFont="1" applyFill="1" applyBorder="1" applyAlignment="1">
      <alignment horizontal="center" vertical="top" wrapText="1"/>
    </xf>
    <xf numFmtId="3" fontId="9" fillId="0" borderId="34" xfId="0" applyNumberFormat="1" applyFont="1" applyBorder="1" applyAlignment="1">
      <alignment horizontal="center" vertical="top"/>
    </xf>
    <xf numFmtId="3" fontId="9" fillId="2" borderId="17" xfId="0" applyNumberFormat="1" applyFont="1" applyFill="1" applyBorder="1" applyAlignment="1">
      <alignment horizontal="center" vertical="top" wrapText="1"/>
    </xf>
    <xf numFmtId="0" fontId="5" fillId="2" borderId="13" xfId="0" applyFont="1" applyFill="1" applyBorder="1" applyAlignment="1">
      <alignment horizontal="center" vertical="top" wrapText="1"/>
    </xf>
    <xf numFmtId="3" fontId="9" fillId="0" borderId="85" xfId="0" applyNumberFormat="1" applyFont="1" applyBorder="1" applyAlignment="1">
      <alignment horizontal="center" vertical="center"/>
    </xf>
    <xf numFmtId="0" fontId="2" fillId="8" borderId="13" xfId="0" applyFont="1" applyFill="1" applyBorder="1" applyAlignment="1">
      <alignment horizontal="center" vertical="center" textRotation="90"/>
    </xf>
    <xf numFmtId="0" fontId="2" fillId="8" borderId="58" xfId="0" applyFont="1" applyFill="1" applyBorder="1" applyAlignment="1">
      <alignment horizontal="center" vertical="center" textRotation="90" wrapText="1"/>
    </xf>
    <xf numFmtId="0" fontId="5" fillId="2" borderId="71" xfId="0" applyFont="1" applyFill="1" applyBorder="1" applyAlignment="1">
      <alignment horizontal="center" vertical="top" wrapText="1"/>
    </xf>
    <xf numFmtId="0" fontId="5" fillId="2" borderId="49" xfId="0" applyFont="1" applyFill="1" applyBorder="1" applyAlignment="1">
      <alignment horizontal="center" vertical="top" wrapText="1"/>
    </xf>
    <xf numFmtId="0" fontId="5" fillId="0" borderId="13" xfId="0" applyFont="1" applyBorder="1" applyAlignment="1">
      <alignment vertical="top" wrapText="1"/>
    </xf>
    <xf numFmtId="0" fontId="16" fillId="2" borderId="17" xfId="0" applyFont="1" applyFill="1" applyBorder="1" applyAlignment="1">
      <alignment horizontal="left" vertical="top" wrapText="1"/>
    </xf>
    <xf numFmtId="0" fontId="3" fillId="2" borderId="85"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49" fontId="2" fillId="0" borderId="2" xfId="0" applyNumberFormat="1" applyFont="1" applyFill="1" applyBorder="1" applyAlignment="1">
      <alignment horizontal="center" vertical="center" textRotation="90" wrapText="1"/>
    </xf>
    <xf numFmtId="3" fontId="3" fillId="8" borderId="19" xfId="0" applyNumberFormat="1" applyFont="1" applyFill="1" applyBorder="1" applyAlignment="1">
      <alignment vertical="top" wrapText="1"/>
    </xf>
    <xf numFmtId="0" fontId="2" fillId="8" borderId="0" xfId="0" applyFont="1" applyFill="1" applyBorder="1" applyAlignment="1">
      <alignment horizontal="center" vertical="center" textRotation="90" wrapText="1"/>
    </xf>
    <xf numFmtId="49" fontId="5" fillId="16" borderId="17" xfId="0" applyNumberFormat="1" applyFont="1" applyFill="1" applyBorder="1" applyAlignment="1">
      <alignment horizontal="center" vertical="top"/>
    </xf>
    <xf numFmtId="49" fontId="5" fillId="8" borderId="48" xfId="0" applyNumberFormat="1" applyFont="1" applyFill="1" applyBorder="1" applyAlignment="1">
      <alignment horizontal="center" vertical="top"/>
    </xf>
    <xf numFmtId="49" fontId="5" fillId="8" borderId="32" xfId="0" applyNumberFormat="1" applyFont="1" applyFill="1" applyBorder="1" applyAlignment="1">
      <alignment horizontal="center" vertical="center"/>
    </xf>
    <xf numFmtId="0" fontId="3" fillId="8" borderId="105" xfId="0" applyFont="1" applyFill="1" applyBorder="1" applyAlignment="1">
      <alignment vertical="center" wrapText="1"/>
    </xf>
    <xf numFmtId="3" fontId="5" fillId="8" borderId="28" xfId="0" applyNumberFormat="1" applyFont="1" applyFill="1" applyBorder="1" applyAlignment="1">
      <alignment horizontal="center" vertical="top" wrapText="1"/>
    </xf>
    <xf numFmtId="3" fontId="5" fillId="8" borderId="17" xfId="0" applyNumberFormat="1" applyFont="1" applyFill="1" applyBorder="1" applyAlignment="1">
      <alignment horizontal="center" vertical="top" wrapText="1"/>
    </xf>
    <xf numFmtId="165" fontId="3" fillId="8" borderId="46" xfId="0" applyNumberFormat="1" applyFont="1" applyFill="1" applyBorder="1" applyAlignment="1">
      <alignment horizontal="center" vertical="top"/>
    </xf>
    <xf numFmtId="0" fontId="3" fillId="8" borderId="2" xfId="0" applyFont="1" applyFill="1" applyBorder="1" applyAlignment="1">
      <alignment horizontal="center" vertical="center" textRotation="90" wrapText="1"/>
    </xf>
    <xf numFmtId="49" fontId="2" fillId="0" borderId="2" xfId="0" applyNumberFormat="1" applyFont="1" applyBorder="1" applyAlignment="1">
      <alignment horizontal="center" vertical="top" textRotation="90" wrapText="1"/>
    </xf>
    <xf numFmtId="0" fontId="3" fillId="0" borderId="76" xfId="0" applyFont="1" applyFill="1" applyBorder="1" applyAlignment="1">
      <alignment horizontal="center" vertical="top" wrapText="1"/>
    </xf>
    <xf numFmtId="165" fontId="3" fillId="2" borderId="23" xfId="0" applyNumberFormat="1" applyFont="1" applyFill="1" applyBorder="1" applyAlignment="1">
      <alignment horizontal="center" vertical="top"/>
    </xf>
    <xf numFmtId="0" fontId="3" fillId="8" borderId="20" xfId="0" applyFont="1" applyFill="1" applyBorder="1" applyAlignment="1">
      <alignment vertical="top" wrapText="1"/>
    </xf>
    <xf numFmtId="165" fontId="3" fillId="8" borderId="10" xfId="0" applyNumberFormat="1" applyFont="1" applyFill="1" applyBorder="1" applyAlignment="1">
      <alignment horizontal="center" vertical="top"/>
    </xf>
    <xf numFmtId="0" fontId="3" fillId="8" borderId="10" xfId="0" applyFont="1" applyFill="1" applyBorder="1" applyAlignment="1">
      <alignment horizontal="left" vertical="top" wrapText="1"/>
    </xf>
    <xf numFmtId="165" fontId="3" fillId="8" borderId="45" xfId="0" applyNumberFormat="1" applyFont="1" applyFill="1" applyBorder="1" applyAlignment="1">
      <alignment horizontal="center" vertical="top"/>
    </xf>
    <xf numFmtId="165" fontId="3" fillId="8" borderId="42" xfId="0" applyNumberFormat="1" applyFont="1" applyFill="1" applyBorder="1" applyAlignment="1">
      <alignment horizontal="center" vertical="top"/>
    </xf>
    <xf numFmtId="165" fontId="3" fillId="8" borderId="43" xfId="0" applyNumberFormat="1" applyFont="1" applyFill="1" applyBorder="1" applyAlignment="1">
      <alignment horizontal="center" vertical="top"/>
    </xf>
    <xf numFmtId="165" fontId="3" fillId="2" borderId="49" xfId="0" applyNumberFormat="1" applyFont="1" applyFill="1" applyBorder="1" applyAlignment="1">
      <alignment horizontal="center" vertical="top"/>
    </xf>
    <xf numFmtId="165" fontId="5" fillId="13" borderId="30" xfId="0" applyNumberFormat="1" applyFont="1" applyFill="1" applyBorder="1" applyAlignment="1">
      <alignment horizontal="center" vertical="top"/>
    </xf>
    <xf numFmtId="165" fontId="3" fillId="8" borderId="41" xfId="0" applyNumberFormat="1" applyFont="1" applyFill="1" applyBorder="1" applyAlignment="1">
      <alignment horizontal="center" vertical="top"/>
    </xf>
    <xf numFmtId="3" fontId="3" fillId="8" borderId="41" xfId="0" applyNumberFormat="1" applyFont="1" applyFill="1" applyBorder="1" applyAlignment="1">
      <alignment horizontal="right" vertical="center"/>
    </xf>
    <xf numFmtId="165" fontId="3" fillId="8" borderId="77" xfId="0" applyNumberFormat="1" applyFont="1" applyFill="1" applyBorder="1" applyAlignment="1">
      <alignment horizontal="center" vertical="top"/>
    </xf>
    <xf numFmtId="165" fontId="3" fillId="10" borderId="35" xfId="0" applyNumberFormat="1" applyFont="1" applyFill="1" applyBorder="1" applyAlignment="1">
      <alignment horizontal="center" vertical="top"/>
    </xf>
    <xf numFmtId="0" fontId="3" fillId="8" borderId="0" xfId="0" applyFont="1" applyFill="1" applyBorder="1" applyAlignment="1">
      <alignment vertical="top" wrapText="1"/>
    </xf>
    <xf numFmtId="0" fontId="41" fillId="0" borderId="0" xfId="0" applyFont="1"/>
    <xf numFmtId="0" fontId="14" fillId="0" borderId="78" xfId="0" applyFont="1" applyBorder="1" applyAlignment="1">
      <alignment horizontal="center" vertical="center" wrapText="1"/>
    </xf>
    <xf numFmtId="0" fontId="3" fillId="0" borderId="74" xfId="0" applyFont="1" applyBorder="1" applyAlignment="1">
      <alignment horizontal="center" vertical="center" textRotation="90"/>
    </xf>
    <xf numFmtId="165" fontId="3" fillId="0" borderId="9" xfId="0" applyNumberFormat="1" applyFont="1" applyBorder="1" applyAlignment="1">
      <alignment horizontal="center" vertical="top"/>
    </xf>
    <xf numFmtId="165" fontId="3" fillId="0" borderId="49" xfId="0" applyNumberFormat="1" applyFont="1" applyBorder="1" applyAlignment="1">
      <alignment horizontal="center" vertical="top"/>
    </xf>
    <xf numFmtId="165" fontId="3" fillId="0" borderId="24" xfId="0" applyNumberFormat="1" applyFont="1" applyBorder="1" applyAlignment="1">
      <alignment horizontal="center" vertical="top"/>
    </xf>
    <xf numFmtId="165" fontId="3" fillId="2" borderId="90" xfId="0" applyNumberFormat="1" applyFont="1" applyFill="1" applyBorder="1" applyAlignment="1">
      <alignment horizontal="center" vertical="top"/>
    </xf>
    <xf numFmtId="0" fontId="3" fillId="2" borderId="50" xfId="0" applyNumberFormat="1" applyFont="1" applyFill="1" applyBorder="1" applyAlignment="1">
      <alignment horizontal="center" vertical="top"/>
    </xf>
    <xf numFmtId="3" fontId="3" fillId="0" borderId="48" xfId="0" applyNumberFormat="1" applyFont="1" applyFill="1" applyBorder="1" applyAlignment="1">
      <alignment horizontal="center" vertical="top" wrapText="1"/>
    </xf>
    <xf numFmtId="49" fontId="3" fillId="8" borderId="86" xfId="0" applyNumberFormat="1" applyFont="1" applyFill="1" applyBorder="1" applyAlignment="1">
      <alignment horizontal="center" vertical="top" wrapText="1"/>
    </xf>
    <xf numFmtId="3" fontId="3" fillId="8" borderId="32" xfId="1" applyNumberFormat="1" applyFont="1" applyFill="1" applyBorder="1" applyAlignment="1">
      <alignment horizontal="center" vertical="top"/>
    </xf>
    <xf numFmtId="3" fontId="3" fillId="8" borderId="50" xfId="0" applyNumberFormat="1" applyFont="1" applyFill="1" applyBorder="1" applyAlignment="1">
      <alignment horizontal="center" vertical="top" wrapText="1"/>
    </xf>
    <xf numFmtId="3" fontId="3" fillId="2" borderId="48"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13" borderId="30" xfId="1" applyNumberFormat="1" applyFont="1" applyFill="1" applyBorder="1" applyAlignment="1">
      <alignment vertical="top"/>
    </xf>
    <xf numFmtId="165" fontId="3" fillId="0" borderId="14" xfId="0" applyNumberFormat="1" applyFont="1" applyFill="1" applyBorder="1" applyAlignment="1">
      <alignment horizontal="center" vertical="top" wrapText="1"/>
    </xf>
    <xf numFmtId="165" fontId="3" fillId="8" borderId="50" xfId="0" applyNumberFormat="1" applyFont="1" applyFill="1" applyBorder="1" applyAlignment="1">
      <alignment horizontal="center" vertical="top" wrapText="1"/>
    </xf>
    <xf numFmtId="3" fontId="3" fillId="8" borderId="48" xfId="0" applyNumberFormat="1" applyFont="1" applyFill="1" applyBorder="1" applyAlignment="1">
      <alignment horizontal="center" vertical="top" wrapText="1"/>
    </xf>
    <xf numFmtId="3" fontId="3" fillId="8" borderId="37" xfId="0" applyNumberFormat="1" applyFont="1" applyFill="1" applyBorder="1" applyAlignment="1">
      <alignment horizontal="center" vertical="top" wrapText="1"/>
    </xf>
    <xf numFmtId="1" fontId="3" fillId="8" borderId="50" xfId="0" applyNumberFormat="1" applyFont="1" applyFill="1" applyBorder="1" applyAlignment="1">
      <alignment horizontal="center" vertical="top" wrapText="1"/>
    </xf>
    <xf numFmtId="3" fontId="3" fillId="8" borderId="32" xfId="0" applyNumberFormat="1" applyFont="1" applyFill="1" applyBorder="1" applyAlignment="1">
      <alignment horizontal="center" vertical="top" wrapText="1"/>
    </xf>
    <xf numFmtId="3" fontId="3" fillId="8" borderId="50" xfId="0" applyNumberFormat="1" applyFont="1" applyFill="1" applyBorder="1" applyAlignment="1">
      <alignment horizontal="center" wrapText="1"/>
    </xf>
    <xf numFmtId="164" fontId="2" fillId="8" borderId="48" xfId="0" applyNumberFormat="1" applyFont="1" applyFill="1" applyBorder="1" applyAlignment="1">
      <alignment horizontal="center" vertical="center" wrapText="1"/>
    </xf>
    <xf numFmtId="165" fontId="3" fillId="0" borderId="32" xfId="0" applyNumberFormat="1" applyFont="1" applyFill="1" applyBorder="1" applyAlignment="1">
      <alignment horizontal="center" vertical="top" wrapText="1"/>
    </xf>
    <xf numFmtId="165" fontId="3" fillId="0" borderId="110" xfId="0" applyNumberFormat="1" applyFont="1" applyFill="1" applyBorder="1" applyAlignment="1">
      <alignment horizontal="center" vertical="top" wrapText="1"/>
    </xf>
    <xf numFmtId="1" fontId="3" fillId="0" borderId="50" xfId="0" applyNumberFormat="1" applyFont="1" applyFill="1" applyBorder="1" applyAlignment="1">
      <alignment horizontal="center" vertical="top" wrapText="1"/>
    </xf>
    <xf numFmtId="3" fontId="3" fillId="0" borderId="37" xfId="0" applyNumberFormat="1" applyFont="1" applyFill="1" applyBorder="1" applyAlignment="1">
      <alignment horizontal="center" vertical="top" wrapText="1"/>
    </xf>
    <xf numFmtId="165" fontId="3" fillId="2" borderId="120" xfId="0" applyNumberFormat="1" applyFont="1" applyFill="1" applyBorder="1" applyAlignment="1">
      <alignment horizontal="center" vertical="top"/>
    </xf>
    <xf numFmtId="3" fontId="3" fillId="0" borderId="52" xfId="0" applyNumberFormat="1" applyFont="1" applyFill="1" applyBorder="1" applyAlignment="1">
      <alignment horizontal="center" vertical="top" wrapText="1"/>
    </xf>
    <xf numFmtId="3" fontId="3" fillId="0" borderId="92" xfId="0" applyNumberFormat="1" applyFont="1" applyFill="1" applyBorder="1" applyAlignment="1">
      <alignment horizontal="center" vertical="top" wrapText="1"/>
    </xf>
    <xf numFmtId="49" fontId="3" fillId="8" borderId="92" xfId="0" applyNumberFormat="1" applyFont="1" applyFill="1" applyBorder="1" applyAlignment="1">
      <alignment horizontal="center" vertical="top" wrapText="1"/>
    </xf>
    <xf numFmtId="3" fontId="3" fillId="8" borderId="53" xfId="0" applyNumberFormat="1" applyFont="1" applyFill="1" applyBorder="1" applyAlignment="1">
      <alignment horizontal="center" vertical="top" wrapText="1"/>
    </xf>
    <xf numFmtId="3" fontId="3" fillId="2" borderId="52" xfId="0" applyNumberFormat="1" applyFont="1" applyFill="1" applyBorder="1" applyAlignment="1">
      <alignment horizontal="center" vertical="top"/>
    </xf>
    <xf numFmtId="3" fontId="3" fillId="0" borderId="55" xfId="0" applyNumberFormat="1" applyFont="1" applyFill="1" applyBorder="1" applyAlignment="1">
      <alignment horizontal="center" vertical="top"/>
    </xf>
    <xf numFmtId="165" fontId="3" fillId="0" borderId="65" xfId="0" applyNumberFormat="1" applyFont="1" applyFill="1" applyBorder="1" applyAlignment="1">
      <alignment horizontal="center" vertical="top" wrapText="1"/>
    </xf>
    <xf numFmtId="165" fontId="3" fillId="8" borderId="53" xfId="0" applyNumberFormat="1" applyFont="1" applyFill="1" applyBorder="1" applyAlignment="1">
      <alignment horizontal="center" vertical="top" wrapText="1"/>
    </xf>
    <xf numFmtId="3" fontId="3" fillId="8" borderId="52" xfId="0" applyNumberFormat="1" applyFont="1" applyFill="1" applyBorder="1" applyAlignment="1">
      <alignment horizontal="center" vertical="top" wrapText="1"/>
    </xf>
    <xf numFmtId="1" fontId="3" fillId="8" borderId="53" xfId="0" applyNumberFormat="1" applyFont="1" applyFill="1" applyBorder="1" applyAlignment="1">
      <alignment horizontal="center" vertical="top" wrapText="1"/>
    </xf>
    <xf numFmtId="3" fontId="3" fillId="8" borderId="55" xfId="0" applyNumberFormat="1" applyFont="1" applyFill="1" applyBorder="1" applyAlignment="1">
      <alignment horizontal="center" vertical="top" wrapText="1"/>
    </xf>
    <xf numFmtId="3" fontId="3" fillId="8" borderId="53" xfId="0" applyNumberFormat="1" applyFont="1" applyFill="1" applyBorder="1" applyAlignment="1">
      <alignment horizontal="center" wrapText="1"/>
    </xf>
    <xf numFmtId="164" fontId="2" fillId="8" borderId="52" xfId="0" applyNumberFormat="1" applyFont="1" applyFill="1" applyBorder="1" applyAlignment="1">
      <alignment horizontal="center" vertical="center" wrapText="1"/>
    </xf>
    <xf numFmtId="165" fontId="3" fillId="2" borderId="89" xfId="0" applyNumberFormat="1" applyFont="1" applyFill="1" applyBorder="1" applyAlignment="1">
      <alignment horizontal="center" vertical="top"/>
    </xf>
    <xf numFmtId="3" fontId="3" fillId="8" borderId="17" xfId="1" applyNumberFormat="1" applyFont="1" applyFill="1" applyBorder="1" applyAlignment="1">
      <alignment horizontal="center" vertical="top"/>
    </xf>
    <xf numFmtId="3" fontId="3" fillId="8" borderId="34" xfId="1" applyNumberFormat="1" applyFont="1" applyFill="1" applyBorder="1" applyAlignment="1">
      <alignment horizontal="center" vertical="top"/>
    </xf>
    <xf numFmtId="3" fontId="3" fillId="2" borderId="21" xfId="0" applyNumberFormat="1" applyFont="1" applyFill="1" applyBorder="1" applyAlignment="1">
      <alignment horizontal="center" vertical="top"/>
    </xf>
    <xf numFmtId="165" fontId="3" fillId="0" borderId="13" xfId="0" applyNumberFormat="1" applyFont="1" applyFill="1" applyBorder="1" applyAlignment="1">
      <alignment horizontal="center" vertical="top" wrapText="1"/>
    </xf>
    <xf numFmtId="165" fontId="3" fillId="8" borderId="17" xfId="0" applyNumberFormat="1" applyFont="1" applyFill="1" applyBorder="1" applyAlignment="1">
      <alignment horizontal="center" vertical="top" wrapText="1"/>
    </xf>
    <xf numFmtId="1" fontId="3" fillId="8" borderId="17" xfId="0" applyNumberFormat="1" applyFont="1" applyFill="1" applyBorder="1" applyAlignment="1">
      <alignment horizontal="center" vertical="top" wrapText="1"/>
    </xf>
    <xf numFmtId="3" fontId="3" fillId="8" borderId="17" xfId="0" applyNumberFormat="1" applyFont="1" applyFill="1" applyBorder="1" applyAlignment="1">
      <alignment horizontal="center" wrapText="1"/>
    </xf>
    <xf numFmtId="164" fontId="2" fillId="8" borderId="21" xfId="0" applyNumberFormat="1" applyFont="1" applyFill="1" applyBorder="1" applyAlignment="1">
      <alignment horizontal="center" vertical="center" wrapText="1"/>
    </xf>
    <xf numFmtId="165" fontId="3" fillId="8" borderId="21" xfId="0" applyNumberFormat="1" applyFont="1" applyFill="1" applyBorder="1" applyAlignment="1">
      <alignment horizontal="center" vertical="top"/>
    </xf>
    <xf numFmtId="165" fontId="3" fillId="8" borderId="17" xfId="0" applyNumberFormat="1" applyFont="1" applyFill="1" applyBorder="1" applyAlignment="1">
      <alignment horizontal="center" vertical="top"/>
    </xf>
    <xf numFmtId="165" fontId="3" fillId="8" borderId="34" xfId="0" applyNumberFormat="1" applyFont="1" applyFill="1" applyBorder="1" applyAlignment="1">
      <alignment horizontal="center" vertical="top"/>
    </xf>
    <xf numFmtId="165" fontId="3" fillId="8" borderId="50" xfId="0" applyNumberFormat="1" applyFont="1" applyFill="1" applyBorder="1" applyAlignment="1">
      <alignment horizontal="center" vertical="top"/>
    </xf>
    <xf numFmtId="165" fontId="3" fillId="8" borderId="32" xfId="0" applyNumberFormat="1" applyFont="1" applyFill="1" applyBorder="1" applyAlignment="1">
      <alignment horizontal="center" vertical="top"/>
    </xf>
    <xf numFmtId="165" fontId="3" fillId="8" borderId="48" xfId="0" applyNumberFormat="1" applyFont="1" applyFill="1" applyBorder="1" applyAlignment="1">
      <alignment horizontal="center" vertical="top"/>
    </xf>
    <xf numFmtId="165" fontId="3" fillId="8" borderId="1" xfId="0" applyNumberFormat="1" applyFont="1" applyFill="1" applyBorder="1" applyAlignment="1">
      <alignment horizontal="center" vertical="top"/>
    </xf>
    <xf numFmtId="165" fontId="3" fillId="8" borderId="33" xfId="0" applyNumberFormat="1" applyFont="1" applyFill="1" applyBorder="1" applyAlignment="1">
      <alignment horizontal="center" vertical="top"/>
    </xf>
    <xf numFmtId="3" fontId="3" fillId="8" borderId="17" xfId="1" applyNumberFormat="1" applyFont="1" applyFill="1" applyBorder="1" applyAlignment="1">
      <alignment horizontal="right" vertical="top"/>
    </xf>
    <xf numFmtId="3" fontId="3" fillId="8" borderId="34" xfId="1" applyNumberFormat="1" applyFont="1" applyFill="1" applyBorder="1" applyAlignment="1">
      <alignment horizontal="right" vertical="top"/>
    </xf>
    <xf numFmtId="49" fontId="3" fillId="8" borderId="97" xfId="0" applyNumberFormat="1" applyFont="1" applyFill="1" applyBorder="1" applyAlignment="1">
      <alignment horizontal="center" vertical="top" wrapText="1"/>
    </xf>
    <xf numFmtId="0" fontId="3" fillId="8" borderId="70" xfId="1" applyFont="1" applyFill="1" applyBorder="1" applyAlignment="1">
      <alignment vertical="top" wrapText="1"/>
    </xf>
    <xf numFmtId="165" fontId="3" fillId="8" borderId="105" xfId="0" applyNumberFormat="1" applyFont="1" applyFill="1" applyBorder="1" applyAlignment="1">
      <alignment horizontal="center" vertical="top"/>
    </xf>
    <xf numFmtId="165" fontId="3" fillId="8" borderId="2" xfId="0" applyNumberFormat="1" applyFont="1" applyFill="1" applyBorder="1" applyAlignment="1">
      <alignment horizontal="center" vertical="top"/>
    </xf>
    <xf numFmtId="165" fontId="3" fillId="8" borderId="40" xfId="0" applyNumberFormat="1" applyFont="1" applyFill="1" applyBorder="1" applyAlignment="1">
      <alignment horizontal="center" vertical="top" wrapText="1"/>
    </xf>
    <xf numFmtId="165" fontId="3" fillId="8" borderId="6" xfId="0" applyNumberFormat="1" applyFont="1" applyFill="1" applyBorder="1" applyAlignment="1">
      <alignment horizontal="center" vertical="top" wrapText="1"/>
    </xf>
    <xf numFmtId="0" fontId="3" fillId="8" borderId="21" xfId="0" applyFont="1" applyFill="1" applyBorder="1" applyAlignment="1">
      <alignment horizontal="center" vertical="center" textRotation="90" wrapText="1"/>
    </xf>
    <xf numFmtId="165" fontId="3" fillId="8" borderId="13" xfId="0" applyNumberFormat="1" applyFont="1" applyFill="1" applyBorder="1" applyAlignment="1">
      <alignment horizontal="center" vertical="top"/>
    </xf>
    <xf numFmtId="165" fontId="3" fillId="8" borderId="106" xfId="0" applyNumberFormat="1" applyFont="1" applyFill="1" applyBorder="1" applyAlignment="1">
      <alignment horizontal="center" vertical="top"/>
    </xf>
    <xf numFmtId="0" fontId="3" fillId="0" borderId="10" xfId="0" applyFont="1" applyFill="1" applyBorder="1" applyAlignment="1">
      <alignment vertical="top" wrapText="1"/>
    </xf>
    <xf numFmtId="49" fontId="5" fillId="0" borderId="2" xfId="0" applyNumberFormat="1" applyFont="1" applyBorder="1" applyAlignment="1">
      <alignment horizontal="center" vertical="top"/>
    </xf>
    <xf numFmtId="4" fontId="3" fillId="2" borderId="50" xfId="0" applyNumberFormat="1" applyFont="1" applyFill="1" applyBorder="1" applyAlignment="1">
      <alignment horizontal="center" vertical="top"/>
    </xf>
    <xf numFmtId="4" fontId="3" fillId="2" borderId="53" xfId="0" applyNumberFormat="1" applyFont="1" applyFill="1" applyBorder="1" applyAlignment="1">
      <alignment horizontal="center" vertical="top"/>
    </xf>
    <xf numFmtId="0" fontId="3" fillId="0" borderId="96" xfId="0" applyFont="1" applyFill="1" applyBorder="1" applyAlignment="1">
      <alignment vertical="top" wrapText="1"/>
    </xf>
    <xf numFmtId="49" fontId="3" fillId="8" borderId="102" xfId="0" applyNumberFormat="1" applyFont="1" applyFill="1" applyBorder="1" applyAlignment="1">
      <alignment horizontal="center" vertical="top" wrapText="1"/>
    </xf>
    <xf numFmtId="49" fontId="3" fillId="8" borderId="121" xfId="0" applyNumberFormat="1" applyFont="1" applyFill="1" applyBorder="1" applyAlignment="1">
      <alignment horizontal="center" vertical="top" wrapText="1"/>
    </xf>
    <xf numFmtId="49" fontId="3" fillId="8" borderId="33" xfId="0" applyNumberFormat="1" applyFont="1" applyFill="1" applyBorder="1" applyAlignment="1">
      <alignment horizontal="center" vertical="top" wrapText="1"/>
    </xf>
    <xf numFmtId="0" fontId="9" fillId="0" borderId="58" xfId="0" applyFont="1" applyFill="1" applyBorder="1" applyAlignment="1">
      <alignment vertical="top" wrapText="1"/>
    </xf>
    <xf numFmtId="0" fontId="3" fillId="0" borderId="38" xfId="0" applyFont="1" applyFill="1" applyBorder="1" applyAlignment="1">
      <alignment vertical="top" wrapText="1"/>
    </xf>
    <xf numFmtId="0" fontId="7" fillId="13" borderId="30" xfId="0" applyFont="1" applyFill="1" applyBorder="1" applyAlignment="1">
      <alignment vertical="top" wrapText="1"/>
    </xf>
    <xf numFmtId="165" fontId="3" fillId="8" borderId="7" xfId="0" applyNumberFormat="1" applyFont="1" applyFill="1" applyBorder="1" applyAlignment="1">
      <alignment horizontal="center" vertical="top"/>
    </xf>
    <xf numFmtId="165" fontId="3" fillId="8" borderId="123" xfId="0" applyNumberFormat="1" applyFont="1" applyFill="1" applyBorder="1" applyAlignment="1">
      <alignment horizontal="center" vertical="top"/>
    </xf>
    <xf numFmtId="165" fontId="3" fillId="8" borderId="65" xfId="0" applyNumberFormat="1" applyFont="1" applyFill="1" applyBorder="1" applyAlignment="1">
      <alignment horizontal="center" vertical="top"/>
    </xf>
    <xf numFmtId="165" fontId="3" fillId="8" borderId="53" xfId="0" applyNumberFormat="1" applyFont="1" applyFill="1" applyBorder="1" applyAlignment="1">
      <alignment horizontal="center" vertical="top"/>
    </xf>
    <xf numFmtId="165" fontId="3" fillId="8" borderId="55" xfId="0" applyNumberFormat="1" applyFont="1" applyFill="1" applyBorder="1" applyAlignment="1">
      <alignment horizontal="center" vertical="top"/>
    </xf>
    <xf numFmtId="165" fontId="3" fillId="8" borderId="52" xfId="0" applyNumberFormat="1" applyFont="1" applyFill="1" applyBorder="1" applyAlignment="1">
      <alignment horizontal="center" vertical="top"/>
    </xf>
    <xf numFmtId="165" fontId="3" fillId="8" borderId="40" xfId="0" applyNumberFormat="1" applyFont="1" applyFill="1" applyBorder="1" applyAlignment="1">
      <alignment horizontal="center" vertical="center"/>
    </xf>
    <xf numFmtId="165" fontId="3" fillId="8" borderId="53" xfId="0" applyNumberFormat="1" applyFont="1" applyFill="1" applyBorder="1" applyAlignment="1">
      <alignment horizontal="center" vertical="center"/>
    </xf>
    <xf numFmtId="165" fontId="3" fillId="8" borderId="122" xfId="0" applyNumberFormat="1" applyFont="1" applyFill="1" applyBorder="1" applyAlignment="1">
      <alignment horizontal="center" vertical="top"/>
    </xf>
    <xf numFmtId="165" fontId="3" fillId="8" borderId="9" xfId="0" applyNumberFormat="1" applyFont="1" applyFill="1" applyBorder="1" applyAlignment="1">
      <alignment horizontal="center" vertical="center"/>
    </xf>
    <xf numFmtId="165" fontId="3" fillId="0" borderId="17" xfId="0" applyNumberFormat="1" applyFont="1" applyBorder="1" applyAlignment="1">
      <alignment horizontal="center" vertical="top"/>
    </xf>
    <xf numFmtId="165" fontId="3" fillId="8" borderId="17" xfId="0" applyNumberFormat="1" applyFont="1" applyFill="1" applyBorder="1" applyAlignment="1">
      <alignment horizontal="center" vertical="center"/>
    </xf>
    <xf numFmtId="165" fontId="3" fillId="8" borderId="83" xfId="0" applyNumberFormat="1" applyFont="1" applyFill="1" applyBorder="1" applyAlignment="1">
      <alignment horizontal="center" vertical="top"/>
    </xf>
    <xf numFmtId="165" fontId="3" fillId="8" borderId="85" xfId="0" applyNumberFormat="1" applyFont="1" applyFill="1" applyBorder="1" applyAlignment="1">
      <alignment horizontal="center" vertical="top"/>
    </xf>
    <xf numFmtId="165" fontId="3" fillId="8" borderId="92" xfId="0" applyNumberFormat="1" applyFont="1" applyFill="1" applyBorder="1" applyAlignment="1">
      <alignment horizontal="center" vertical="top"/>
    </xf>
    <xf numFmtId="165" fontId="3" fillId="8" borderId="53" xfId="0" applyNumberFormat="1" applyFont="1" applyFill="1" applyBorder="1" applyAlignment="1">
      <alignment horizontal="right" vertical="top"/>
    </xf>
    <xf numFmtId="165" fontId="3" fillId="8" borderId="122" xfId="0" applyNumberFormat="1" applyFont="1" applyFill="1" applyBorder="1" applyAlignment="1">
      <alignment horizontal="right" vertical="top"/>
    </xf>
    <xf numFmtId="0" fontId="3" fillId="8" borderId="109" xfId="0" applyFont="1" applyFill="1" applyBorder="1" applyAlignment="1">
      <alignment horizontal="center" vertical="top" wrapText="1"/>
    </xf>
    <xf numFmtId="165" fontId="3" fillId="8" borderId="124" xfId="0" applyNumberFormat="1" applyFont="1" applyFill="1" applyBorder="1" applyAlignment="1">
      <alignment horizontal="center" vertical="top"/>
    </xf>
    <xf numFmtId="165" fontId="3" fillId="8" borderId="109" xfId="0" applyNumberFormat="1" applyFont="1" applyFill="1" applyBorder="1" applyAlignment="1">
      <alignment horizontal="center" vertical="top"/>
    </xf>
    <xf numFmtId="165" fontId="3" fillId="8" borderId="115" xfId="0" applyNumberFormat="1" applyFont="1" applyFill="1" applyBorder="1" applyAlignment="1">
      <alignment horizontal="center" vertical="top"/>
    </xf>
    <xf numFmtId="165" fontId="3" fillId="8" borderId="107" xfId="0" applyNumberFormat="1" applyFont="1" applyFill="1" applyBorder="1" applyAlignment="1">
      <alignment horizontal="center" vertical="top"/>
    </xf>
    <xf numFmtId="165" fontId="3" fillId="8" borderId="125" xfId="0" applyNumberFormat="1" applyFont="1" applyFill="1" applyBorder="1" applyAlignment="1">
      <alignment horizontal="center" vertical="top"/>
    </xf>
    <xf numFmtId="165" fontId="3" fillId="8" borderId="107" xfId="0" applyNumberFormat="1" applyFont="1" applyFill="1" applyBorder="1" applyAlignment="1">
      <alignment horizontal="center" vertical="top" wrapText="1"/>
    </xf>
    <xf numFmtId="165" fontId="3" fillId="8" borderId="125" xfId="0" applyNumberFormat="1" applyFont="1" applyFill="1" applyBorder="1" applyAlignment="1">
      <alignment horizontal="center" vertical="top" wrapText="1"/>
    </xf>
    <xf numFmtId="165" fontId="3" fillId="8" borderId="126" xfId="0" applyNumberFormat="1" applyFont="1" applyFill="1" applyBorder="1" applyAlignment="1">
      <alignment horizontal="center" vertical="top" wrapText="1"/>
    </xf>
    <xf numFmtId="0" fontId="35" fillId="8" borderId="34" xfId="0" applyFont="1" applyFill="1" applyBorder="1" applyAlignment="1">
      <alignment horizontal="left" vertical="top" wrapText="1"/>
    </xf>
    <xf numFmtId="49" fontId="3" fillId="8" borderId="0" xfId="0" applyNumberFormat="1" applyFont="1" applyFill="1" applyBorder="1" applyAlignment="1">
      <alignment horizontal="center" vertical="top" wrapText="1"/>
    </xf>
    <xf numFmtId="165" fontId="5" fillId="13" borderId="3" xfId="0" applyNumberFormat="1" applyFont="1" applyFill="1" applyBorder="1" applyAlignment="1">
      <alignment horizontal="center" vertical="top"/>
    </xf>
    <xf numFmtId="165" fontId="3" fillId="2" borderId="34" xfId="0" applyNumberFormat="1" applyFont="1" applyFill="1" applyBorder="1" applyAlignment="1">
      <alignment horizontal="center" vertical="top"/>
    </xf>
    <xf numFmtId="165" fontId="3" fillId="8" borderId="28" xfId="0" applyNumberFormat="1" applyFont="1" applyFill="1" applyBorder="1" applyAlignment="1">
      <alignment horizontal="center" vertical="top"/>
    </xf>
    <xf numFmtId="165" fontId="3" fillId="0" borderId="34" xfId="0" applyNumberFormat="1" applyFont="1" applyBorder="1" applyAlignment="1">
      <alignment horizontal="center" vertical="top"/>
    </xf>
    <xf numFmtId="165" fontId="5" fillId="13" borderId="74" xfId="0" applyNumberFormat="1" applyFont="1" applyFill="1" applyBorder="1" applyAlignment="1">
      <alignment horizontal="center" vertical="top"/>
    </xf>
    <xf numFmtId="165" fontId="3" fillId="8" borderId="110" xfId="0" applyNumberFormat="1" applyFont="1" applyFill="1" applyBorder="1" applyAlignment="1">
      <alignment horizontal="center" vertical="top"/>
    </xf>
    <xf numFmtId="165" fontId="3" fillId="8" borderId="37" xfId="0" applyNumberFormat="1" applyFont="1" applyFill="1" applyBorder="1" applyAlignment="1">
      <alignment horizontal="center" vertical="top"/>
    </xf>
    <xf numFmtId="165" fontId="3" fillId="2" borderId="32" xfId="0" applyNumberFormat="1" applyFont="1" applyFill="1" applyBorder="1" applyAlignment="1">
      <alignment horizontal="center" vertical="top"/>
    </xf>
    <xf numFmtId="165" fontId="3" fillId="2" borderId="24" xfId="0" applyNumberFormat="1" applyFont="1" applyFill="1" applyBorder="1" applyAlignment="1">
      <alignment horizontal="center" vertical="top"/>
    </xf>
    <xf numFmtId="165" fontId="5" fillId="10" borderId="66" xfId="0" applyNumberFormat="1" applyFont="1" applyFill="1" applyBorder="1" applyAlignment="1">
      <alignment horizontal="center" vertical="top"/>
    </xf>
    <xf numFmtId="0" fontId="3" fillId="8" borderId="51" xfId="1" applyFont="1" applyFill="1" applyBorder="1" applyAlignment="1">
      <alignment vertical="top" wrapText="1"/>
    </xf>
    <xf numFmtId="0" fontId="3" fillId="8" borderId="20" xfId="0" applyFont="1" applyFill="1" applyBorder="1" applyAlignment="1">
      <alignment horizontal="left" vertical="top" wrapText="1"/>
    </xf>
    <xf numFmtId="0" fontId="3" fillId="8" borderId="20" xfId="1" applyFont="1" applyFill="1" applyBorder="1" applyAlignment="1">
      <alignment vertical="top" wrapText="1"/>
    </xf>
    <xf numFmtId="1" fontId="3" fillId="0" borderId="19" xfId="0" applyNumberFormat="1" applyFont="1" applyFill="1" applyBorder="1" applyAlignment="1">
      <alignment horizontal="center" vertical="top" wrapText="1"/>
    </xf>
    <xf numFmtId="165" fontId="3" fillId="2" borderId="17" xfId="0" applyNumberFormat="1" applyFont="1" applyFill="1" applyBorder="1" applyAlignment="1">
      <alignment horizontal="center" vertical="top"/>
    </xf>
    <xf numFmtId="0" fontId="3" fillId="8" borderId="17" xfId="0" applyFont="1" applyFill="1" applyBorder="1" applyAlignment="1">
      <alignment horizontal="center" vertical="center" textRotation="90" wrapText="1"/>
    </xf>
    <xf numFmtId="165" fontId="3" fillId="8" borderId="76" xfId="0" applyNumberFormat="1" applyFont="1" applyFill="1" applyBorder="1" applyAlignment="1">
      <alignment horizontal="center" vertical="top"/>
    </xf>
    <xf numFmtId="165" fontId="3" fillId="2" borderId="76" xfId="0" applyNumberFormat="1" applyFont="1" applyFill="1" applyBorder="1" applyAlignment="1">
      <alignment horizontal="center" vertical="top"/>
    </xf>
    <xf numFmtId="165" fontId="3" fillId="2" borderId="70" xfId="0" applyNumberFormat="1" applyFont="1" applyFill="1" applyBorder="1" applyAlignment="1">
      <alignment horizontal="center" vertical="top"/>
    </xf>
    <xf numFmtId="3" fontId="3" fillId="13" borderId="67" xfId="1" applyNumberFormat="1" applyFont="1" applyFill="1" applyBorder="1" applyAlignment="1">
      <alignment vertical="top"/>
    </xf>
    <xf numFmtId="3" fontId="3" fillId="8" borderId="62" xfId="0" applyNumberFormat="1" applyFont="1" applyFill="1" applyBorder="1" applyAlignment="1">
      <alignment horizontal="center" vertical="top" wrapText="1"/>
    </xf>
    <xf numFmtId="3" fontId="3" fillId="8" borderId="36" xfId="0" applyNumberFormat="1" applyFont="1" applyFill="1" applyBorder="1" applyAlignment="1">
      <alignment horizontal="center" vertical="top" wrapText="1"/>
    </xf>
    <xf numFmtId="0" fontId="3" fillId="8" borderId="78" xfId="0" applyFont="1" applyFill="1" applyBorder="1" applyAlignment="1">
      <alignment horizontal="center" vertical="top" wrapText="1"/>
    </xf>
    <xf numFmtId="165" fontId="3" fillId="8" borderId="14" xfId="0" applyNumberFormat="1" applyFont="1" applyFill="1" applyBorder="1" applyAlignment="1">
      <alignment horizontal="center" vertical="top"/>
    </xf>
    <xf numFmtId="165" fontId="9" fillId="8" borderId="9" xfId="0" applyNumberFormat="1" applyFont="1" applyFill="1" applyBorder="1" applyAlignment="1">
      <alignment horizontal="center" vertical="top" wrapText="1"/>
    </xf>
    <xf numFmtId="165" fontId="9" fillId="8" borderId="24" xfId="0" applyNumberFormat="1" applyFont="1" applyFill="1" applyBorder="1" applyAlignment="1">
      <alignment horizontal="center" vertical="top"/>
    </xf>
    <xf numFmtId="165" fontId="3" fillId="8" borderId="9" xfId="0" applyNumberFormat="1" applyFont="1" applyFill="1" applyBorder="1" applyAlignment="1">
      <alignment horizontal="center" vertical="top" wrapText="1"/>
    </xf>
    <xf numFmtId="165" fontId="3" fillId="0" borderId="24" xfId="0" applyNumberFormat="1" applyFont="1" applyFill="1" applyBorder="1" applyAlignment="1">
      <alignment horizontal="center" vertical="top" wrapText="1"/>
    </xf>
    <xf numFmtId="165" fontId="5" fillId="8" borderId="24" xfId="0" applyNumberFormat="1" applyFont="1" applyFill="1" applyBorder="1" applyAlignment="1">
      <alignment horizontal="center" vertical="top"/>
    </xf>
    <xf numFmtId="165" fontId="3" fillId="8" borderId="24"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xf>
    <xf numFmtId="165" fontId="9" fillId="8" borderId="9" xfId="0" applyNumberFormat="1" applyFont="1" applyFill="1" applyBorder="1" applyAlignment="1">
      <alignment horizontal="center" vertical="top"/>
    </xf>
    <xf numFmtId="165" fontId="3" fillId="8" borderId="29" xfId="0" applyNumberFormat="1" applyFont="1" applyFill="1" applyBorder="1" applyAlignment="1">
      <alignment horizontal="center" vertical="top"/>
    </xf>
    <xf numFmtId="165" fontId="3" fillId="0" borderId="33" xfId="0" applyNumberFormat="1" applyFont="1" applyBorder="1" applyAlignment="1">
      <alignment horizontal="center" vertical="top"/>
    </xf>
    <xf numFmtId="165" fontId="3" fillId="0" borderId="19" xfId="0" applyNumberFormat="1" applyFont="1" applyBorder="1" applyAlignment="1">
      <alignment horizontal="center" vertical="top"/>
    </xf>
    <xf numFmtId="0" fontId="3" fillId="0" borderId="47" xfId="0" applyFont="1" applyBorder="1" applyAlignment="1">
      <alignment horizontal="center" vertical="center"/>
    </xf>
    <xf numFmtId="0" fontId="3" fillId="8" borderId="48" xfId="0" applyFont="1" applyFill="1" applyBorder="1" applyAlignment="1">
      <alignment horizontal="center" vertical="center"/>
    </xf>
    <xf numFmtId="0" fontId="3" fillId="8" borderId="50" xfId="0" applyFont="1" applyFill="1" applyBorder="1" applyAlignment="1">
      <alignment horizontal="center" vertical="center"/>
    </xf>
    <xf numFmtId="0" fontId="3" fillId="8" borderId="32" xfId="0" applyFont="1" applyFill="1" applyBorder="1" applyAlignment="1">
      <alignment horizontal="center" vertical="center"/>
    </xf>
    <xf numFmtId="0" fontId="3" fillId="8" borderId="110" xfId="0" applyFont="1" applyFill="1" applyBorder="1" applyAlignment="1">
      <alignment horizontal="center" vertical="center"/>
    </xf>
    <xf numFmtId="0" fontId="3" fillId="8" borderId="86" xfId="0" applyFont="1" applyFill="1" applyBorder="1" applyAlignment="1">
      <alignment horizontal="center" vertical="center"/>
    </xf>
    <xf numFmtId="0" fontId="3" fillId="16" borderId="62" xfId="0" applyFont="1" applyFill="1" applyBorder="1" applyAlignment="1">
      <alignment horizontal="center" vertical="center"/>
    </xf>
    <xf numFmtId="165" fontId="3" fillId="8" borderId="14" xfId="0" applyNumberFormat="1" applyFont="1" applyFill="1" applyBorder="1" applyAlignment="1">
      <alignment vertical="top"/>
    </xf>
    <xf numFmtId="3" fontId="3" fillId="8" borderId="50" xfId="0" applyNumberFormat="1" applyFont="1" applyFill="1" applyBorder="1" applyAlignment="1">
      <alignment horizontal="center" vertical="top"/>
    </xf>
    <xf numFmtId="1" fontId="3" fillId="8" borderId="32" xfId="0" applyNumberFormat="1" applyFont="1" applyFill="1" applyBorder="1" applyAlignment="1">
      <alignment horizontal="center" vertical="top"/>
    </xf>
    <xf numFmtId="3" fontId="3" fillId="8" borderId="48" xfId="0" applyNumberFormat="1" applyFont="1" applyFill="1" applyBorder="1" applyAlignment="1">
      <alignment horizontal="center" vertical="top"/>
    </xf>
    <xf numFmtId="3" fontId="3" fillId="8" borderId="32"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3" fontId="3" fillId="0" borderId="62" xfId="0" applyNumberFormat="1" applyFont="1" applyFill="1" applyBorder="1" applyAlignment="1">
      <alignment horizontal="center" vertical="top"/>
    </xf>
    <xf numFmtId="3" fontId="3" fillId="8" borderId="50" xfId="0" applyNumberFormat="1" applyFont="1" applyFill="1" applyBorder="1" applyAlignment="1">
      <alignment vertical="top" wrapText="1"/>
    </xf>
    <xf numFmtId="0" fontId="7" fillId="12" borderId="30"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xf>
    <xf numFmtId="3" fontId="3" fillId="0" borderId="86" xfId="0" applyNumberFormat="1" applyFont="1" applyFill="1" applyBorder="1" applyAlignment="1">
      <alignment horizontal="center" vertical="top"/>
    </xf>
    <xf numFmtId="0" fontId="3" fillId="0" borderId="86" xfId="0" applyNumberFormat="1" applyFont="1" applyFill="1" applyBorder="1" applyAlignment="1">
      <alignment horizontal="center" vertical="top"/>
    </xf>
    <xf numFmtId="0" fontId="3" fillId="13" borderId="62" xfId="0" applyFont="1" applyFill="1" applyBorder="1" applyAlignment="1">
      <alignment horizontal="center" vertical="center"/>
    </xf>
    <xf numFmtId="0" fontId="3" fillId="8" borderId="53" xfId="0" applyFont="1" applyFill="1" applyBorder="1" applyAlignment="1">
      <alignment horizontal="center" vertical="center"/>
    </xf>
    <xf numFmtId="0" fontId="3" fillId="8" borderId="122" xfId="0" applyFont="1" applyFill="1" applyBorder="1" applyAlignment="1">
      <alignment horizontal="center" vertical="center"/>
    </xf>
    <xf numFmtId="0" fontId="3" fillId="8" borderId="92" xfId="0" applyFont="1" applyFill="1" applyBorder="1" applyAlignment="1">
      <alignment horizontal="center" vertical="center"/>
    </xf>
    <xf numFmtId="0" fontId="3" fillId="16" borderId="36" xfId="0" applyFont="1" applyFill="1" applyBorder="1" applyAlignment="1">
      <alignment horizontal="center" vertical="center"/>
    </xf>
    <xf numFmtId="165" fontId="3" fillId="8" borderId="65" xfId="0" applyNumberFormat="1" applyFont="1" applyFill="1" applyBorder="1" applyAlignment="1">
      <alignment vertical="top"/>
    </xf>
    <xf numFmtId="3" fontId="3" fillId="8" borderId="53" xfId="0" applyNumberFormat="1" applyFont="1" applyFill="1" applyBorder="1" applyAlignment="1">
      <alignment horizontal="center" vertical="top"/>
    </xf>
    <xf numFmtId="1" fontId="3" fillId="8" borderId="55" xfId="0" applyNumberFormat="1" applyFont="1" applyFill="1" applyBorder="1" applyAlignment="1">
      <alignment horizontal="center" vertical="top"/>
    </xf>
    <xf numFmtId="3" fontId="3" fillId="8" borderId="52" xfId="0" applyNumberFormat="1" applyFont="1" applyFill="1" applyBorder="1" applyAlignment="1">
      <alignment horizontal="center" vertical="top"/>
    </xf>
    <xf numFmtId="3" fontId="3" fillId="8" borderId="55"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3" fontId="3" fillId="0" borderId="53" xfId="0" applyNumberFormat="1" applyFont="1" applyFill="1" applyBorder="1" applyAlignment="1">
      <alignment horizontal="center" vertical="top"/>
    </xf>
    <xf numFmtId="3" fontId="3" fillId="0" borderId="65" xfId="0" applyNumberFormat="1" applyFont="1" applyFill="1" applyBorder="1" applyAlignment="1">
      <alignment horizontal="center" vertical="top"/>
    </xf>
    <xf numFmtId="3" fontId="3" fillId="0" borderId="92" xfId="0" applyNumberFormat="1" applyFont="1" applyFill="1" applyBorder="1" applyAlignment="1">
      <alignment horizontal="center" vertical="top"/>
    </xf>
    <xf numFmtId="0" fontId="3" fillId="0" borderId="92" xfId="0" applyNumberFormat="1" applyFont="1" applyFill="1" applyBorder="1" applyAlignment="1">
      <alignment horizontal="center" vertical="top"/>
    </xf>
    <xf numFmtId="0" fontId="3" fillId="13" borderId="36" xfId="0" applyFont="1" applyFill="1" applyBorder="1" applyAlignment="1">
      <alignment horizontal="center" vertical="center"/>
    </xf>
    <xf numFmtId="0" fontId="3" fillId="0" borderId="28" xfId="0" applyFont="1" applyBorder="1" applyAlignment="1">
      <alignment horizontal="center" vertical="center"/>
    </xf>
    <xf numFmtId="0" fontId="3" fillId="8" borderId="21"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34" xfId="0" applyFont="1" applyFill="1" applyBorder="1" applyAlignment="1">
      <alignment horizontal="center" vertical="center"/>
    </xf>
    <xf numFmtId="0" fontId="3" fillId="8" borderId="17" xfId="0" applyFont="1" applyFill="1" applyBorder="1" applyAlignment="1">
      <alignment horizontal="center" vertical="top"/>
    </xf>
    <xf numFmtId="0" fontId="3" fillId="8" borderId="106" xfId="0" applyFont="1" applyFill="1" applyBorder="1" applyAlignment="1">
      <alignment horizontal="center" vertical="center"/>
    </xf>
    <xf numFmtId="0" fontId="3" fillId="8" borderId="85" xfId="0" applyFont="1" applyFill="1" applyBorder="1" applyAlignment="1">
      <alignment horizontal="center" vertical="center"/>
    </xf>
    <xf numFmtId="0" fontId="3" fillId="16" borderId="26" xfId="0" applyFont="1" applyFill="1" applyBorder="1" applyAlignment="1">
      <alignment horizontal="center" vertical="center"/>
    </xf>
    <xf numFmtId="0" fontId="5" fillId="3" borderId="5" xfId="0" applyFont="1" applyFill="1" applyBorder="1" applyAlignment="1">
      <alignment horizontal="left" vertical="top" wrapText="1"/>
    </xf>
    <xf numFmtId="165" fontId="3" fillId="8" borderId="13" xfId="0" applyNumberFormat="1" applyFont="1" applyFill="1" applyBorder="1" applyAlignment="1">
      <alignment vertical="top"/>
    </xf>
    <xf numFmtId="3" fontId="3" fillId="8" borderId="17" xfId="0" applyNumberFormat="1" applyFont="1" applyFill="1" applyBorder="1" applyAlignment="1">
      <alignment horizontal="center" vertical="top"/>
    </xf>
    <xf numFmtId="1" fontId="3" fillId="8" borderId="34" xfId="0" applyNumberFormat="1" applyFont="1" applyFill="1" applyBorder="1" applyAlignment="1">
      <alignment horizontal="center" vertical="top"/>
    </xf>
    <xf numFmtId="3" fontId="3" fillId="8" borderId="21" xfId="0" applyNumberFormat="1" applyFont="1" applyFill="1" applyBorder="1" applyAlignment="1">
      <alignment horizontal="center" vertical="top"/>
    </xf>
    <xf numFmtId="3" fontId="3" fillId="8" borderId="34" xfId="0" applyNumberFormat="1" applyFont="1" applyFill="1" applyBorder="1" applyAlignment="1">
      <alignment horizontal="center" vertical="top"/>
    </xf>
    <xf numFmtId="0" fontId="7" fillId="12" borderId="5" xfId="0" applyNumberFormat="1" applyFont="1" applyFill="1" applyBorder="1" applyAlignment="1">
      <alignment horizontal="center" vertical="top" wrapText="1"/>
    </xf>
    <xf numFmtId="3" fontId="3" fillId="8" borderId="17" xfId="0" applyNumberFormat="1" applyFont="1" applyFill="1" applyBorder="1" applyAlignment="1">
      <alignment vertical="top" wrapText="1"/>
    </xf>
    <xf numFmtId="0" fontId="7" fillId="12" borderId="26"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xf>
    <xf numFmtId="0" fontId="3" fillId="0" borderId="85" xfId="0" applyNumberFormat="1" applyFont="1" applyFill="1" applyBorder="1" applyAlignment="1">
      <alignment horizontal="center" vertical="top"/>
    </xf>
    <xf numFmtId="0" fontId="3" fillId="13" borderId="26" xfId="0" applyFont="1" applyFill="1" applyBorder="1" applyAlignment="1">
      <alignment horizontal="center" vertical="center"/>
    </xf>
    <xf numFmtId="0" fontId="3" fillId="3" borderId="26" xfId="0" applyFont="1" applyFill="1" applyBorder="1" applyAlignment="1">
      <alignment horizontal="center" vertical="top" wrapText="1"/>
    </xf>
    <xf numFmtId="0" fontId="3" fillId="14" borderId="5" xfId="0" applyFont="1" applyFill="1" applyBorder="1" applyAlignment="1">
      <alignment horizontal="center" vertical="top"/>
    </xf>
    <xf numFmtId="165" fontId="5" fillId="10" borderId="35" xfId="0" applyNumberFormat="1" applyFont="1" applyFill="1" applyBorder="1" applyAlignment="1">
      <alignment horizontal="center" vertical="top"/>
    </xf>
    <xf numFmtId="165" fontId="5" fillId="3" borderId="63" xfId="0" applyNumberFormat="1" applyFont="1" applyFill="1" applyBorder="1" applyAlignment="1">
      <alignment horizontal="center" vertical="top"/>
    </xf>
    <xf numFmtId="3" fontId="3" fillId="8" borderId="7" xfId="0" applyNumberFormat="1" applyFont="1" applyFill="1" applyBorder="1" applyAlignment="1">
      <alignment horizontal="right" vertical="center"/>
    </xf>
    <xf numFmtId="165" fontId="3" fillId="8" borderId="6" xfId="0" applyNumberFormat="1" applyFont="1" applyFill="1" applyBorder="1" applyAlignment="1">
      <alignment horizontal="center" vertical="center"/>
    </xf>
    <xf numFmtId="165" fontId="3" fillId="8" borderId="24" xfId="0" applyNumberFormat="1" applyFont="1" applyFill="1" applyBorder="1" applyAlignment="1">
      <alignment horizontal="center" vertical="center"/>
    </xf>
    <xf numFmtId="165" fontId="3" fillId="8" borderId="111" xfId="0" applyNumberFormat="1" applyFont="1" applyFill="1" applyBorder="1" applyAlignment="1">
      <alignment horizontal="center" vertical="center"/>
    </xf>
    <xf numFmtId="3" fontId="3" fillId="8" borderId="46" xfId="0" applyNumberFormat="1" applyFont="1" applyFill="1" applyBorder="1" applyAlignment="1">
      <alignment horizontal="right" vertical="center"/>
    </xf>
    <xf numFmtId="3" fontId="3" fillId="8" borderId="28" xfId="0" applyNumberFormat="1" applyFont="1" applyFill="1" applyBorder="1" applyAlignment="1">
      <alignment horizontal="right" vertical="center"/>
    </xf>
    <xf numFmtId="3" fontId="3" fillId="8" borderId="47" xfId="0" applyNumberFormat="1" applyFont="1" applyFill="1" applyBorder="1" applyAlignment="1">
      <alignment horizontal="right" vertical="center"/>
    </xf>
    <xf numFmtId="165" fontId="3" fillId="8" borderId="21" xfId="0" applyNumberFormat="1" applyFont="1" applyFill="1" applyBorder="1" applyAlignment="1">
      <alignment horizontal="center" vertical="center"/>
    </xf>
    <xf numFmtId="165" fontId="3" fillId="8" borderId="48" xfId="0" applyNumberFormat="1" applyFont="1" applyFill="1" applyBorder="1" applyAlignment="1">
      <alignment horizontal="center" vertical="center"/>
    </xf>
    <xf numFmtId="165" fontId="3" fillId="8" borderId="50" xfId="0" applyNumberFormat="1" applyFont="1" applyFill="1" applyBorder="1" applyAlignment="1">
      <alignment horizontal="center" vertical="center"/>
    </xf>
    <xf numFmtId="165" fontId="3" fillId="8" borderId="34" xfId="0" applyNumberFormat="1" applyFont="1" applyFill="1" applyBorder="1" applyAlignment="1">
      <alignment horizontal="center" vertical="center"/>
    </xf>
    <xf numFmtId="165" fontId="3" fillId="8" borderId="32" xfId="0" applyNumberFormat="1" applyFont="1" applyFill="1" applyBorder="1" applyAlignment="1">
      <alignment horizontal="center" vertical="center"/>
    </xf>
    <xf numFmtId="165" fontId="3" fillId="8" borderId="106" xfId="0" applyNumberFormat="1" applyFont="1" applyFill="1" applyBorder="1" applyAlignment="1">
      <alignment horizontal="center" vertical="center"/>
    </xf>
    <xf numFmtId="165" fontId="3" fillId="8" borderId="110" xfId="0" applyNumberFormat="1" applyFont="1" applyFill="1" applyBorder="1" applyAlignment="1">
      <alignment horizontal="center" vertical="center"/>
    </xf>
    <xf numFmtId="0" fontId="3" fillId="8" borderId="42"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49" xfId="0" applyFont="1" applyFill="1" applyBorder="1" applyAlignment="1">
      <alignment horizontal="center" vertical="center"/>
    </xf>
    <xf numFmtId="165" fontId="3" fillId="8" borderId="70" xfId="0" applyNumberFormat="1" applyFont="1" applyFill="1" applyBorder="1" applyAlignment="1">
      <alignment horizontal="center" vertical="center"/>
    </xf>
    <xf numFmtId="0" fontId="3" fillId="16" borderId="67" xfId="0" applyFont="1" applyFill="1" applyBorder="1" applyAlignment="1">
      <alignment horizontal="center" vertical="center"/>
    </xf>
    <xf numFmtId="0" fontId="5" fillId="12" borderId="68" xfId="0" applyFont="1" applyFill="1" applyBorder="1" applyAlignment="1">
      <alignment horizontal="left" vertical="top" wrapText="1"/>
    </xf>
    <xf numFmtId="3" fontId="3" fillId="2" borderId="78" xfId="0" applyNumberFormat="1" applyFont="1" applyFill="1" applyBorder="1" applyAlignment="1">
      <alignment horizontal="right" vertical="top"/>
    </xf>
    <xf numFmtId="165" fontId="3" fillId="2" borderId="40" xfId="0" applyNumberFormat="1" applyFont="1" applyFill="1" applyBorder="1" applyAlignment="1">
      <alignment horizontal="center" vertical="top"/>
    </xf>
    <xf numFmtId="3" fontId="3" fillId="2" borderId="58" xfId="0" applyNumberFormat="1" applyFont="1" applyFill="1" applyBorder="1" applyAlignment="1">
      <alignment horizontal="right" vertical="top"/>
    </xf>
    <xf numFmtId="165" fontId="3" fillId="2" borderId="39" xfId="0" applyNumberFormat="1" applyFont="1" applyFill="1" applyBorder="1" applyAlignment="1">
      <alignment horizontal="center" vertical="top"/>
    </xf>
    <xf numFmtId="165" fontId="3" fillId="10" borderId="30" xfId="0" applyNumberFormat="1" applyFont="1" applyFill="1" applyBorder="1" applyAlignment="1">
      <alignment horizontal="center" vertical="top"/>
    </xf>
    <xf numFmtId="3" fontId="3" fillId="2" borderId="13" xfId="0" applyNumberFormat="1" applyFont="1" applyFill="1" applyBorder="1" applyAlignment="1">
      <alignment horizontal="right" vertical="top"/>
    </xf>
    <xf numFmtId="165" fontId="3" fillId="10" borderId="26" xfId="0" applyNumberFormat="1" applyFont="1" applyFill="1" applyBorder="1" applyAlignment="1">
      <alignment horizontal="center" vertical="top"/>
    </xf>
    <xf numFmtId="165" fontId="11" fillId="8" borderId="24" xfId="0" applyNumberFormat="1" applyFont="1" applyFill="1" applyBorder="1" applyAlignment="1">
      <alignment horizontal="center" vertical="top"/>
    </xf>
    <xf numFmtId="0" fontId="3" fillId="0" borderId="0" xfId="0" applyFont="1" applyFill="1" applyBorder="1" applyAlignment="1">
      <alignment vertical="top" wrapText="1"/>
    </xf>
    <xf numFmtId="49" fontId="3" fillId="0" borderId="50" xfId="0" applyNumberFormat="1" applyFont="1" applyFill="1" applyBorder="1" applyAlignment="1">
      <alignment horizontal="center" vertical="top" wrapText="1"/>
    </xf>
    <xf numFmtId="3" fontId="11" fillId="0" borderId="62" xfId="0" applyNumberFormat="1" applyFont="1" applyFill="1" applyBorder="1" applyAlignment="1">
      <alignment horizontal="center" vertical="top"/>
    </xf>
    <xf numFmtId="165" fontId="11" fillId="8" borderId="0" xfId="0" applyNumberFormat="1" applyFont="1" applyFill="1" applyBorder="1" applyAlignment="1">
      <alignment horizontal="center" vertical="top"/>
    </xf>
    <xf numFmtId="165" fontId="11" fillId="8" borderId="49" xfId="0" applyNumberFormat="1" applyFont="1" applyFill="1" applyBorder="1" applyAlignment="1">
      <alignment horizontal="center" vertical="top"/>
    </xf>
    <xf numFmtId="165" fontId="11" fillId="8" borderId="17" xfId="0" applyNumberFormat="1" applyFont="1" applyFill="1" applyBorder="1" applyAlignment="1">
      <alignment horizontal="center" vertical="top"/>
    </xf>
    <xf numFmtId="165" fontId="11" fillId="8" borderId="34" xfId="0" applyNumberFormat="1" applyFont="1" applyFill="1" applyBorder="1" applyAlignment="1">
      <alignment horizontal="center" vertical="top"/>
    </xf>
    <xf numFmtId="165" fontId="3" fillId="10" borderId="66" xfId="0" applyNumberFormat="1" applyFont="1" applyFill="1" applyBorder="1" applyAlignment="1">
      <alignment horizontal="center" vertical="top"/>
    </xf>
    <xf numFmtId="165" fontId="11" fillId="8" borderId="9" xfId="0" applyNumberFormat="1" applyFont="1" applyFill="1" applyBorder="1" applyAlignment="1">
      <alignment horizontal="center" vertical="top"/>
    </xf>
    <xf numFmtId="165" fontId="38" fillId="10" borderId="66" xfId="0" applyNumberFormat="1" applyFont="1" applyFill="1" applyBorder="1" applyAlignment="1">
      <alignment horizontal="center" vertical="top"/>
    </xf>
    <xf numFmtId="0" fontId="7" fillId="12" borderId="30" xfId="0" applyFont="1" applyFill="1" applyBorder="1" applyAlignment="1">
      <alignment vertical="top" wrapText="1"/>
    </xf>
    <xf numFmtId="0" fontId="3" fillId="8" borderId="46" xfId="0" applyFont="1" applyFill="1" applyBorder="1" applyAlignment="1">
      <alignment horizontal="center" vertical="top" wrapText="1"/>
    </xf>
    <xf numFmtId="165" fontId="3" fillId="2" borderId="9" xfId="0" applyNumberFormat="1" applyFont="1" applyFill="1" applyBorder="1" applyAlignment="1">
      <alignment horizontal="center" vertical="top"/>
    </xf>
    <xf numFmtId="3" fontId="3" fillId="8" borderId="85" xfId="0" applyNumberFormat="1" applyFont="1" applyFill="1" applyBorder="1" applyAlignment="1">
      <alignment horizontal="center" vertical="top"/>
    </xf>
    <xf numFmtId="3" fontId="3" fillId="8" borderId="92" xfId="0" applyNumberFormat="1" applyFont="1" applyFill="1" applyBorder="1" applyAlignment="1">
      <alignment horizontal="center" vertical="top"/>
    </xf>
    <xf numFmtId="3" fontId="3" fillId="8" borderId="110" xfId="0" applyNumberFormat="1" applyFont="1" applyFill="1" applyBorder="1" applyAlignment="1">
      <alignment horizontal="center" vertical="top"/>
    </xf>
    <xf numFmtId="3" fontId="3" fillId="8" borderId="106" xfId="0" applyNumberFormat="1" applyFont="1" applyFill="1" applyBorder="1" applyAlignment="1">
      <alignment horizontal="center" vertical="top"/>
    </xf>
    <xf numFmtId="3" fontId="3" fillId="8" borderId="122" xfId="0" applyNumberFormat="1" applyFont="1" applyFill="1" applyBorder="1" applyAlignment="1">
      <alignment horizontal="center" vertical="top"/>
    </xf>
    <xf numFmtId="0" fontId="3" fillId="8" borderId="103" xfId="0" applyFont="1" applyFill="1" applyBorder="1" applyAlignment="1">
      <alignment vertical="top" wrapText="1"/>
    </xf>
    <xf numFmtId="165" fontId="3" fillId="0" borderId="50" xfId="0" applyNumberFormat="1" applyFont="1" applyBorder="1" applyAlignment="1">
      <alignment horizontal="center" vertical="top"/>
    </xf>
    <xf numFmtId="0" fontId="9" fillId="8" borderId="47" xfId="0" applyFont="1" applyFill="1" applyBorder="1" applyAlignment="1">
      <alignment horizontal="center" vertical="top" wrapText="1"/>
    </xf>
    <xf numFmtId="0" fontId="9" fillId="8" borderId="28" xfId="0" applyFont="1" applyFill="1" applyBorder="1" applyAlignment="1">
      <alignment horizontal="center" vertical="top" wrapText="1"/>
    </xf>
    <xf numFmtId="0" fontId="9" fillId="8" borderId="29" xfId="0" applyFont="1" applyFill="1" applyBorder="1" applyAlignment="1">
      <alignment horizontal="center" vertical="top" wrapText="1"/>
    </xf>
    <xf numFmtId="0" fontId="3" fillId="8" borderId="39" xfId="0" applyFont="1" applyFill="1" applyBorder="1" applyAlignment="1">
      <alignment horizontal="left" vertical="top" wrapText="1"/>
    </xf>
    <xf numFmtId="0" fontId="9" fillId="8" borderId="50" xfId="0" applyFont="1" applyFill="1" applyBorder="1" applyAlignment="1">
      <alignment horizontal="center" vertical="top" wrapText="1"/>
    </xf>
    <xf numFmtId="0" fontId="9" fillId="8" borderId="17" xfId="0" applyFont="1" applyFill="1" applyBorder="1" applyAlignment="1">
      <alignment horizontal="center" vertical="top" wrapText="1"/>
    </xf>
    <xf numFmtId="0" fontId="9" fillId="8" borderId="19" xfId="0" applyFont="1" applyFill="1" applyBorder="1" applyAlignment="1">
      <alignment horizontal="center" vertical="top" wrapText="1"/>
    </xf>
    <xf numFmtId="0" fontId="7" fillId="8" borderId="75" xfId="0" applyFont="1" applyFill="1" applyBorder="1" applyAlignment="1">
      <alignment horizontal="left" vertical="top" wrapText="1"/>
    </xf>
    <xf numFmtId="3" fontId="3" fillId="8" borderId="62" xfId="0" applyNumberFormat="1" applyFont="1" applyFill="1" applyBorder="1" applyAlignment="1">
      <alignment horizontal="center" vertical="top"/>
    </xf>
    <xf numFmtId="3" fontId="3" fillId="8" borderId="26" xfId="0" applyNumberFormat="1" applyFont="1" applyFill="1" applyBorder="1" applyAlignment="1">
      <alignment horizontal="center" vertical="top"/>
    </xf>
    <xf numFmtId="3" fontId="3" fillId="8" borderId="27" xfId="0" applyNumberFormat="1" applyFont="1" applyFill="1" applyBorder="1" applyAlignment="1">
      <alignment horizontal="center" vertical="top"/>
    </xf>
    <xf numFmtId="49" fontId="3" fillId="0" borderId="53" xfId="0" applyNumberFormat="1" applyFont="1" applyBorder="1" applyAlignment="1">
      <alignment horizontal="center" vertical="center" wrapText="1"/>
    </xf>
    <xf numFmtId="165" fontId="38" fillId="10" borderId="35" xfId="0" applyNumberFormat="1" applyFont="1" applyFill="1" applyBorder="1" applyAlignment="1">
      <alignment horizontal="center" vertical="top"/>
    </xf>
    <xf numFmtId="3" fontId="11" fillId="8" borderId="70" xfId="0" applyNumberFormat="1" applyFont="1" applyFill="1" applyBorder="1" applyAlignment="1">
      <alignment horizontal="center" vertical="top"/>
    </xf>
    <xf numFmtId="165" fontId="11" fillId="8" borderId="70" xfId="0" applyNumberFormat="1" applyFont="1" applyFill="1" applyBorder="1" applyAlignment="1">
      <alignment horizontal="center" vertical="top"/>
    </xf>
    <xf numFmtId="3" fontId="11" fillId="8" borderId="9" xfId="0" applyNumberFormat="1" applyFont="1" applyFill="1" applyBorder="1" applyAlignment="1">
      <alignment horizontal="center" vertical="top"/>
    </xf>
    <xf numFmtId="165" fontId="38" fillId="10" borderId="36" xfId="0" applyNumberFormat="1" applyFont="1" applyFill="1" applyBorder="1" applyAlignment="1">
      <alignment horizontal="center" vertical="top"/>
    </xf>
    <xf numFmtId="165" fontId="38" fillId="10" borderId="26" xfId="0" applyNumberFormat="1" applyFont="1" applyFill="1" applyBorder="1" applyAlignment="1">
      <alignment horizontal="center" vertical="top"/>
    </xf>
    <xf numFmtId="0" fontId="3" fillId="2" borderId="106" xfId="0" applyFont="1" applyFill="1" applyBorder="1" applyAlignment="1">
      <alignment vertical="top" wrapText="1"/>
    </xf>
    <xf numFmtId="165" fontId="5" fillId="5" borderId="7" xfId="0" applyNumberFormat="1" applyFont="1" applyFill="1" applyBorder="1" applyAlignment="1">
      <alignment horizontal="right" vertical="top"/>
    </xf>
    <xf numFmtId="165" fontId="5" fillId="10" borderId="24" xfId="0" applyNumberFormat="1" applyFont="1" applyFill="1" applyBorder="1" applyAlignment="1">
      <alignment horizontal="right" vertical="top"/>
    </xf>
    <xf numFmtId="165" fontId="3" fillId="8" borderId="24" xfId="0" applyNumberFormat="1" applyFont="1" applyFill="1" applyBorder="1" applyAlignment="1">
      <alignment horizontal="right" vertical="top"/>
    </xf>
    <xf numFmtId="165" fontId="3" fillId="0" borderId="24" xfId="0" applyNumberFormat="1" applyFont="1" applyBorder="1" applyAlignment="1">
      <alignment horizontal="right" vertical="top"/>
    </xf>
    <xf numFmtId="165" fontId="3" fillId="10" borderId="76" xfId="0" applyNumberFormat="1" applyFont="1" applyFill="1" applyBorder="1" applyAlignment="1">
      <alignment horizontal="right" vertical="top" wrapText="1"/>
    </xf>
    <xf numFmtId="165" fontId="3" fillId="10" borderId="23" xfId="0" applyNumberFormat="1" applyFont="1" applyFill="1" applyBorder="1" applyAlignment="1">
      <alignment horizontal="right" vertical="top" wrapText="1"/>
    </xf>
    <xf numFmtId="165" fontId="3" fillId="10" borderId="24" xfId="0" applyNumberFormat="1" applyFont="1" applyFill="1" applyBorder="1" applyAlignment="1">
      <alignment horizontal="right" vertical="top"/>
    </xf>
    <xf numFmtId="165" fontId="5" fillId="5" borderId="24" xfId="0" applyNumberFormat="1" applyFont="1" applyFill="1" applyBorder="1" applyAlignment="1">
      <alignment horizontal="right" vertical="top"/>
    </xf>
    <xf numFmtId="165" fontId="5" fillId="6" borderId="66" xfId="0" applyNumberFormat="1" applyFont="1" applyFill="1" applyBorder="1" applyAlignment="1">
      <alignment horizontal="right" vertical="top"/>
    </xf>
    <xf numFmtId="165" fontId="3" fillId="8" borderId="78" xfId="0" applyNumberFormat="1" applyFont="1" applyFill="1" applyBorder="1" applyAlignment="1">
      <alignment horizontal="right" vertical="top"/>
    </xf>
    <xf numFmtId="0" fontId="3" fillId="8" borderId="70" xfId="0" applyFont="1" applyFill="1" applyBorder="1" applyAlignment="1">
      <alignment vertical="top" wrapText="1"/>
    </xf>
    <xf numFmtId="0" fontId="3" fillId="8" borderId="32" xfId="0" applyFont="1" applyFill="1" applyBorder="1" applyAlignment="1">
      <alignment horizontal="center" vertical="center" textRotation="90" wrapText="1"/>
    </xf>
    <xf numFmtId="0" fontId="3" fillId="0" borderId="40" xfId="0" applyFont="1" applyFill="1" applyBorder="1" applyAlignment="1">
      <alignment vertical="top" wrapText="1"/>
    </xf>
    <xf numFmtId="165" fontId="3" fillId="8" borderId="54" xfId="0" applyNumberFormat="1" applyFont="1" applyFill="1" applyBorder="1" applyAlignment="1">
      <alignment horizontal="center" vertical="top"/>
    </xf>
    <xf numFmtId="165" fontId="3" fillId="8" borderId="38" xfId="0" applyNumberFormat="1" applyFont="1" applyFill="1" applyBorder="1" applyAlignment="1">
      <alignment horizontal="center" vertical="top"/>
    </xf>
    <xf numFmtId="165" fontId="3" fillId="8" borderId="16" xfId="0" applyNumberFormat="1" applyFont="1" applyFill="1" applyBorder="1" applyAlignment="1">
      <alignment horizontal="center" vertical="top"/>
    </xf>
    <xf numFmtId="1" fontId="3" fillId="8" borderId="32" xfId="0" applyNumberFormat="1" applyFont="1" applyFill="1" applyBorder="1" applyAlignment="1">
      <alignment horizontal="center" vertical="top" wrapText="1"/>
    </xf>
    <xf numFmtId="1" fontId="3" fillId="8" borderId="34" xfId="0" applyNumberFormat="1" applyFont="1" applyFill="1" applyBorder="1" applyAlignment="1">
      <alignment horizontal="center" vertical="top" wrapText="1"/>
    </xf>
    <xf numFmtId="1" fontId="3" fillId="8" borderId="55" xfId="0" applyNumberFormat="1" applyFont="1" applyFill="1" applyBorder="1" applyAlignment="1">
      <alignment horizontal="center" vertical="top" wrapText="1"/>
    </xf>
    <xf numFmtId="0" fontId="9" fillId="8" borderId="21" xfId="0" applyFont="1" applyFill="1" applyBorder="1" applyAlignment="1">
      <alignment horizontal="center" vertical="top" wrapText="1"/>
    </xf>
    <xf numFmtId="0" fontId="3" fillId="8" borderId="118" xfId="0" applyFont="1" applyFill="1" applyBorder="1" applyAlignment="1">
      <alignment vertical="top" wrapText="1"/>
    </xf>
    <xf numFmtId="49" fontId="3" fillId="8" borderId="106" xfId="0" applyNumberFormat="1" applyFont="1" applyFill="1" applyBorder="1" applyAlignment="1">
      <alignment horizontal="center" vertical="top" wrapText="1"/>
    </xf>
    <xf numFmtId="49" fontId="3" fillId="8" borderId="118" xfId="0" applyNumberFormat="1" applyFont="1" applyFill="1" applyBorder="1" applyAlignment="1">
      <alignment horizontal="center" vertical="top" wrapText="1"/>
    </xf>
    <xf numFmtId="49" fontId="3" fillId="8" borderId="82" xfId="0" applyNumberFormat="1" applyFont="1" applyFill="1" applyBorder="1" applyAlignment="1">
      <alignment horizontal="center" vertical="top" wrapText="1"/>
    </xf>
    <xf numFmtId="49" fontId="3" fillId="8" borderId="48" xfId="0" applyNumberFormat="1" applyFont="1" applyFill="1" applyBorder="1" applyAlignment="1">
      <alignment horizontal="center" vertical="top" wrapText="1"/>
    </xf>
    <xf numFmtId="49" fontId="3" fillId="8" borderId="21" xfId="0" applyNumberFormat="1" applyFont="1" applyFill="1" applyBorder="1" applyAlignment="1">
      <alignment horizontal="center" vertical="top" wrapText="1"/>
    </xf>
    <xf numFmtId="49" fontId="3" fillId="8" borderId="1" xfId="0" applyNumberFormat="1" applyFont="1" applyFill="1" applyBorder="1" applyAlignment="1">
      <alignment horizontal="center" vertical="top" wrapText="1"/>
    </xf>
    <xf numFmtId="0" fontId="1" fillId="8" borderId="17" xfId="0" applyFont="1" applyFill="1" applyBorder="1" applyAlignment="1">
      <alignment vertical="center" textRotation="90"/>
    </xf>
    <xf numFmtId="0" fontId="3" fillId="8" borderId="17" xfId="0" applyFont="1" applyFill="1" applyBorder="1" applyAlignment="1">
      <alignment horizontal="center" vertical="top" wrapText="1"/>
    </xf>
    <xf numFmtId="0" fontId="3" fillId="8" borderId="50" xfId="0" applyFont="1" applyFill="1" applyBorder="1" applyAlignment="1">
      <alignment horizontal="center" vertical="top" wrapText="1"/>
    </xf>
    <xf numFmtId="0" fontId="3" fillId="8" borderId="34" xfId="0" applyFont="1" applyFill="1" applyBorder="1" applyAlignment="1">
      <alignment horizontal="center" vertical="top" wrapText="1"/>
    </xf>
    <xf numFmtId="0" fontId="3" fillId="8" borderId="32" xfId="0" applyFont="1" applyFill="1" applyBorder="1" applyAlignment="1">
      <alignment horizontal="center" vertical="top" wrapText="1"/>
    </xf>
    <xf numFmtId="165" fontId="3" fillId="0" borderId="6" xfId="0" applyNumberFormat="1" applyFont="1" applyFill="1" applyBorder="1" applyAlignment="1">
      <alignment horizontal="center" vertical="top"/>
    </xf>
    <xf numFmtId="165" fontId="3" fillId="2" borderId="53" xfId="0" applyNumberFormat="1" applyFont="1" applyFill="1" applyBorder="1" applyAlignment="1">
      <alignment horizontal="center" vertical="top" wrapText="1"/>
    </xf>
    <xf numFmtId="165" fontId="3" fillId="0" borderId="9"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5" fillId="8" borderId="29" xfId="0" applyNumberFormat="1" applyFont="1" applyFill="1" applyBorder="1" applyAlignment="1">
      <alignment horizontal="center" vertical="top" wrapText="1"/>
    </xf>
    <xf numFmtId="3" fontId="5" fillId="8" borderId="19" xfId="0" applyNumberFormat="1" applyFont="1" applyFill="1" applyBorder="1" applyAlignment="1">
      <alignment horizontal="center" vertical="top" wrapText="1"/>
    </xf>
    <xf numFmtId="3" fontId="3" fillId="8" borderId="33" xfId="0" applyNumberFormat="1" applyFont="1" applyFill="1" applyBorder="1" applyAlignment="1">
      <alignment horizontal="center" vertical="top" wrapText="1"/>
    </xf>
    <xf numFmtId="3" fontId="3" fillId="8" borderId="1" xfId="0" applyNumberFormat="1" applyFont="1" applyFill="1" applyBorder="1" applyAlignment="1">
      <alignment horizontal="center" vertical="top" wrapText="1"/>
    </xf>
    <xf numFmtId="165" fontId="5" fillId="13" borderId="61" xfId="0" applyNumberFormat="1" applyFont="1" applyFill="1" applyBorder="1" applyAlignment="1">
      <alignment horizontal="center" vertical="top"/>
    </xf>
    <xf numFmtId="3" fontId="3" fillId="8" borderId="50" xfId="1" applyNumberFormat="1" applyFont="1" applyFill="1" applyBorder="1" applyAlignment="1">
      <alignment horizontal="center" vertical="top"/>
    </xf>
    <xf numFmtId="3" fontId="3" fillId="0" borderId="32" xfId="0" applyNumberFormat="1" applyFont="1" applyFill="1" applyBorder="1" applyAlignment="1">
      <alignment horizontal="center" vertical="top" wrapText="1"/>
    </xf>
    <xf numFmtId="3" fontId="3" fillId="0" borderId="55" xfId="0" applyNumberFormat="1" applyFont="1" applyFill="1" applyBorder="1" applyAlignment="1">
      <alignment horizontal="center" vertical="top" wrapText="1"/>
    </xf>
    <xf numFmtId="1" fontId="3" fillId="8" borderId="85" xfId="0" applyNumberFormat="1" applyFont="1" applyFill="1" applyBorder="1" applyAlignment="1">
      <alignment horizontal="center" vertical="top" wrapText="1"/>
    </xf>
    <xf numFmtId="1" fontId="3" fillId="8" borderId="92" xfId="0" applyNumberFormat="1" applyFont="1" applyFill="1" applyBorder="1" applyAlignment="1">
      <alignment horizontal="center" vertical="top" wrapText="1"/>
    </xf>
    <xf numFmtId="49" fontId="3" fillId="8" borderId="114" xfId="0" applyNumberFormat="1" applyFont="1" applyFill="1" applyBorder="1" applyAlignment="1">
      <alignment horizontal="center" vertical="top" wrapText="1"/>
    </xf>
    <xf numFmtId="1" fontId="3" fillId="8" borderId="107" xfId="0" applyNumberFormat="1" applyFont="1" applyFill="1" applyBorder="1" applyAlignment="1">
      <alignment horizontal="center" vertical="top" wrapText="1"/>
    </xf>
    <xf numFmtId="1" fontId="3" fillId="8" borderId="125" xfId="0" applyNumberFormat="1" applyFont="1" applyFill="1" applyBorder="1" applyAlignment="1">
      <alignment horizontal="center" vertical="top" wrapText="1"/>
    </xf>
    <xf numFmtId="49" fontId="3" fillId="8" borderId="110" xfId="0" applyNumberFormat="1" applyFont="1" applyFill="1" applyBorder="1" applyAlignment="1">
      <alignment horizontal="center" vertical="top" wrapText="1"/>
    </xf>
    <xf numFmtId="1" fontId="3" fillId="8" borderId="106" xfId="0" applyNumberFormat="1" applyFont="1" applyFill="1" applyBorder="1" applyAlignment="1">
      <alignment horizontal="center" vertical="top" wrapText="1"/>
    </xf>
    <xf numFmtId="1" fontId="3" fillId="8" borderId="122" xfId="0" applyNumberFormat="1" applyFont="1" applyFill="1" applyBorder="1" applyAlignment="1">
      <alignment horizontal="center" vertical="top" wrapText="1"/>
    </xf>
    <xf numFmtId="0" fontId="3" fillId="8" borderId="0" xfId="0" applyFont="1" applyFill="1" applyBorder="1" applyAlignment="1">
      <alignment horizontal="left" vertical="top" wrapText="1"/>
    </xf>
    <xf numFmtId="3" fontId="3" fillId="2" borderId="0" xfId="0" applyNumberFormat="1" applyFont="1" applyFill="1" applyBorder="1" applyAlignment="1">
      <alignment horizontal="center" vertical="top"/>
    </xf>
    <xf numFmtId="0" fontId="3" fillId="8" borderId="17" xfId="0" applyFont="1" applyFill="1" applyBorder="1" applyAlignment="1">
      <alignment vertical="top"/>
    </xf>
    <xf numFmtId="0" fontId="3" fillId="8" borderId="53" xfId="0" applyFont="1" applyFill="1" applyBorder="1" applyAlignment="1">
      <alignment vertical="top"/>
    </xf>
    <xf numFmtId="3" fontId="3" fillId="8" borderId="1" xfId="0" applyNumberFormat="1" applyFont="1" applyFill="1" applyBorder="1" applyAlignment="1">
      <alignment horizontal="center" vertical="top"/>
    </xf>
    <xf numFmtId="165" fontId="3" fillId="8" borderId="84" xfId="0" applyNumberFormat="1" applyFont="1" applyFill="1" applyBorder="1" applyAlignment="1">
      <alignment horizontal="center" vertical="top"/>
    </xf>
    <xf numFmtId="165" fontId="3" fillId="8" borderId="100" xfId="0" applyNumberFormat="1" applyFont="1" applyFill="1" applyBorder="1" applyAlignment="1">
      <alignment horizontal="center" vertical="top"/>
    </xf>
    <xf numFmtId="0" fontId="3" fillId="8" borderId="100" xfId="0" applyFont="1" applyFill="1" applyBorder="1" applyAlignment="1">
      <alignment horizontal="left" vertical="top" wrapText="1"/>
    </xf>
    <xf numFmtId="1" fontId="3" fillId="8" borderId="86" xfId="0" applyNumberFormat="1" applyFont="1" applyFill="1" applyBorder="1" applyAlignment="1">
      <alignment horizontal="center" vertical="top" wrapText="1"/>
    </xf>
    <xf numFmtId="0" fontId="3" fillId="8" borderId="95" xfId="0" applyFont="1" applyFill="1" applyBorder="1" applyAlignment="1">
      <alignment horizontal="center" vertical="center" wrapText="1"/>
    </xf>
    <xf numFmtId="0" fontId="3" fillId="8" borderId="95" xfId="0" applyFont="1" applyFill="1" applyBorder="1" applyAlignment="1">
      <alignment horizontal="center" vertical="top"/>
    </xf>
    <xf numFmtId="165" fontId="3" fillId="8" borderId="112" xfId="0" applyNumberFormat="1" applyFont="1" applyFill="1" applyBorder="1" applyAlignment="1">
      <alignment horizontal="center" vertical="top"/>
    </xf>
    <xf numFmtId="165" fontId="3" fillId="8" borderId="95" xfId="0" applyNumberFormat="1" applyFont="1" applyFill="1" applyBorder="1" applyAlignment="1">
      <alignment horizontal="center" vertical="top"/>
    </xf>
    <xf numFmtId="165" fontId="3" fillId="8" borderId="97" xfId="0" applyNumberFormat="1" applyFont="1" applyFill="1" applyBorder="1" applyAlignment="1">
      <alignment horizontal="center" vertical="top"/>
    </xf>
    <xf numFmtId="165" fontId="3" fillId="8" borderId="121" xfId="0" applyNumberFormat="1" applyFont="1" applyFill="1" applyBorder="1" applyAlignment="1">
      <alignment horizontal="center" vertical="top"/>
    </xf>
    <xf numFmtId="3" fontId="3" fillId="8" borderId="21" xfId="1" applyNumberFormat="1" applyFont="1" applyFill="1" applyBorder="1" applyAlignment="1">
      <alignment horizontal="center" vertical="top"/>
    </xf>
    <xf numFmtId="3" fontId="3" fillId="8" borderId="48" xfId="1" applyNumberFormat="1" applyFont="1" applyFill="1" applyBorder="1" applyAlignment="1">
      <alignment horizontal="center" vertical="top"/>
    </xf>
    <xf numFmtId="0" fontId="3" fillId="8" borderId="104" xfId="1" applyFont="1" applyFill="1" applyBorder="1" applyAlignment="1">
      <alignment vertical="top" wrapText="1"/>
    </xf>
    <xf numFmtId="3" fontId="3" fillId="8" borderId="110" xfId="1" applyNumberFormat="1" applyFont="1" applyFill="1" applyBorder="1" applyAlignment="1">
      <alignment horizontal="center" vertical="top"/>
    </xf>
    <xf numFmtId="3" fontId="3" fillId="8" borderId="106" xfId="1" applyNumberFormat="1" applyFont="1" applyFill="1" applyBorder="1" applyAlignment="1">
      <alignment horizontal="center" vertical="top"/>
    </xf>
    <xf numFmtId="3" fontId="3" fillId="8" borderId="122" xfId="1" applyNumberFormat="1" applyFont="1" applyFill="1" applyBorder="1" applyAlignment="1">
      <alignment horizontal="center" vertical="top"/>
    </xf>
    <xf numFmtId="3" fontId="40" fillId="8" borderId="17" xfId="0" applyNumberFormat="1" applyFont="1" applyFill="1" applyBorder="1" applyAlignment="1">
      <alignment horizontal="center" vertical="top" wrapText="1"/>
    </xf>
    <xf numFmtId="3" fontId="40" fillId="8" borderId="53" xfId="0" applyNumberFormat="1" applyFont="1" applyFill="1" applyBorder="1" applyAlignment="1">
      <alignment horizontal="center" vertical="top" wrapText="1"/>
    </xf>
    <xf numFmtId="3" fontId="40" fillId="8" borderId="106" xfId="0" applyNumberFormat="1" applyFont="1" applyFill="1" applyBorder="1" applyAlignment="1">
      <alignment horizontal="center" vertical="top" wrapText="1"/>
    </xf>
    <xf numFmtId="3" fontId="40" fillId="8" borderId="122" xfId="0" applyNumberFormat="1" applyFont="1" applyFill="1" applyBorder="1" applyAlignment="1">
      <alignment horizontal="center" vertical="top" wrapText="1"/>
    </xf>
    <xf numFmtId="3" fontId="40" fillId="8" borderId="34" xfId="0" applyNumberFormat="1" applyFont="1" applyFill="1" applyBorder="1" applyAlignment="1">
      <alignment horizontal="center" vertical="top" wrapText="1"/>
    </xf>
    <xf numFmtId="3" fontId="40" fillId="8" borderId="55" xfId="0" applyNumberFormat="1" applyFont="1" applyFill="1" applyBorder="1" applyAlignment="1">
      <alignment horizontal="center" vertical="top" wrapText="1"/>
    </xf>
    <xf numFmtId="0" fontId="3" fillId="8" borderId="115" xfId="0" applyFont="1" applyFill="1" applyBorder="1" applyAlignment="1">
      <alignment vertical="top" wrapText="1"/>
    </xf>
    <xf numFmtId="3" fontId="3" fillId="8" borderId="107" xfId="0" applyNumberFormat="1" applyFont="1" applyFill="1" applyBorder="1" applyAlignment="1">
      <alignment horizontal="center" vertical="top" wrapText="1"/>
    </xf>
    <xf numFmtId="0" fontId="3" fillId="8" borderId="94" xfId="0" applyFont="1" applyFill="1" applyBorder="1" applyAlignment="1">
      <alignment vertical="top" wrapText="1"/>
    </xf>
    <xf numFmtId="0" fontId="3" fillId="8" borderId="114" xfId="0" applyFont="1" applyFill="1" applyBorder="1" applyAlignment="1">
      <alignment horizontal="center" vertical="top"/>
    </xf>
    <xf numFmtId="0" fontId="3" fillId="8" borderId="83" xfId="0" applyFont="1" applyFill="1" applyBorder="1" applyAlignment="1">
      <alignment horizontal="center" vertical="top" wrapText="1"/>
    </xf>
    <xf numFmtId="165" fontId="3" fillId="8" borderId="86" xfId="0" applyNumberFormat="1" applyFont="1" applyFill="1" applyBorder="1" applyAlignment="1">
      <alignment horizontal="center" vertical="top"/>
    </xf>
    <xf numFmtId="165" fontId="3" fillId="0" borderId="103" xfId="0" applyNumberFormat="1" applyFont="1" applyBorder="1" applyAlignment="1">
      <alignment horizontal="center" vertical="top"/>
    </xf>
    <xf numFmtId="165" fontId="3" fillId="0" borderId="107" xfId="0" applyNumberFormat="1" applyFont="1" applyBorder="1" applyAlignment="1">
      <alignment horizontal="center" vertical="top"/>
    </xf>
    <xf numFmtId="165" fontId="3" fillId="0" borderId="108" xfId="0" applyNumberFormat="1" applyFont="1" applyBorder="1" applyAlignment="1">
      <alignment horizontal="center" vertical="top"/>
    </xf>
    <xf numFmtId="165" fontId="3" fillId="0" borderId="109" xfId="0" applyNumberFormat="1" applyFont="1" applyBorder="1" applyAlignment="1">
      <alignment horizontal="center" vertical="top"/>
    </xf>
    <xf numFmtId="0" fontId="3" fillId="8" borderId="85" xfId="0" applyNumberFormat="1" applyFont="1" applyFill="1" applyBorder="1" applyAlignment="1">
      <alignment horizontal="center" vertical="top" wrapText="1"/>
    </xf>
    <xf numFmtId="0" fontId="3" fillId="0" borderId="86" xfId="0" applyFont="1" applyFill="1" applyBorder="1" applyAlignment="1">
      <alignment horizontal="center" vertical="top"/>
    </xf>
    <xf numFmtId="0" fontId="3" fillId="8" borderId="95" xfId="0" applyFont="1" applyFill="1" applyBorder="1" applyAlignment="1">
      <alignment horizontal="center" vertical="top" wrapText="1"/>
    </xf>
    <xf numFmtId="165" fontId="3" fillId="8" borderId="127" xfId="0" applyNumberFormat="1" applyFont="1" applyFill="1" applyBorder="1" applyAlignment="1">
      <alignment horizontal="center" vertical="top"/>
    </xf>
    <xf numFmtId="165" fontId="3" fillId="0" borderId="127" xfId="0" applyNumberFormat="1" applyFont="1" applyBorder="1" applyAlignment="1">
      <alignment horizontal="center" vertical="top"/>
    </xf>
    <xf numFmtId="165" fontId="3" fillId="0" borderId="97" xfId="0" applyNumberFormat="1" applyFont="1" applyBorder="1" applyAlignment="1">
      <alignment horizontal="center" vertical="top"/>
    </xf>
    <xf numFmtId="165" fontId="3" fillId="0" borderId="102" xfId="0" applyNumberFormat="1" applyFont="1" applyBorder="1" applyAlignment="1">
      <alignment horizontal="center" vertical="top"/>
    </xf>
    <xf numFmtId="0" fontId="3" fillId="8" borderId="96" xfId="0" applyFont="1" applyFill="1" applyBorder="1" applyAlignment="1">
      <alignment vertical="top" wrapText="1"/>
    </xf>
    <xf numFmtId="0" fontId="3" fillId="8" borderId="102" xfId="0" applyFont="1" applyFill="1" applyBorder="1" applyAlignment="1">
      <alignment horizontal="center" vertical="top"/>
    </xf>
    <xf numFmtId="3" fontId="3" fillId="8" borderId="97" xfId="0" applyNumberFormat="1" applyFont="1" applyFill="1" applyBorder="1" applyAlignment="1">
      <alignment horizontal="center" vertical="top" wrapText="1"/>
    </xf>
    <xf numFmtId="0" fontId="3" fillId="0" borderId="94" xfId="0" applyFont="1" applyFill="1" applyBorder="1" applyAlignment="1">
      <alignment vertical="center" wrapText="1"/>
    </xf>
    <xf numFmtId="0" fontId="3" fillId="0" borderId="86"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92" xfId="0" applyFont="1" applyFill="1" applyBorder="1" applyAlignment="1">
      <alignment horizontal="center" vertical="center"/>
    </xf>
    <xf numFmtId="0" fontId="40" fillId="8" borderId="85" xfId="0" applyFont="1" applyFill="1" applyBorder="1" applyAlignment="1">
      <alignment horizontal="center" vertical="center"/>
    </xf>
    <xf numFmtId="0" fontId="40" fillId="8" borderId="92" xfId="0" applyFont="1" applyFill="1" applyBorder="1" applyAlignment="1">
      <alignment horizontal="center" vertical="center"/>
    </xf>
    <xf numFmtId="49" fontId="40" fillId="8" borderId="106" xfId="0" applyNumberFormat="1" applyFont="1" applyFill="1" applyBorder="1" applyAlignment="1">
      <alignment horizontal="center" vertical="center"/>
    </xf>
    <xf numFmtId="49" fontId="40" fillId="8" borderId="122" xfId="0" applyNumberFormat="1" applyFont="1" applyFill="1" applyBorder="1" applyAlignment="1">
      <alignment horizontal="center" vertical="center"/>
    </xf>
    <xf numFmtId="0" fontId="40" fillId="8" borderId="97" xfId="0" applyFont="1" applyFill="1" applyBorder="1" applyAlignment="1">
      <alignment horizontal="center" vertical="center"/>
    </xf>
    <xf numFmtId="0" fontId="40" fillId="8" borderId="121" xfId="0" applyFont="1" applyFill="1" applyBorder="1" applyAlignment="1">
      <alignment horizontal="center" vertical="center"/>
    </xf>
    <xf numFmtId="0" fontId="40" fillId="8" borderId="106" xfId="0" applyFont="1" applyFill="1" applyBorder="1" applyAlignment="1">
      <alignment horizontal="center" vertical="center"/>
    </xf>
    <xf numFmtId="0" fontId="40" fillId="8" borderId="122" xfId="0" applyFont="1" applyFill="1" applyBorder="1" applyAlignment="1">
      <alignment horizontal="center" vertical="center"/>
    </xf>
    <xf numFmtId="0" fontId="3" fillId="8" borderId="55" xfId="0" applyFont="1" applyFill="1" applyBorder="1" applyAlignment="1">
      <alignment horizontal="center" vertical="center"/>
    </xf>
    <xf numFmtId="165" fontId="3" fillId="2" borderId="6" xfId="0" applyNumberFormat="1" applyFont="1" applyFill="1" applyBorder="1" applyAlignment="1">
      <alignment horizontal="center" vertical="top"/>
    </xf>
    <xf numFmtId="0" fontId="3" fillId="0" borderId="45" xfId="0" applyFont="1" applyBorder="1" applyAlignment="1">
      <alignment vertical="top"/>
    </xf>
    <xf numFmtId="0" fontId="3" fillId="0" borderId="21" xfId="0" applyFont="1" applyBorder="1" applyAlignment="1">
      <alignment vertical="top"/>
    </xf>
    <xf numFmtId="0" fontId="3" fillId="0" borderId="1" xfId="0" applyFont="1" applyBorder="1" applyAlignment="1">
      <alignment vertical="top"/>
    </xf>
    <xf numFmtId="165" fontId="3" fillId="8" borderId="104" xfId="0" applyNumberFormat="1" applyFont="1" applyFill="1" applyBorder="1" applyAlignment="1">
      <alignment horizontal="center" vertical="top"/>
    </xf>
    <xf numFmtId="3" fontId="3" fillId="2" borderId="7" xfId="0" applyNumberFormat="1" applyFont="1" applyFill="1" applyBorder="1" applyAlignment="1">
      <alignment horizontal="right" vertical="top"/>
    </xf>
    <xf numFmtId="0" fontId="5" fillId="2" borderId="17" xfId="0" applyFont="1" applyFill="1" applyBorder="1" applyAlignment="1">
      <alignment horizontal="center" vertical="top" wrapText="1"/>
    </xf>
    <xf numFmtId="0" fontId="5" fillId="8" borderId="17" xfId="0" applyFont="1" applyFill="1" applyBorder="1" applyAlignment="1">
      <alignment horizontal="center" vertical="top" wrapText="1"/>
    </xf>
    <xf numFmtId="0" fontId="7" fillId="0" borderId="0" xfId="0" applyFont="1" applyAlignment="1">
      <alignment vertical="top" wrapText="1"/>
    </xf>
    <xf numFmtId="49" fontId="5" fillId="8" borderId="54" xfId="0" applyNumberFormat="1" applyFont="1" applyFill="1" applyBorder="1" applyAlignment="1">
      <alignment horizontal="center" vertical="top"/>
    </xf>
    <xf numFmtId="3" fontId="11" fillId="8" borderId="77" xfId="0" applyNumberFormat="1" applyFont="1" applyFill="1" applyBorder="1" applyAlignment="1">
      <alignment horizontal="center" vertical="top"/>
    </xf>
    <xf numFmtId="165" fontId="11" fillId="8" borderId="77" xfId="0" applyNumberFormat="1" applyFont="1" applyFill="1" applyBorder="1" applyAlignment="1">
      <alignment horizontal="center" vertical="top"/>
    </xf>
    <xf numFmtId="165" fontId="11" fillId="8" borderId="46" xfId="0" applyNumberFormat="1" applyFont="1" applyFill="1" applyBorder="1" applyAlignment="1">
      <alignment horizontal="center" vertical="top"/>
    </xf>
    <xf numFmtId="3" fontId="3" fillId="8" borderId="47" xfId="0" applyNumberFormat="1" applyFont="1" applyFill="1" applyBorder="1" applyAlignment="1">
      <alignment vertical="top" wrapText="1"/>
    </xf>
    <xf numFmtId="3" fontId="3" fillId="8" borderId="28" xfId="0" applyNumberFormat="1" applyFont="1" applyFill="1" applyBorder="1" applyAlignment="1">
      <alignment vertical="top" wrapText="1"/>
    </xf>
    <xf numFmtId="3" fontId="3" fillId="8" borderId="29" xfId="0" applyNumberFormat="1" applyFont="1" applyFill="1" applyBorder="1" applyAlignment="1">
      <alignment vertical="top" wrapText="1"/>
    </xf>
    <xf numFmtId="3" fontId="17" fillId="8" borderId="19" xfId="0" applyNumberFormat="1" applyFont="1" applyFill="1" applyBorder="1" applyAlignment="1">
      <alignment horizontal="center" vertical="top"/>
    </xf>
    <xf numFmtId="3" fontId="5" fillId="8" borderId="53" xfId="0" applyNumberFormat="1" applyFont="1" applyFill="1" applyBorder="1" applyAlignment="1">
      <alignment horizontal="center" vertical="top" wrapText="1"/>
    </xf>
    <xf numFmtId="3" fontId="11" fillId="8" borderId="50" xfId="0" applyNumberFormat="1" applyFont="1" applyFill="1" applyBorder="1" applyAlignment="1">
      <alignment horizontal="center" vertical="top"/>
    </xf>
    <xf numFmtId="3" fontId="11" fillId="8" borderId="17" xfId="0" applyNumberFormat="1" applyFont="1" applyFill="1" applyBorder="1" applyAlignment="1">
      <alignment horizontal="center" vertical="top"/>
    </xf>
    <xf numFmtId="3" fontId="11" fillId="8" borderId="19" xfId="0" applyNumberFormat="1" applyFont="1" applyFill="1" applyBorder="1" applyAlignment="1">
      <alignment horizontal="center" vertical="top"/>
    </xf>
    <xf numFmtId="3" fontId="17" fillId="8" borderId="40" xfId="0" applyNumberFormat="1" applyFont="1" applyFill="1" applyBorder="1" applyAlignment="1">
      <alignment horizontal="right" vertical="top"/>
    </xf>
    <xf numFmtId="165" fontId="38" fillId="8" borderId="9" xfId="0" applyNumberFormat="1" applyFont="1" applyFill="1" applyBorder="1" applyAlignment="1">
      <alignment horizontal="center" vertical="top"/>
    </xf>
    <xf numFmtId="165" fontId="38" fillId="8" borderId="40" xfId="0" applyNumberFormat="1" applyFont="1" applyFill="1" applyBorder="1" applyAlignment="1">
      <alignment horizontal="center" vertical="top"/>
    </xf>
    <xf numFmtId="165" fontId="38" fillId="8" borderId="19" xfId="0" applyNumberFormat="1" applyFont="1" applyFill="1" applyBorder="1" applyAlignment="1">
      <alignment horizontal="center" vertical="top"/>
    </xf>
    <xf numFmtId="165" fontId="38" fillId="8" borderId="50" xfId="0" applyNumberFormat="1" applyFont="1" applyFill="1" applyBorder="1" applyAlignment="1">
      <alignment horizontal="center" vertical="top"/>
    </xf>
    <xf numFmtId="3" fontId="3" fillId="8" borderId="8" xfId="0" applyNumberFormat="1" applyFont="1" applyFill="1" applyBorder="1" applyAlignment="1">
      <alignment vertical="top" wrapText="1"/>
    </xf>
    <xf numFmtId="3" fontId="3" fillId="8" borderId="26" xfId="0" applyNumberFormat="1" applyFont="1" applyFill="1" applyBorder="1" applyAlignment="1">
      <alignment vertical="top" wrapText="1"/>
    </xf>
    <xf numFmtId="3" fontId="3" fillId="8" borderId="62" xfId="0" applyNumberFormat="1" applyFont="1" applyFill="1" applyBorder="1" applyAlignment="1">
      <alignment vertical="top" wrapText="1"/>
    </xf>
    <xf numFmtId="3" fontId="3" fillId="8" borderId="27" xfId="0" applyNumberFormat="1" applyFont="1" applyFill="1" applyBorder="1" applyAlignment="1">
      <alignment vertical="top" wrapText="1"/>
    </xf>
    <xf numFmtId="165" fontId="3" fillId="0" borderId="0" xfId="0" applyNumberFormat="1" applyFont="1" applyFill="1" applyAlignment="1">
      <alignment vertical="top"/>
    </xf>
    <xf numFmtId="3" fontId="3" fillId="8" borderId="33" xfId="0" applyNumberFormat="1" applyFont="1" applyFill="1" applyBorder="1" applyAlignment="1">
      <alignment horizontal="center" vertical="top"/>
    </xf>
    <xf numFmtId="49" fontId="5" fillId="8" borderId="47" xfId="0" applyNumberFormat="1" applyFont="1" applyFill="1" applyBorder="1" applyAlignment="1">
      <alignment horizontal="center" vertical="center"/>
    </xf>
    <xf numFmtId="0" fontId="5" fillId="8" borderId="13" xfId="0" applyFont="1" applyFill="1" applyBorder="1" applyAlignment="1">
      <alignment vertical="top" wrapText="1"/>
    </xf>
    <xf numFmtId="0" fontId="5" fillId="8" borderId="50" xfId="0" applyFont="1" applyFill="1" applyBorder="1" applyAlignment="1">
      <alignment horizontal="center" vertical="center"/>
    </xf>
    <xf numFmtId="49" fontId="5" fillId="8" borderId="51" xfId="0" applyNumberFormat="1" applyFont="1" applyFill="1" applyBorder="1" applyAlignment="1">
      <alignment horizontal="center" vertical="top" wrapText="1"/>
    </xf>
    <xf numFmtId="0" fontId="7" fillId="8" borderId="17" xfId="0" applyFont="1" applyFill="1" applyBorder="1" applyAlignment="1">
      <alignment horizontal="center" vertical="top" wrapText="1"/>
    </xf>
    <xf numFmtId="0" fontId="7" fillId="8" borderId="39" xfId="0" applyFont="1" applyFill="1" applyBorder="1" applyAlignment="1">
      <alignment horizontal="center" vertical="top" wrapText="1"/>
    </xf>
    <xf numFmtId="49" fontId="5" fillId="8" borderId="34" xfId="0" applyNumberFormat="1" applyFont="1" applyFill="1" applyBorder="1" applyAlignment="1">
      <alignment vertical="top"/>
    </xf>
    <xf numFmtId="0" fontId="5" fillId="8" borderId="34" xfId="0" applyFont="1" applyFill="1" applyBorder="1" applyAlignment="1">
      <alignment horizontal="left" vertical="top" wrapText="1"/>
    </xf>
    <xf numFmtId="49" fontId="5" fillId="8" borderId="39" xfId="0" applyNumberFormat="1" applyFont="1" applyFill="1" applyBorder="1" applyAlignment="1">
      <alignment horizontal="center" vertical="top"/>
    </xf>
    <xf numFmtId="49" fontId="5" fillId="8" borderId="20" xfId="0" applyNumberFormat="1" applyFont="1" applyFill="1" applyBorder="1" applyAlignment="1">
      <alignment horizontal="center" vertical="top"/>
    </xf>
    <xf numFmtId="49" fontId="5" fillId="8" borderId="30" xfId="0" applyNumberFormat="1" applyFont="1" applyFill="1" applyBorder="1" applyAlignment="1">
      <alignment horizontal="center" vertical="top"/>
    </xf>
    <xf numFmtId="3" fontId="3" fillId="8" borderId="92" xfId="0" applyNumberFormat="1" applyFont="1" applyFill="1" applyBorder="1" applyAlignment="1">
      <alignment horizontal="center" vertical="top" wrapText="1"/>
    </xf>
    <xf numFmtId="165" fontId="3" fillId="0" borderId="115" xfId="0" applyNumberFormat="1" applyFont="1" applyBorder="1" applyAlignment="1">
      <alignment horizontal="center" vertical="top"/>
    </xf>
    <xf numFmtId="0" fontId="3" fillId="8" borderId="31" xfId="0" applyFont="1" applyFill="1" applyBorder="1" applyAlignment="1">
      <alignment vertical="top" wrapText="1"/>
    </xf>
    <xf numFmtId="3" fontId="3" fillId="8" borderId="98" xfId="0" applyNumberFormat="1" applyFont="1" applyFill="1" applyBorder="1" applyAlignment="1">
      <alignment horizontal="center" vertical="top" wrapText="1"/>
    </xf>
    <xf numFmtId="0" fontId="3" fillId="8" borderId="8" xfId="0" applyFont="1" applyFill="1" applyBorder="1" applyAlignment="1">
      <alignment horizontal="left" vertical="top" wrapText="1"/>
    </xf>
    <xf numFmtId="0" fontId="3" fillId="8" borderId="11" xfId="0" applyFont="1" applyFill="1" applyBorder="1" applyAlignment="1">
      <alignment vertical="top" wrapText="1"/>
    </xf>
    <xf numFmtId="165" fontId="5" fillId="16" borderId="74" xfId="0" applyNumberFormat="1" applyFont="1" applyFill="1" applyBorder="1" applyAlignment="1">
      <alignment horizontal="center" vertical="center"/>
    </xf>
    <xf numFmtId="165" fontId="5" fillId="16" borderId="66" xfId="0" applyNumberFormat="1" applyFont="1" applyFill="1" applyBorder="1" applyAlignment="1">
      <alignment horizontal="center" vertical="center"/>
    </xf>
    <xf numFmtId="165" fontId="3" fillId="10" borderId="62" xfId="0" applyNumberFormat="1" applyFont="1" applyFill="1" applyBorder="1" applyAlignment="1">
      <alignment horizontal="center" vertical="top"/>
    </xf>
    <xf numFmtId="165" fontId="5" fillId="16" borderId="4" xfId="0" applyNumberFormat="1" applyFont="1" applyFill="1" applyBorder="1" applyAlignment="1">
      <alignment horizontal="center" vertical="center"/>
    </xf>
    <xf numFmtId="165" fontId="3" fillId="8" borderId="15" xfId="0" applyNumberFormat="1" applyFont="1" applyFill="1" applyBorder="1" applyAlignment="1">
      <alignment horizontal="center" vertical="top"/>
    </xf>
    <xf numFmtId="165" fontId="3" fillId="10" borderId="27" xfId="0" applyNumberFormat="1" applyFont="1" applyFill="1" applyBorder="1" applyAlignment="1">
      <alignment horizontal="center" vertical="top"/>
    </xf>
    <xf numFmtId="165" fontId="3" fillId="8" borderId="40" xfId="0" applyNumberFormat="1" applyFont="1" applyFill="1" applyBorder="1" applyAlignment="1">
      <alignment horizontal="right" vertical="top" wrapText="1"/>
    </xf>
    <xf numFmtId="165" fontId="3" fillId="8" borderId="15" xfId="0" applyNumberFormat="1" applyFont="1" applyFill="1" applyBorder="1" applyAlignment="1">
      <alignment horizontal="right" vertical="top"/>
    </xf>
    <xf numFmtId="165" fontId="3" fillId="2" borderId="19" xfId="0" applyNumberFormat="1" applyFont="1" applyFill="1" applyBorder="1" applyAlignment="1">
      <alignment horizontal="right" vertical="top"/>
    </xf>
    <xf numFmtId="165" fontId="3" fillId="8" borderId="93" xfId="0" applyNumberFormat="1" applyFont="1" applyFill="1" applyBorder="1" applyAlignment="1">
      <alignment horizontal="center" vertical="top"/>
    </xf>
    <xf numFmtId="165" fontId="3" fillId="2" borderId="19" xfId="0" applyNumberFormat="1" applyFont="1" applyFill="1" applyBorder="1" applyAlignment="1">
      <alignment horizontal="center" vertical="top"/>
    </xf>
    <xf numFmtId="165" fontId="5" fillId="13" borderId="27" xfId="0" applyNumberFormat="1" applyFont="1" applyFill="1" applyBorder="1" applyAlignment="1">
      <alignment horizontal="center" vertical="center"/>
    </xf>
    <xf numFmtId="165" fontId="5" fillId="3" borderId="27" xfId="0" applyNumberFormat="1" applyFont="1" applyFill="1" applyBorder="1" applyAlignment="1">
      <alignment horizontal="center" vertical="top"/>
    </xf>
    <xf numFmtId="165" fontId="5" fillId="14" borderId="80" xfId="0" applyNumberFormat="1" applyFont="1" applyFill="1" applyBorder="1" applyAlignment="1">
      <alignment horizontal="center" vertical="top"/>
    </xf>
    <xf numFmtId="165" fontId="5" fillId="5" borderId="80" xfId="0" applyNumberFormat="1" applyFont="1" applyFill="1" applyBorder="1" applyAlignment="1">
      <alignment horizontal="center" vertical="top"/>
    </xf>
    <xf numFmtId="165" fontId="3" fillId="8" borderId="14" xfId="0" applyNumberFormat="1" applyFont="1" applyFill="1" applyBorder="1" applyAlignment="1">
      <alignment horizontal="right" vertical="top"/>
    </xf>
    <xf numFmtId="165" fontId="3" fillId="2" borderId="50" xfId="0" applyNumberFormat="1" applyFont="1" applyFill="1" applyBorder="1" applyAlignment="1">
      <alignment horizontal="right" vertical="top"/>
    </xf>
    <xf numFmtId="165" fontId="3" fillId="2" borderId="48" xfId="0" applyNumberFormat="1" applyFont="1" applyFill="1" applyBorder="1" applyAlignment="1">
      <alignment horizontal="center" vertical="top"/>
    </xf>
    <xf numFmtId="165" fontId="3" fillId="0" borderId="32" xfId="0" applyNumberFormat="1" applyFont="1" applyBorder="1" applyAlignment="1">
      <alignment horizontal="center" vertical="top"/>
    </xf>
    <xf numFmtId="165" fontId="3" fillId="2" borderId="50" xfId="0" applyNumberFormat="1" applyFont="1" applyFill="1" applyBorder="1" applyAlignment="1">
      <alignment horizontal="center" vertical="top"/>
    </xf>
    <xf numFmtId="165" fontId="5" fillId="13" borderId="62" xfId="0" applyNumberFormat="1" applyFont="1" applyFill="1" applyBorder="1" applyAlignment="1">
      <alignment horizontal="center" vertical="center"/>
    </xf>
    <xf numFmtId="165" fontId="5" fillId="3" borderId="62" xfId="0" applyNumberFormat="1" applyFont="1" applyFill="1" applyBorder="1" applyAlignment="1">
      <alignment horizontal="center" vertical="top"/>
    </xf>
    <xf numFmtId="165" fontId="5" fillId="14" borderId="79" xfId="0" applyNumberFormat="1" applyFont="1" applyFill="1" applyBorder="1" applyAlignment="1">
      <alignment horizontal="center" vertical="top"/>
    </xf>
    <xf numFmtId="165" fontId="5" fillId="5" borderId="79" xfId="0" applyNumberFormat="1" applyFont="1" applyFill="1" applyBorder="1" applyAlignment="1">
      <alignment horizontal="center" vertical="top"/>
    </xf>
    <xf numFmtId="49" fontId="3" fillId="8" borderId="46" xfId="0" applyNumberFormat="1" applyFont="1" applyFill="1" applyBorder="1" applyAlignment="1">
      <alignment horizontal="center" vertical="top" wrapText="1"/>
    </xf>
    <xf numFmtId="49" fontId="3" fillId="8" borderId="24" xfId="0" applyNumberFormat="1" applyFont="1" applyFill="1" applyBorder="1" applyAlignment="1">
      <alignment horizontal="center" vertical="top" wrapText="1"/>
    </xf>
    <xf numFmtId="3" fontId="3" fillId="2" borderId="50" xfId="0" applyNumberFormat="1" applyFont="1" applyFill="1" applyBorder="1" applyAlignment="1">
      <alignment horizontal="center" vertical="top"/>
    </xf>
    <xf numFmtId="3" fontId="3" fillId="2" borderId="53" xfId="0" applyNumberFormat="1" applyFont="1" applyFill="1" applyBorder="1" applyAlignment="1">
      <alignment horizontal="center" vertical="top"/>
    </xf>
    <xf numFmtId="0" fontId="5" fillId="2" borderId="33" xfId="0" applyFont="1" applyFill="1" applyBorder="1" applyAlignment="1">
      <alignment horizontal="center" vertical="top" wrapText="1"/>
    </xf>
    <xf numFmtId="0" fontId="5" fillId="8" borderId="72" xfId="0" applyFont="1" applyFill="1" applyBorder="1" applyAlignment="1">
      <alignment horizontal="center" vertical="center" wrapText="1"/>
    </xf>
    <xf numFmtId="49" fontId="5" fillId="8" borderId="36" xfId="0" applyNumberFormat="1" applyFont="1" applyFill="1" applyBorder="1" applyAlignment="1">
      <alignment horizontal="center" vertical="top" wrapText="1"/>
    </xf>
    <xf numFmtId="49" fontId="3" fillId="0" borderId="36" xfId="0" applyNumberFormat="1" applyFont="1" applyBorder="1" applyAlignment="1">
      <alignment horizontal="center" vertical="center"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49" fontId="5" fillId="0" borderId="19" xfId="0" applyNumberFormat="1" applyFont="1" applyBorder="1" applyAlignment="1">
      <alignment horizontal="center" vertical="top"/>
    </xf>
    <xf numFmtId="49" fontId="3" fillId="2" borderId="17" xfId="0" applyNumberFormat="1" applyFont="1" applyFill="1" applyBorder="1" applyAlignment="1">
      <alignment horizontal="center" vertical="top" wrapText="1"/>
    </xf>
    <xf numFmtId="0" fontId="5" fillId="2" borderId="54" xfId="0" applyFont="1" applyFill="1" applyBorder="1" applyAlignment="1">
      <alignment horizontal="center" vertical="top" wrapText="1"/>
    </xf>
    <xf numFmtId="0" fontId="5" fillId="2" borderId="53" xfId="0"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3" borderId="26"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0" fontId="5" fillId="3" borderId="68" xfId="0" applyFont="1" applyFill="1" applyBorder="1" applyAlignment="1">
      <alignment horizontal="left" vertical="top" wrapText="1"/>
    </xf>
    <xf numFmtId="0" fontId="5" fillId="3" borderId="69" xfId="0" applyFont="1" applyFill="1" applyBorder="1" applyAlignment="1">
      <alignment horizontal="left" vertical="top" wrapText="1"/>
    </xf>
    <xf numFmtId="0" fontId="3" fillId="0" borderId="10" xfId="0" applyFont="1" applyFill="1" applyBorder="1" applyAlignment="1">
      <alignment horizontal="left" vertical="top" wrapText="1"/>
    </xf>
    <xf numFmtId="49" fontId="5" fillId="3" borderId="28" xfId="0" applyNumberFormat="1" applyFont="1" applyFill="1" applyBorder="1" applyAlignment="1">
      <alignment horizontal="center" vertical="top" wrapText="1"/>
    </xf>
    <xf numFmtId="49" fontId="5" fillId="8" borderId="28" xfId="0" applyNumberFormat="1" applyFont="1" applyFill="1" applyBorder="1" applyAlignment="1">
      <alignment horizontal="center" vertical="top" wrapText="1"/>
    </xf>
    <xf numFmtId="49" fontId="5" fillId="8" borderId="26"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12" borderId="50"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3" borderId="4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0" fontId="3" fillId="0" borderId="45" xfId="0" applyFont="1" applyFill="1" applyBorder="1" applyAlignment="1">
      <alignment horizontal="left" vertical="top" wrapText="1"/>
    </xf>
    <xf numFmtId="0" fontId="3" fillId="0" borderId="31" xfId="0" applyFont="1" applyFill="1" applyBorder="1" applyAlignment="1">
      <alignment horizontal="left" vertical="top" wrapText="1"/>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4" fontId="3" fillId="2" borderId="17" xfId="0" applyNumberFormat="1" applyFont="1" applyFill="1" applyBorder="1" applyAlignment="1">
      <alignment horizontal="center" vertical="top"/>
    </xf>
    <xf numFmtId="49" fontId="5" fillId="13" borderId="17" xfId="0" applyNumberFormat="1" applyFont="1" applyFill="1" applyBorder="1" applyAlignment="1">
      <alignment horizontal="center" vertical="top"/>
    </xf>
    <xf numFmtId="0" fontId="3" fillId="8" borderId="34" xfId="0" applyFont="1" applyFill="1" applyBorder="1" applyAlignment="1">
      <alignment horizontal="left" vertical="top" wrapText="1"/>
    </xf>
    <xf numFmtId="49" fontId="3" fillId="8" borderId="40" xfId="0" applyNumberFormat="1" applyFont="1" applyFill="1" applyBorder="1" applyAlignment="1">
      <alignment horizontal="center" vertical="top" wrapText="1"/>
    </xf>
    <xf numFmtId="0" fontId="3" fillId="8" borderId="17" xfId="0" applyFont="1" applyFill="1" applyBorder="1" applyAlignment="1">
      <alignment horizontal="left" vertical="top" wrapText="1"/>
    </xf>
    <xf numFmtId="0" fontId="3" fillId="8" borderId="45" xfId="0" applyFont="1" applyFill="1" applyBorder="1" applyAlignment="1">
      <alignment horizontal="left" vertical="top" wrapText="1"/>
    </xf>
    <xf numFmtId="0" fontId="3" fillId="8" borderId="32" xfId="0" applyFont="1" applyFill="1" applyBorder="1" applyAlignment="1">
      <alignment horizontal="left" vertical="top" wrapText="1"/>
    </xf>
    <xf numFmtId="49" fontId="5" fillId="13" borderId="17" xfId="0" applyNumberFormat="1" applyFont="1" applyFill="1" applyBorder="1" applyAlignment="1">
      <alignment horizontal="center" vertical="top" wrapText="1"/>
    </xf>
    <xf numFmtId="49" fontId="3" fillId="8" borderId="9" xfId="0" applyNumberFormat="1" applyFont="1" applyFill="1" applyBorder="1" applyAlignment="1">
      <alignment horizontal="center" vertical="top" wrapText="1"/>
    </xf>
    <xf numFmtId="49" fontId="3" fillId="8" borderId="53" xfId="0" applyNumberFormat="1" applyFont="1" applyFill="1" applyBorder="1" applyAlignment="1">
      <alignment horizontal="center" vertical="center" wrapText="1"/>
    </xf>
    <xf numFmtId="0" fontId="3" fillId="8" borderId="39" xfId="0" applyFont="1" applyFill="1" applyBorder="1" applyAlignment="1">
      <alignment horizontal="center" vertical="center" textRotation="90" wrapText="1"/>
    </xf>
    <xf numFmtId="49" fontId="3" fillId="8" borderId="9" xfId="0" applyNumberFormat="1" applyFont="1" applyFill="1" applyBorder="1" applyAlignment="1">
      <alignment horizontal="center" vertical="center" wrapText="1"/>
    </xf>
    <xf numFmtId="49" fontId="3" fillId="8" borderId="24" xfId="0" applyNumberFormat="1" applyFont="1" applyFill="1" applyBorder="1" applyAlignment="1">
      <alignment horizontal="center" vertical="center" wrapText="1"/>
    </xf>
    <xf numFmtId="49" fontId="5" fillId="0" borderId="34" xfId="0" applyNumberFormat="1" applyFont="1" applyBorder="1" applyAlignment="1">
      <alignment horizontal="center" vertical="top" wrapText="1"/>
    </xf>
    <xf numFmtId="0" fontId="3" fillId="2" borderId="28" xfId="0" applyFont="1" applyFill="1" applyBorder="1" applyAlignment="1">
      <alignment vertical="top" wrapText="1"/>
    </xf>
    <xf numFmtId="0" fontId="7" fillId="8" borderId="17" xfId="0" applyFont="1" applyFill="1" applyBorder="1" applyAlignment="1">
      <alignment vertical="top" wrapText="1"/>
    </xf>
    <xf numFmtId="49" fontId="5" fillId="8" borderId="21" xfId="0" applyNumberFormat="1" applyFont="1" applyFill="1" applyBorder="1" applyAlignment="1">
      <alignment horizontal="center" vertical="top"/>
    </xf>
    <xf numFmtId="49" fontId="5" fillId="8" borderId="34" xfId="0" applyNumberFormat="1" applyFont="1" applyFill="1" applyBorder="1" applyAlignment="1">
      <alignment horizontal="center" vertical="top"/>
    </xf>
    <xf numFmtId="0" fontId="3" fillId="8" borderId="9" xfId="0" applyFont="1" applyFill="1" applyBorder="1" applyAlignment="1">
      <alignment horizontal="center" vertical="top" wrapText="1"/>
    </xf>
    <xf numFmtId="0" fontId="3" fillId="0" borderId="24" xfId="0" applyFont="1" applyBorder="1" applyAlignment="1">
      <alignment horizontal="center" vertical="top" wrapText="1"/>
    </xf>
    <xf numFmtId="165" fontId="5" fillId="6" borderId="35" xfId="0" applyNumberFormat="1" applyFont="1" applyFill="1" applyBorder="1" applyAlignment="1">
      <alignment horizontal="center" vertical="top" wrapText="1"/>
    </xf>
    <xf numFmtId="3" fontId="5" fillId="0" borderId="78" xfId="0" applyNumberFormat="1" applyFont="1" applyBorder="1" applyAlignment="1">
      <alignment horizontal="center" vertical="center" wrapText="1"/>
    </xf>
    <xf numFmtId="165" fontId="5" fillId="10" borderId="76" xfId="0" applyNumberFormat="1" applyFont="1" applyFill="1" applyBorder="1" applyAlignment="1">
      <alignment horizontal="center" vertical="top" wrapText="1"/>
    </xf>
    <xf numFmtId="165" fontId="3" fillId="8" borderId="76" xfId="0" applyNumberFormat="1" applyFont="1" applyFill="1" applyBorder="1" applyAlignment="1">
      <alignment horizontal="center" vertical="top" wrapText="1"/>
    </xf>
    <xf numFmtId="165" fontId="3" fillId="0" borderId="76" xfId="0" applyNumberFormat="1" applyFont="1" applyBorder="1" applyAlignment="1">
      <alignment horizontal="center" vertical="top" wrapText="1"/>
    </xf>
    <xf numFmtId="165" fontId="3" fillId="10" borderId="76" xfId="0" applyNumberFormat="1" applyFont="1" applyFill="1" applyBorder="1" applyAlignment="1">
      <alignment horizontal="center" vertical="top" wrapText="1"/>
    </xf>
    <xf numFmtId="165" fontId="5" fillId="5" borderId="78" xfId="0" applyNumberFormat="1" applyFont="1" applyFill="1" applyBorder="1" applyAlignment="1">
      <alignment horizontal="center" vertical="top" wrapText="1"/>
    </xf>
    <xf numFmtId="165" fontId="5" fillId="5" borderId="76" xfId="0" applyNumberFormat="1" applyFont="1" applyFill="1" applyBorder="1" applyAlignment="1">
      <alignment horizontal="center" vertical="top" wrapText="1"/>
    </xf>
    <xf numFmtId="0" fontId="3" fillId="8" borderId="45" xfId="0" applyFont="1" applyFill="1" applyBorder="1" applyAlignment="1">
      <alignment vertical="top" wrapText="1"/>
    </xf>
    <xf numFmtId="0" fontId="3" fillId="8" borderId="104" xfId="0" applyFont="1" applyFill="1" applyBorder="1" applyAlignment="1">
      <alignment vertical="top" wrapText="1"/>
    </xf>
    <xf numFmtId="0" fontId="7" fillId="12" borderId="68" xfId="0" applyFont="1" applyFill="1" applyBorder="1" applyAlignment="1">
      <alignment horizontal="left" vertical="top" wrapText="1"/>
    </xf>
    <xf numFmtId="49" fontId="5" fillId="14" borderId="10" xfId="0" applyNumberFormat="1" applyFont="1" applyFill="1" applyBorder="1" applyAlignment="1">
      <alignment horizontal="center" vertical="top"/>
    </xf>
    <xf numFmtId="49" fontId="1" fillId="8" borderId="17" xfId="0" applyNumberFormat="1" applyFont="1" applyFill="1" applyBorder="1" applyAlignment="1">
      <alignment horizontal="center" vertical="center" textRotation="90" wrapText="1"/>
    </xf>
    <xf numFmtId="49" fontId="5" fillId="8" borderId="19" xfId="0" applyNumberFormat="1" applyFont="1" applyFill="1" applyBorder="1" applyAlignment="1">
      <alignment horizontal="center" vertical="top"/>
    </xf>
    <xf numFmtId="49" fontId="5" fillId="8" borderId="29" xfId="0" applyNumberFormat="1" applyFont="1" applyFill="1" applyBorder="1" applyAlignment="1">
      <alignment horizontal="center" vertical="top"/>
    </xf>
    <xf numFmtId="0" fontId="3" fillId="8" borderId="6" xfId="0" applyFont="1" applyFill="1" applyBorder="1" applyAlignment="1">
      <alignment horizontal="center" vertical="top" wrapText="1"/>
    </xf>
    <xf numFmtId="49" fontId="5" fillId="8" borderId="33" xfId="0" applyNumberFormat="1" applyFont="1" applyFill="1" applyBorder="1" applyAlignment="1">
      <alignment horizontal="center" vertical="top"/>
    </xf>
    <xf numFmtId="0" fontId="3" fillId="8" borderId="17" xfId="0" applyFont="1" applyFill="1" applyBorder="1" applyAlignment="1">
      <alignment vertical="top" wrapText="1"/>
    </xf>
    <xf numFmtId="49" fontId="2" fillId="8" borderId="17" xfId="0" applyNumberFormat="1" applyFont="1" applyFill="1" applyBorder="1" applyAlignment="1">
      <alignment horizontal="center" vertical="center" textRotation="90" wrapText="1"/>
    </xf>
    <xf numFmtId="49" fontId="5" fillId="8" borderId="2" xfId="0" applyNumberFormat="1" applyFont="1" applyFill="1" applyBorder="1" applyAlignment="1">
      <alignment horizontal="center" vertical="top"/>
    </xf>
    <xf numFmtId="0" fontId="3" fillId="8" borderId="20" xfId="0" applyFont="1" applyFill="1" applyBorder="1" applyAlignment="1">
      <alignment horizontal="center" vertical="center" textRotation="90" wrapText="1"/>
    </xf>
    <xf numFmtId="0" fontId="3" fillId="8" borderId="51" xfId="0" applyFont="1" applyFill="1" applyBorder="1" applyAlignment="1">
      <alignment horizontal="center" vertical="center" textRotation="90" wrapText="1"/>
    </xf>
    <xf numFmtId="0" fontId="3" fillId="8" borderId="2" xfId="0" applyFont="1" applyFill="1" applyBorder="1" applyAlignment="1">
      <alignment horizontal="left" vertical="top" wrapText="1"/>
    </xf>
    <xf numFmtId="0" fontId="7" fillId="8" borderId="9" xfId="0" applyFont="1" applyFill="1" applyBorder="1" applyAlignment="1">
      <alignment horizontal="center" vertical="center" wrapText="1"/>
    </xf>
    <xf numFmtId="165" fontId="3" fillId="8" borderId="40" xfId="0" applyNumberFormat="1" applyFont="1" applyFill="1" applyBorder="1" applyAlignment="1">
      <alignment horizontal="center" vertical="top"/>
    </xf>
    <xf numFmtId="165" fontId="3" fillId="8" borderId="9" xfId="0" applyNumberFormat="1" applyFont="1" applyFill="1" applyBorder="1" applyAlignment="1">
      <alignment horizontal="center" vertical="top"/>
    </xf>
    <xf numFmtId="3" fontId="3" fillId="8" borderId="52" xfId="1" applyNumberFormat="1" applyFont="1" applyFill="1" applyBorder="1" applyAlignment="1">
      <alignment horizontal="center" vertical="top"/>
    </xf>
    <xf numFmtId="3" fontId="3" fillId="8" borderId="53" xfId="1" applyNumberFormat="1" applyFont="1" applyFill="1" applyBorder="1" applyAlignment="1">
      <alignment horizontal="center" vertical="top"/>
    </xf>
    <xf numFmtId="3" fontId="3" fillId="8" borderId="55" xfId="1" applyNumberFormat="1" applyFont="1" applyFill="1" applyBorder="1" applyAlignment="1">
      <alignment horizontal="center" vertical="top"/>
    </xf>
    <xf numFmtId="0" fontId="3" fillId="8" borderId="9" xfId="0" applyFont="1" applyFill="1" applyBorder="1" applyAlignment="1">
      <alignment horizontal="center" vertical="center" wrapText="1"/>
    </xf>
    <xf numFmtId="0" fontId="3" fillId="8" borderId="10" xfId="0" applyFont="1" applyFill="1" applyBorder="1" applyAlignment="1">
      <alignment vertical="top" wrapText="1"/>
    </xf>
    <xf numFmtId="0" fontId="3" fillId="8" borderId="45" xfId="1" applyFont="1" applyFill="1" applyBorder="1" applyAlignment="1">
      <alignment vertical="top" wrapText="1"/>
    </xf>
    <xf numFmtId="0" fontId="3" fillId="8" borderId="10" xfId="1" applyFont="1" applyFill="1" applyBorder="1" applyAlignment="1">
      <alignment vertical="top" wrapText="1"/>
    </xf>
    <xf numFmtId="0" fontId="3" fillId="8" borderId="31" xfId="1" applyFont="1" applyFill="1" applyBorder="1" applyAlignment="1">
      <alignment vertical="top" wrapText="1"/>
    </xf>
    <xf numFmtId="0" fontId="3" fillId="8" borderId="48" xfId="0" applyFont="1" applyFill="1" applyBorder="1" applyAlignment="1">
      <alignment horizontal="center" vertical="center" textRotation="90" wrapText="1"/>
    </xf>
    <xf numFmtId="0" fontId="3" fillId="8" borderId="50" xfId="0" applyFont="1" applyFill="1" applyBorder="1" applyAlignment="1">
      <alignment horizontal="center" vertical="center" textRotation="90" wrapText="1"/>
    </xf>
    <xf numFmtId="0" fontId="3" fillId="8" borderId="37" xfId="0" applyFont="1" applyFill="1" applyBorder="1" applyAlignment="1">
      <alignment horizontal="left" vertical="top" wrapText="1"/>
    </xf>
    <xf numFmtId="49" fontId="5" fillId="13" borderId="28" xfId="0" applyNumberFormat="1" applyFont="1" applyFill="1" applyBorder="1" applyAlignment="1">
      <alignment horizontal="center" vertical="top"/>
    </xf>
    <xf numFmtId="0" fontId="3" fillId="0" borderId="20" xfId="0" applyFont="1" applyFill="1" applyBorder="1" applyAlignment="1">
      <alignment horizontal="center" vertical="center" textRotation="90" wrapText="1"/>
    </xf>
    <xf numFmtId="49" fontId="5" fillId="14" borderId="8"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0" fontId="3" fillId="8" borderId="40" xfId="0" applyFont="1" applyFill="1" applyBorder="1" applyAlignment="1">
      <alignment horizontal="left" vertical="top" wrapText="1"/>
    </xf>
    <xf numFmtId="0" fontId="3" fillId="8" borderId="40" xfId="0" applyFont="1" applyFill="1" applyBorder="1" applyAlignment="1">
      <alignment vertical="top" wrapText="1"/>
    </xf>
    <xf numFmtId="0" fontId="3" fillId="8" borderId="34" xfId="0" applyFont="1" applyFill="1" applyBorder="1" applyAlignment="1">
      <alignment vertical="top" wrapText="1"/>
    </xf>
    <xf numFmtId="0" fontId="5" fillId="2" borderId="29"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14" borderId="63" xfId="0" applyFont="1" applyFill="1" applyBorder="1" applyAlignment="1">
      <alignment horizontal="center" vertical="top"/>
    </xf>
    <xf numFmtId="0" fontId="3" fillId="14" borderId="68" xfId="0" applyFont="1" applyFill="1" applyBorder="1" applyAlignment="1">
      <alignment horizontal="center" vertical="top"/>
    </xf>
    <xf numFmtId="0" fontId="3" fillId="14" borderId="69" xfId="0" applyFont="1" applyFill="1" applyBorder="1" applyAlignment="1">
      <alignment horizontal="center" vertical="top"/>
    </xf>
    <xf numFmtId="49" fontId="5" fillId="14" borderId="10" xfId="0" applyNumberFormat="1" applyFont="1" applyFill="1" applyBorder="1" applyAlignment="1">
      <alignment horizontal="center" vertical="top" wrapText="1"/>
    </xf>
    <xf numFmtId="49" fontId="5" fillId="14" borderId="11" xfId="0" applyNumberFormat="1" applyFont="1" applyFill="1" applyBorder="1" applyAlignment="1">
      <alignment horizontal="center" vertical="top" wrapText="1"/>
    </xf>
    <xf numFmtId="165" fontId="3" fillId="0" borderId="33" xfId="0" applyNumberFormat="1" applyFont="1" applyFill="1" applyBorder="1" applyAlignment="1">
      <alignment horizontal="center" vertical="top" wrapText="1"/>
    </xf>
    <xf numFmtId="165" fontId="3" fillId="0" borderId="34" xfId="0" applyNumberFormat="1" applyFont="1" applyFill="1" applyBorder="1" applyAlignment="1">
      <alignment horizontal="center" vertical="top" wrapText="1"/>
    </xf>
    <xf numFmtId="49" fontId="5" fillId="8" borderId="47"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3" borderId="62"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49" fontId="5" fillId="12" borderId="5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0" fontId="5" fillId="3" borderId="68" xfId="0" applyFont="1" applyFill="1" applyBorder="1" applyAlignment="1">
      <alignment horizontal="left" vertical="top" wrapText="1"/>
    </xf>
    <xf numFmtId="49" fontId="5" fillId="8" borderId="17" xfId="0" applyNumberFormat="1" applyFont="1" applyFill="1" applyBorder="1" applyAlignment="1">
      <alignment horizontal="center" vertical="top" wrapText="1"/>
    </xf>
    <xf numFmtId="49" fontId="5" fillId="8" borderId="28" xfId="0" applyNumberFormat="1" applyFont="1" applyFill="1" applyBorder="1" applyAlignment="1">
      <alignment horizontal="center" vertical="top" wrapText="1"/>
    </xf>
    <xf numFmtId="0" fontId="3" fillId="8" borderId="21" xfId="0" applyFont="1" applyFill="1" applyBorder="1" applyAlignment="1">
      <alignment horizontal="left" vertical="top" wrapText="1"/>
    </xf>
    <xf numFmtId="49" fontId="5" fillId="14" borderId="10" xfId="0" applyNumberFormat="1" applyFont="1" applyFill="1" applyBorder="1" applyAlignment="1">
      <alignment horizontal="center" vertical="top"/>
    </xf>
    <xf numFmtId="0" fontId="3" fillId="8" borderId="40" xfId="0" applyFont="1" applyFill="1" applyBorder="1" applyAlignment="1">
      <alignment vertical="top" wrapText="1"/>
    </xf>
    <xf numFmtId="0" fontId="3" fillId="8" borderId="10" xfId="1" applyFont="1" applyFill="1" applyBorder="1" applyAlignment="1">
      <alignment vertical="top" wrapText="1"/>
    </xf>
    <xf numFmtId="3" fontId="5" fillId="8" borderId="41" xfId="0" applyNumberFormat="1" applyFont="1" applyFill="1" applyBorder="1" applyAlignment="1">
      <alignment horizontal="center" vertical="top" wrapText="1"/>
    </xf>
    <xf numFmtId="49" fontId="5" fillId="8" borderId="19" xfId="0" applyNumberFormat="1" applyFont="1" applyFill="1" applyBorder="1" applyAlignment="1">
      <alignment horizontal="center" vertical="top"/>
    </xf>
    <xf numFmtId="0" fontId="3" fillId="2" borderId="21" xfId="0" applyFont="1" applyFill="1" applyBorder="1" applyAlignment="1">
      <alignment vertical="top" wrapText="1"/>
    </xf>
    <xf numFmtId="49" fontId="17" fillId="14" borderId="35" xfId="0" applyNumberFormat="1" applyFont="1" applyFill="1" applyBorder="1" applyAlignment="1">
      <alignment horizontal="center" vertical="top"/>
    </xf>
    <xf numFmtId="49" fontId="17" fillId="12" borderId="26" xfId="0" applyNumberFormat="1" applyFont="1" applyFill="1" applyBorder="1" applyAlignment="1">
      <alignment horizontal="center" vertical="top"/>
    </xf>
    <xf numFmtId="165" fontId="3" fillId="8" borderId="40" xfId="0" applyNumberFormat="1" applyFont="1" applyFill="1" applyBorder="1" applyAlignment="1">
      <alignment horizontal="center" vertical="top"/>
    </xf>
    <xf numFmtId="165" fontId="3" fillId="8" borderId="9" xfId="0" applyNumberFormat="1" applyFont="1" applyFill="1" applyBorder="1" applyAlignment="1">
      <alignment horizontal="center" vertical="top"/>
    </xf>
    <xf numFmtId="3" fontId="3" fillId="8" borderId="52" xfId="1" applyNumberFormat="1" applyFont="1" applyFill="1" applyBorder="1" applyAlignment="1">
      <alignment horizontal="center" vertical="top"/>
    </xf>
    <xf numFmtId="3" fontId="3" fillId="8" borderId="53" xfId="1" applyNumberFormat="1" applyFont="1" applyFill="1" applyBorder="1" applyAlignment="1">
      <alignment horizontal="center" vertical="top"/>
    </xf>
    <xf numFmtId="3" fontId="3" fillId="8" borderId="55" xfId="1" applyNumberFormat="1" applyFont="1" applyFill="1" applyBorder="1" applyAlignment="1">
      <alignment horizontal="center" vertical="top"/>
    </xf>
    <xf numFmtId="0" fontId="3" fillId="8" borderId="10" xfId="0" applyFont="1" applyFill="1" applyBorder="1" applyAlignment="1">
      <alignment vertical="top" wrapText="1"/>
    </xf>
    <xf numFmtId="0" fontId="3" fillId="8" borderId="20" xfId="0" applyFont="1" applyFill="1" applyBorder="1" applyAlignment="1">
      <alignment horizontal="center" vertical="center" textRotation="90" wrapText="1"/>
    </xf>
    <xf numFmtId="49" fontId="5" fillId="8" borderId="29" xfId="0" applyNumberFormat="1" applyFont="1" applyFill="1" applyBorder="1" applyAlignment="1">
      <alignment horizontal="center" vertical="top"/>
    </xf>
    <xf numFmtId="49" fontId="5" fillId="8" borderId="33" xfId="0" applyNumberFormat="1" applyFont="1" applyFill="1" applyBorder="1" applyAlignment="1">
      <alignment horizontal="center" vertical="top"/>
    </xf>
    <xf numFmtId="49" fontId="17" fillId="8" borderId="30" xfId="0" applyNumberFormat="1" applyFont="1" applyFill="1" applyBorder="1" applyAlignment="1">
      <alignment horizontal="center" vertical="top"/>
    </xf>
    <xf numFmtId="3" fontId="3" fillId="8" borderId="26" xfId="0" applyNumberFormat="1" applyFont="1" applyFill="1" applyBorder="1" applyAlignment="1">
      <alignment horizontal="left" vertical="top" wrapText="1"/>
    </xf>
    <xf numFmtId="3" fontId="5" fillId="8" borderId="30" xfId="0" applyNumberFormat="1" applyFont="1" applyFill="1" applyBorder="1" applyAlignment="1">
      <alignment horizontal="center" vertical="top" wrapText="1"/>
    </xf>
    <xf numFmtId="0" fontId="3" fillId="8" borderId="9" xfId="0" applyFont="1" applyFill="1" applyBorder="1" applyAlignment="1">
      <alignment horizontal="center" vertical="top" wrapText="1"/>
    </xf>
    <xf numFmtId="0" fontId="3" fillId="8" borderId="39" xfId="0" applyFont="1" applyFill="1" applyBorder="1" applyAlignment="1">
      <alignment horizontal="center" vertical="center" textRotation="90" wrapText="1"/>
    </xf>
    <xf numFmtId="49" fontId="5" fillId="8" borderId="27" xfId="0" applyNumberFormat="1" applyFont="1" applyFill="1" applyBorder="1" applyAlignment="1">
      <alignment horizontal="center" vertical="top" wrapText="1"/>
    </xf>
    <xf numFmtId="49" fontId="5" fillId="8" borderId="47"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0" fontId="5" fillId="2" borderId="19" xfId="0" applyFont="1" applyFill="1" applyBorder="1" applyAlignment="1">
      <alignment horizontal="center" vertical="top" wrapText="1"/>
    </xf>
    <xf numFmtId="0" fontId="40" fillId="0" borderId="96" xfId="0" applyFont="1" applyFill="1" applyBorder="1" applyAlignment="1">
      <alignment vertical="top" wrapText="1"/>
    </xf>
    <xf numFmtId="3" fontId="40" fillId="0" borderId="102" xfId="0" applyNumberFormat="1" applyFont="1" applyFill="1" applyBorder="1" applyAlignment="1">
      <alignment horizontal="center" vertical="top" wrapText="1"/>
    </xf>
    <xf numFmtId="3" fontId="3" fillId="0" borderId="121" xfId="0" applyNumberFormat="1" applyFont="1" applyFill="1" applyBorder="1" applyAlignment="1">
      <alignment horizontal="center" vertical="top" wrapText="1"/>
    </xf>
    <xf numFmtId="3" fontId="40" fillId="8" borderId="52" xfId="1" applyNumberFormat="1" applyFont="1" applyFill="1" applyBorder="1" applyAlignment="1">
      <alignment horizontal="center" vertical="top"/>
    </xf>
    <xf numFmtId="3" fontId="40" fillId="8" borderId="55" xfId="1"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40" fillId="8" borderId="10" xfId="1" applyFont="1" applyFill="1" applyBorder="1" applyAlignment="1">
      <alignment vertical="top" wrapText="1"/>
    </xf>
    <xf numFmtId="3" fontId="40" fillId="8" borderId="50" xfId="1" applyNumberFormat="1" applyFont="1" applyFill="1" applyBorder="1" applyAlignment="1">
      <alignment horizontal="center" vertical="top"/>
    </xf>
    <xf numFmtId="0" fontId="40" fillId="8" borderId="31" xfId="0" applyFont="1" applyFill="1" applyBorder="1" applyAlignment="1">
      <alignment horizontal="left" vertical="top" wrapText="1"/>
    </xf>
    <xf numFmtId="3" fontId="40" fillId="8" borderId="34" xfId="0" applyNumberFormat="1" applyFont="1" applyFill="1" applyBorder="1" applyAlignment="1">
      <alignment horizontal="center" vertical="top"/>
    </xf>
    <xf numFmtId="0" fontId="40" fillId="8" borderId="10" xfId="0" applyFont="1" applyFill="1" applyBorder="1" applyAlignment="1">
      <alignment vertical="top"/>
    </xf>
    <xf numFmtId="3" fontId="40" fillId="8" borderId="50" xfId="0" applyNumberFormat="1" applyFont="1" applyFill="1" applyBorder="1" applyAlignment="1">
      <alignment horizontal="center" vertical="top" wrapText="1"/>
    </xf>
    <xf numFmtId="3" fontId="40" fillId="8" borderId="21" xfId="0" applyNumberFormat="1" applyFont="1" applyFill="1" applyBorder="1" applyAlignment="1">
      <alignment horizontal="center" vertical="top"/>
    </xf>
    <xf numFmtId="3" fontId="40" fillId="8" borderId="52" xfId="0" applyNumberFormat="1" applyFont="1" applyFill="1" applyBorder="1" applyAlignment="1">
      <alignment horizontal="center" vertical="top"/>
    </xf>
    <xf numFmtId="3" fontId="40" fillId="8" borderId="55" xfId="0" applyNumberFormat="1" applyFont="1" applyFill="1" applyBorder="1" applyAlignment="1">
      <alignment horizontal="center" vertical="top"/>
    </xf>
    <xf numFmtId="3" fontId="44" fillId="8" borderId="48" xfId="0" applyNumberFormat="1" applyFont="1" applyFill="1" applyBorder="1" applyAlignment="1">
      <alignment horizontal="center" vertical="top" wrapText="1"/>
    </xf>
    <xf numFmtId="3" fontId="44" fillId="8" borderId="21" xfId="0" applyNumberFormat="1" applyFont="1" applyFill="1" applyBorder="1" applyAlignment="1">
      <alignment horizontal="center" vertical="top" wrapText="1"/>
    </xf>
    <xf numFmtId="3" fontId="44" fillId="8" borderId="52" xfId="0" applyNumberFormat="1" applyFont="1" applyFill="1" applyBorder="1" applyAlignment="1">
      <alignment horizontal="center" vertical="top" wrapText="1"/>
    </xf>
    <xf numFmtId="3" fontId="44" fillId="8" borderId="50" xfId="0" applyNumberFormat="1" applyFont="1" applyFill="1" applyBorder="1" applyAlignment="1">
      <alignment horizontal="center" vertical="top" wrapText="1"/>
    </xf>
    <xf numFmtId="3" fontId="44" fillId="8" borderId="17" xfId="0" applyNumberFormat="1" applyFont="1" applyFill="1" applyBorder="1" applyAlignment="1">
      <alignment horizontal="center" vertical="top" wrapText="1"/>
    </xf>
    <xf numFmtId="3" fontId="44" fillId="8" borderId="53" xfId="0" applyNumberFormat="1" applyFont="1" applyFill="1" applyBorder="1" applyAlignment="1">
      <alignment horizontal="center" vertical="top" wrapText="1"/>
    </xf>
    <xf numFmtId="0" fontId="40" fillId="8" borderId="32" xfId="0" applyFont="1" applyFill="1" applyBorder="1" applyAlignment="1">
      <alignment horizontal="center" vertical="top"/>
    </xf>
    <xf numFmtId="0" fontId="40" fillId="8" borderId="34" xfId="0" applyFont="1" applyFill="1" applyBorder="1" applyAlignment="1">
      <alignment horizontal="center" vertical="top"/>
    </xf>
    <xf numFmtId="0" fontId="40" fillId="8" borderId="55" xfId="0" applyFont="1" applyFill="1" applyBorder="1" applyAlignment="1">
      <alignment horizontal="center" vertical="top"/>
    </xf>
    <xf numFmtId="0" fontId="40" fillId="8" borderId="45" xfId="1" applyFont="1" applyFill="1" applyBorder="1" applyAlignment="1">
      <alignment vertical="top" wrapText="1"/>
    </xf>
    <xf numFmtId="3" fontId="40" fillId="8" borderId="17" xfId="1" applyNumberFormat="1" applyFont="1" applyFill="1" applyBorder="1" applyAlignment="1">
      <alignment horizontal="center" vertical="top"/>
    </xf>
    <xf numFmtId="3" fontId="40" fillId="8" borderId="53" xfId="1" applyNumberFormat="1" applyFont="1" applyFill="1" applyBorder="1" applyAlignment="1">
      <alignment horizontal="center" vertical="top"/>
    </xf>
    <xf numFmtId="0" fontId="40" fillId="8" borderId="104" xfId="1" applyFont="1" applyFill="1" applyBorder="1" applyAlignment="1">
      <alignment vertical="top" wrapText="1"/>
    </xf>
    <xf numFmtId="3" fontId="40" fillId="8" borderId="110" xfId="1" applyNumberFormat="1" applyFont="1" applyFill="1" applyBorder="1" applyAlignment="1">
      <alignment horizontal="center" vertical="top"/>
    </xf>
    <xf numFmtId="0" fontId="40" fillId="8" borderId="31" xfId="1" applyFont="1" applyFill="1" applyBorder="1" applyAlignment="1">
      <alignment vertical="top" wrapText="1"/>
    </xf>
    <xf numFmtId="3" fontId="40" fillId="8" borderId="32" xfId="1" applyNumberFormat="1" applyFont="1" applyFill="1" applyBorder="1" applyAlignment="1">
      <alignment horizontal="center" vertical="top"/>
    </xf>
    <xf numFmtId="3" fontId="40" fillId="8" borderId="34" xfId="1" applyNumberFormat="1" applyFont="1" applyFill="1" applyBorder="1" applyAlignment="1">
      <alignment horizontal="center" vertical="top"/>
    </xf>
    <xf numFmtId="0" fontId="40" fillId="8" borderId="10" xfId="0" applyFont="1" applyFill="1" applyBorder="1" applyAlignment="1">
      <alignment vertical="top" wrapText="1"/>
    </xf>
    <xf numFmtId="0" fontId="40" fillId="8" borderId="104" xfId="0" applyFont="1" applyFill="1" applyBorder="1" applyAlignment="1">
      <alignment horizontal="left" vertical="top" wrapText="1"/>
    </xf>
    <xf numFmtId="3" fontId="40" fillId="8" borderId="110" xfId="0" applyNumberFormat="1" applyFont="1" applyFill="1" applyBorder="1" applyAlignment="1">
      <alignment horizontal="center" vertical="top" wrapText="1"/>
    </xf>
    <xf numFmtId="0" fontId="40" fillId="8" borderId="40" xfId="0" applyFont="1" applyFill="1" applyBorder="1" applyAlignment="1">
      <alignment horizontal="left" vertical="top" wrapText="1"/>
    </xf>
    <xf numFmtId="0" fontId="40" fillId="8" borderId="31" xfId="0" applyFont="1" applyFill="1" applyBorder="1" applyAlignment="1">
      <alignment vertical="top" wrapText="1"/>
    </xf>
    <xf numFmtId="3" fontId="40" fillId="8" borderId="32" xfId="0" applyNumberFormat="1" applyFont="1" applyFill="1" applyBorder="1" applyAlignment="1">
      <alignment horizontal="center" vertical="top" wrapText="1"/>
    </xf>
    <xf numFmtId="165" fontId="3" fillId="8" borderId="47" xfId="0" applyNumberFormat="1" applyFont="1" applyFill="1" applyBorder="1" applyAlignment="1">
      <alignment horizontal="center" vertical="top"/>
    </xf>
    <xf numFmtId="0" fontId="40" fillId="8" borderId="104" xfId="0" applyFont="1" applyFill="1" applyBorder="1" applyAlignment="1">
      <alignment vertical="top" wrapText="1"/>
    </xf>
    <xf numFmtId="0" fontId="40" fillId="8" borderId="110" xfId="0" applyFont="1" applyFill="1" applyBorder="1" applyAlignment="1">
      <alignment horizontal="center" vertical="top"/>
    </xf>
    <xf numFmtId="3" fontId="40" fillId="8" borderId="84" xfId="0" applyNumberFormat="1" applyFont="1" applyFill="1" applyBorder="1" applyAlignment="1">
      <alignment vertical="top" wrapText="1"/>
    </xf>
    <xf numFmtId="3" fontId="40" fillId="8" borderId="86" xfId="0" applyNumberFormat="1" applyFont="1" applyFill="1" applyBorder="1" applyAlignment="1">
      <alignment horizontal="center" vertical="top"/>
    </xf>
    <xf numFmtId="3" fontId="40" fillId="8" borderId="85" xfId="0" applyNumberFormat="1" applyFont="1" applyFill="1" applyBorder="1" applyAlignment="1">
      <alignment horizontal="center" vertical="top" wrapText="1"/>
    </xf>
    <xf numFmtId="0" fontId="40" fillId="8" borderId="86" xfId="0" applyFont="1" applyFill="1" applyBorder="1" applyAlignment="1">
      <alignment horizontal="center" vertical="top"/>
    </xf>
    <xf numFmtId="3" fontId="40" fillId="8" borderId="93" xfId="0" applyNumberFormat="1" applyFont="1" applyFill="1" applyBorder="1" applyAlignment="1">
      <alignment horizontal="center" vertical="top" wrapText="1"/>
    </xf>
    <xf numFmtId="0" fontId="40" fillId="8" borderId="84" xfId="0" applyFont="1" applyFill="1" applyBorder="1" applyAlignment="1">
      <alignment vertical="top" wrapText="1"/>
    </xf>
    <xf numFmtId="3" fontId="40" fillId="8" borderId="96" xfId="0" applyNumberFormat="1" applyFont="1" applyFill="1" applyBorder="1" applyAlignment="1">
      <alignment vertical="top" wrapText="1"/>
    </xf>
    <xf numFmtId="3" fontId="40" fillId="8" borderId="102" xfId="0" applyNumberFormat="1" applyFont="1" applyFill="1" applyBorder="1" applyAlignment="1">
      <alignment horizontal="center" vertical="top"/>
    </xf>
    <xf numFmtId="3" fontId="40" fillId="8" borderId="97" xfId="0" applyNumberFormat="1" applyFont="1" applyFill="1" applyBorder="1" applyAlignment="1">
      <alignment horizontal="center" vertical="top" wrapText="1"/>
    </xf>
    <xf numFmtId="0" fontId="40" fillId="8" borderId="102" xfId="0" applyFont="1" applyFill="1" applyBorder="1" applyAlignment="1">
      <alignment horizontal="center" vertical="top"/>
    </xf>
    <xf numFmtId="3" fontId="40" fillId="8" borderId="98" xfId="0" applyNumberFormat="1" applyFont="1" applyFill="1" applyBorder="1" applyAlignment="1">
      <alignment horizontal="center" vertical="top" wrapText="1"/>
    </xf>
    <xf numFmtId="0" fontId="40" fillId="8" borderId="31" xfId="0" applyFont="1" applyFill="1" applyBorder="1" applyAlignment="1">
      <alignment wrapText="1"/>
    </xf>
    <xf numFmtId="3" fontId="40" fillId="8" borderId="34" xfId="0" applyNumberFormat="1" applyFont="1" applyFill="1" applyBorder="1" applyAlignment="1">
      <alignment horizontal="center" wrapText="1"/>
    </xf>
    <xf numFmtId="0" fontId="40" fillId="8" borderId="20" xfId="1" applyFont="1" applyFill="1" applyBorder="1" applyAlignment="1">
      <alignment wrapText="1"/>
    </xf>
    <xf numFmtId="3" fontId="40" fillId="0" borderId="34" xfId="0" applyNumberFormat="1" applyFont="1" applyFill="1" applyBorder="1" applyAlignment="1">
      <alignment horizontal="center" wrapText="1"/>
    </xf>
    <xf numFmtId="49" fontId="0" fillId="8" borderId="17" xfId="0" applyNumberFormat="1" applyFont="1" applyFill="1" applyBorder="1" applyAlignment="1">
      <alignment horizontal="center" vertical="center" textRotation="90" wrapText="1"/>
    </xf>
    <xf numFmtId="0" fontId="40" fillId="8" borderId="31" xfId="1" applyFont="1" applyFill="1" applyBorder="1" applyAlignment="1">
      <alignment wrapText="1"/>
    </xf>
    <xf numFmtId="0" fontId="0" fillId="0" borderId="17" xfId="0" applyFont="1" applyBorder="1" applyAlignment="1">
      <alignment horizontal="center" vertical="center" textRotation="90" wrapText="1"/>
    </xf>
    <xf numFmtId="0" fontId="40" fillId="8" borderId="110" xfId="0" applyFont="1" applyFill="1" applyBorder="1" applyAlignment="1">
      <alignment horizontal="center" vertical="center"/>
    </xf>
    <xf numFmtId="0" fontId="40" fillId="8" borderId="86" xfId="0" applyFont="1" applyFill="1" applyBorder="1" applyAlignment="1">
      <alignment horizontal="center" vertical="center"/>
    </xf>
    <xf numFmtId="0" fontId="40" fillId="8" borderId="94" xfId="0" applyFont="1" applyFill="1" applyBorder="1" applyAlignment="1">
      <alignment vertical="center" wrapText="1"/>
    </xf>
    <xf numFmtId="0" fontId="40" fillId="8" borderId="105" xfId="0" applyFont="1" applyFill="1" applyBorder="1" applyAlignment="1">
      <alignment vertical="center" wrapText="1"/>
    </xf>
    <xf numFmtId="49" fontId="40" fillId="8" borderId="110" xfId="0" applyNumberFormat="1" applyFont="1" applyFill="1" applyBorder="1" applyAlignment="1">
      <alignment horizontal="center" vertical="center"/>
    </xf>
    <xf numFmtId="0" fontId="40" fillId="8" borderId="112" xfId="0" applyFont="1" applyFill="1" applyBorder="1" applyAlignment="1">
      <alignment vertical="top" wrapText="1"/>
    </xf>
    <xf numFmtId="0" fontId="40" fillId="8" borderId="102" xfId="0" applyFont="1" applyFill="1" applyBorder="1" applyAlignment="1">
      <alignment horizontal="center" vertical="center"/>
    </xf>
    <xf numFmtId="3" fontId="40" fillId="8" borderId="40" xfId="0" applyNumberFormat="1" applyFont="1" applyFill="1" applyBorder="1" applyAlignment="1">
      <alignment vertical="top" wrapText="1"/>
    </xf>
    <xf numFmtId="0" fontId="40" fillId="8" borderId="17" xfId="0" applyFont="1" applyFill="1" applyBorder="1" applyAlignment="1">
      <alignment horizontal="center" vertical="top" wrapText="1"/>
    </xf>
    <xf numFmtId="0" fontId="40" fillId="8" borderId="35" xfId="0" applyFont="1" applyFill="1" applyBorder="1" applyAlignment="1">
      <alignment vertical="top" wrapText="1"/>
    </xf>
    <xf numFmtId="3" fontId="40" fillId="8" borderId="62" xfId="0" applyNumberFormat="1" applyFont="1" applyFill="1" applyBorder="1" applyAlignment="1">
      <alignment horizontal="center" vertical="top" wrapText="1"/>
    </xf>
    <xf numFmtId="0" fontId="40" fillId="0" borderId="39" xfId="0" applyFont="1" applyFill="1" applyBorder="1" applyAlignment="1">
      <alignment vertical="top" wrapText="1"/>
    </xf>
    <xf numFmtId="3" fontId="40" fillId="0" borderId="17" xfId="0" applyNumberFormat="1" applyFont="1" applyFill="1" applyBorder="1" applyAlignment="1">
      <alignment horizontal="center" vertical="top"/>
    </xf>
    <xf numFmtId="0" fontId="40" fillId="0" borderId="0" xfId="0" applyFont="1" applyFill="1" applyBorder="1" applyAlignment="1">
      <alignment vertical="top" wrapText="1"/>
    </xf>
    <xf numFmtId="0" fontId="40" fillId="8" borderId="72" xfId="0" applyFont="1" applyFill="1" applyBorder="1" applyAlignment="1">
      <alignment horizontal="left" vertical="top" wrapText="1"/>
    </xf>
    <xf numFmtId="0" fontId="44" fillId="8" borderId="47" xfId="0" applyFont="1" applyFill="1" applyBorder="1" applyAlignment="1">
      <alignment horizontal="center" vertical="top" wrapText="1"/>
    </xf>
    <xf numFmtId="165" fontId="3" fillId="8" borderId="70" xfId="0" applyNumberFormat="1" applyFont="1" applyFill="1" applyBorder="1" applyAlignment="1">
      <alignment horizontal="right" vertical="top" wrapText="1"/>
    </xf>
    <xf numFmtId="0" fontId="5" fillId="0" borderId="25" xfId="0" applyFont="1" applyBorder="1" applyAlignment="1">
      <alignment horizontal="center" vertical="center" wrapText="1"/>
    </xf>
    <xf numFmtId="165" fontId="3" fillId="0" borderId="10" xfId="0" applyNumberFormat="1" applyFont="1" applyBorder="1" applyAlignment="1">
      <alignment horizontal="center" vertical="top"/>
    </xf>
    <xf numFmtId="49" fontId="3" fillId="8" borderId="107" xfId="0" applyNumberFormat="1" applyFont="1" applyFill="1" applyBorder="1" applyAlignment="1">
      <alignment horizontal="center" vertical="top" wrapText="1"/>
    </xf>
    <xf numFmtId="49" fontId="3" fillId="8" borderId="125" xfId="0" applyNumberFormat="1" applyFont="1" applyFill="1" applyBorder="1" applyAlignment="1">
      <alignment horizontal="center" vertical="top" wrapText="1"/>
    </xf>
    <xf numFmtId="49" fontId="5" fillId="8" borderId="62" xfId="0" applyNumberFormat="1" applyFont="1" applyFill="1" applyBorder="1" applyAlignment="1">
      <alignment vertical="top"/>
    </xf>
    <xf numFmtId="1" fontId="3" fillId="8" borderId="97" xfId="0" applyNumberFormat="1" applyFont="1" applyFill="1" applyBorder="1" applyAlignment="1">
      <alignment horizontal="center" vertical="top" wrapText="1"/>
    </xf>
    <xf numFmtId="1" fontId="3" fillId="8" borderId="121" xfId="0" applyNumberFormat="1" applyFont="1" applyFill="1" applyBorder="1" applyAlignment="1">
      <alignment horizontal="center" vertical="top" wrapText="1"/>
    </xf>
    <xf numFmtId="0" fontId="0" fillId="0" borderId="35" xfId="0" applyBorder="1" applyAlignment="1"/>
    <xf numFmtId="3" fontId="3" fillId="8" borderId="26" xfId="1" applyNumberFormat="1" applyFont="1" applyFill="1" applyBorder="1" applyAlignment="1">
      <alignment vertical="top"/>
    </xf>
    <xf numFmtId="0" fontId="0" fillId="0" borderId="26" xfId="0" applyBorder="1" applyAlignment="1"/>
    <xf numFmtId="165" fontId="3" fillId="0" borderId="0" xfId="0" applyNumberFormat="1" applyFont="1" applyBorder="1" applyAlignment="1">
      <alignment vertical="top"/>
    </xf>
    <xf numFmtId="0" fontId="3" fillId="8" borderId="49" xfId="0" applyFont="1" applyFill="1" applyBorder="1" applyAlignment="1">
      <alignment horizontal="center" vertical="center" textRotation="90" wrapText="1"/>
    </xf>
    <xf numFmtId="0" fontId="3" fillId="8" borderId="47" xfId="0" applyFont="1" applyFill="1" applyBorder="1" applyAlignment="1">
      <alignment horizontal="center" vertical="center" textRotation="90" wrapText="1"/>
    </xf>
    <xf numFmtId="3" fontId="3" fillId="8" borderId="27" xfId="1" applyNumberFormat="1" applyFont="1" applyFill="1" applyBorder="1" applyAlignment="1">
      <alignment vertical="top"/>
    </xf>
    <xf numFmtId="0" fontId="9" fillId="8" borderId="72" xfId="0" applyFont="1" applyFill="1" applyBorder="1" applyAlignment="1">
      <alignment vertical="top" wrapText="1"/>
    </xf>
    <xf numFmtId="165" fontId="3" fillId="8" borderId="28" xfId="0" applyNumberFormat="1" applyFont="1" applyFill="1" applyBorder="1" applyAlignment="1">
      <alignment horizontal="center" vertical="top" wrapText="1"/>
    </xf>
    <xf numFmtId="165" fontId="3" fillId="8" borderId="54" xfId="0" applyNumberFormat="1" applyFont="1" applyFill="1" applyBorder="1" applyAlignment="1">
      <alignment horizontal="center" vertical="top" wrapText="1"/>
    </xf>
    <xf numFmtId="0" fontId="9" fillId="8" borderId="20" xfId="0" applyFont="1" applyFill="1" applyBorder="1" applyAlignment="1">
      <alignment vertical="top" wrapText="1"/>
    </xf>
    <xf numFmtId="165" fontId="3" fillId="8" borderId="34" xfId="0" applyNumberFormat="1" applyFont="1" applyFill="1" applyBorder="1" applyAlignment="1">
      <alignment horizontal="center" vertical="top" wrapText="1"/>
    </xf>
    <xf numFmtId="165" fontId="3" fillId="8" borderId="55" xfId="0" applyNumberFormat="1" applyFont="1" applyFill="1" applyBorder="1" applyAlignment="1">
      <alignment horizontal="center" vertical="top" wrapText="1"/>
    </xf>
    <xf numFmtId="0" fontId="3" fillId="8" borderId="91" xfId="0" applyFont="1" applyFill="1" applyBorder="1" applyAlignment="1">
      <alignment vertical="top" wrapText="1"/>
    </xf>
    <xf numFmtId="49" fontId="3" fillId="8" borderId="89" xfId="0" applyNumberFormat="1" applyFont="1" applyFill="1" applyBorder="1" applyAlignment="1">
      <alignment horizontal="center" vertical="top" wrapText="1"/>
    </xf>
    <xf numFmtId="49" fontId="3" fillId="8" borderId="90" xfId="0" applyNumberFormat="1" applyFont="1" applyFill="1" applyBorder="1" applyAlignment="1">
      <alignment horizontal="center" vertical="top" wrapText="1"/>
    </xf>
    <xf numFmtId="49" fontId="3" fillId="8" borderId="81" xfId="0" applyNumberFormat="1" applyFont="1" applyFill="1" applyBorder="1" applyAlignment="1">
      <alignment horizontal="center" vertical="top" wrapText="1"/>
    </xf>
    <xf numFmtId="0" fontId="2" fillId="8" borderId="17" xfId="0" applyFont="1" applyFill="1" applyBorder="1" applyAlignment="1">
      <alignment horizontal="center" vertical="center" textRotation="90"/>
    </xf>
    <xf numFmtId="0" fontId="2" fillId="8" borderId="28" xfId="0" applyFont="1" applyFill="1" applyBorder="1" applyAlignment="1">
      <alignment horizontal="center" vertical="center" textRotation="90"/>
    </xf>
    <xf numFmtId="165" fontId="3" fillId="8" borderId="9" xfId="0" applyNumberFormat="1" applyFont="1" applyFill="1" applyBorder="1" applyAlignment="1">
      <alignment horizontal="right" vertical="top"/>
    </xf>
    <xf numFmtId="0" fontId="3" fillId="8" borderId="8" xfId="0" applyFont="1" applyFill="1" applyBorder="1" applyAlignment="1">
      <alignment vertical="top" wrapText="1"/>
    </xf>
    <xf numFmtId="3" fontId="3" fillId="8" borderId="107" xfId="1" applyNumberFormat="1" applyFont="1" applyFill="1" applyBorder="1" applyAlignment="1">
      <alignment horizontal="center" vertical="top"/>
    </xf>
    <xf numFmtId="3" fontId="3" fillId="8" borderId="108" xfId="1" applyNumberFormat="1" applyFont="1" applyFill="1" applyBorder="1" applyAlignment="1">
      <alignment horizontal="center" vertical="top"/>
    </xf>
    <xf numFmtId="3" fontId="3" fillId="8" borderId="82" xfId="1" applyNumberFormat="1" applyFont="1" applyFill="1" applyBorder="1" applyAlignment="1">
      <alignment horizontal="center" vertical="top"/>
    </xf>
    <xf numFmtId="0" fontId="3" fillId="8" borderId="31" xfId="1" applyFont="1" applyFill="1" applyBorder="1" applyAlignment="1">
      <alignment wrapText="1"/>
    </xf>
    <xf numFmtId="0" fontId="2" fillId="8" borderId="34" xfId="0" applyFont="1" applyFill="1" applyBorder="1" applyAlignment="1">
      <alignment horizontal="center" vertical="center" textRotation="90"/>
    </xf>
    <xf numFmtId="165" fontId="3" fillId="8" borderId="70" xfId="0" applyNumberFormat="1" applyFont="1" applyFill="1" applyBorder="1" applyAlignment="1">
      <alignment horizontal="center" vertical="top" wrapText="1"/>
    </xf>
    <xf numFmtId="0" fontId="3" fillId="0" borderId="94" xfId="0" applyFont="1" applyFill="1" applyBorder="1" applyAlignment="1">
      <alignment horizontal="left" vertical="top" wrapText="1"/>
    </xf>
    <xf numFmtId="0" fontId="3" fillId="8" borderId="11" xfId="0" applyFont="1" applyFill="1" applyBorder="1" applyAlignment="1">
      <alignment horizontal="center" vertical="top" wrapText="1"/>
    </xf>
    <xf numFmtId="0" fontId="3" fillId="8" borderId="26" xfId="0" applyFont="1" applyFill="1" applyBorder="1" applyAlignment="1">
      <alignment horizontal="center" vertical="top" wrapText="1"/>
    </xf>
    <xf numFmtId="0" fontId="3" fillId="8" borderId="27" xfId="0" applyFont="1" applyFill="1" applyBorder="1" applyAlignment="1">
      <alignment horizontal="center" vertical="top" wrapText="1"/>
    </xf>
    <xf numFmtId="0" fontId="3" fillId="8" borderId="26" xfId="0" applyFont="1" applyFill="1" applyBorder="1" applyAlignment="1">
      <alignment horizontal="left" vertical="top" wrapText="1"/>
    </xf>
    <xf numFmtId="0" fontId="3" fillId="8" borderId="26" xfId="0" applyFont="1" applyFill="1" applyBorder="1" applyAlignment="1">
      <alignment horizontal="center" vertical="center" textRotation="90" wrapText="1"/>
    </xf>
    <xf numFmtId="0" fontId="3" fillId="8" borderId="39" xfId="0" applyFont="1" applyFill="1" applyBorder="1" applyAlignment="1">
      <alignment horizontal="center" vertical="top" wrapText="1"/>
    </xf>
    <xf numFmtId="3" fontId="3" fillId="0" borderId="0" xfId="1" applyNumberFormat="1" applyFont="1" applyFill="1" applyBorder="1" applyAlignment="1">
      <alignment horizontal="center" vertical="top"/>
    </xf>
    <xf numFmtId="0" fontId="3" fillId="0" borderId="0" xfId="0" applyFont="1" applyFill="1" applyBorder="1" applyAlignment="1">
      <alignment horizontal="left" vertical="top" wrapText="1"/>
    </xf>
    <xf numFmtId="0" fontId="3" fillId="8" borderId="72" xfId="0" applyFont="1" applyFill="1" applyBorder="1" applyAlignment="1">
      <alignment horizontal="center" vertical="center" textRotation="90" wrapText="1"/>
    </xf>
    <xf numFmtId="0" fontId="5" fillId="8" borderId="29" xfId="0" applyFont="1" applyFill="1" applyBorder="1" applyAlignment="1">
      <alignment horizontal="center" vertical="center"/>
    </xf>
    <xf numFmtId="0" fontId="3" fillId="8" borderId="77" xfId="0" applyFont="1" applyFill="1" applyBorder="1" applyAlignment="1">
      <alignment vertical="center" wrapText="1"/>
    </xf>
    <xf numFmtId="0" fontId="3" fillId="8" borderId="28" xfId="0" applyFont="1" applyFill="1" applyBorder="1" applyAlignment="1">
      <alignment horizontal="center" vertical="center"/>
    </xf>
    <xf numFmtId="0" fontId="3" fillId="8" borderId="47" xfId="0" applyFont="1" applyFill="1" applyBorder="1" applyAlignment="1">
      <alignment horizontal="center" vertical="center"/>
    </xf>
    <xf numFmtId="0" fontId="3" fillId="8" borderId="29" xfId="0" applyFont="1" applyFill="1" applyBorder="1" applyAlignment="1">
      <alignment horizontal="center" vertical="center"/>
    </xf>
    <xf numFmtId="0" fontId="5" fillId="8" borderId="33" xfId="0" applyFont="1" applyFill="1" applyBorder="1" applyAlignment="1">
      <alignment horizontal="center" vertical="center"/>
    </xf>
    <xf numFmtId="0" fontId="3" fillId="8" borderId="107" xfId="0" applyFont="1" applyFill="1" applyBorder="1" applyAlignment="1">
      <alignment horizontal="center" vertical="center"/>
    </xf>
    <xf numFmtId="0" fontId="3" fillId="8" borderId="125" xfId="0" applyFont="1" applyFill="1" applyBorder="1" applyAlignment="1">
      <alignment horizontal="center" vertical="center"/>
    </xf>
    <xf numFmtId="165" fontId="5" fillId="16" borderId="62" xfId="0" applyNumberFormat="1" applyFont="1" applyFill="1" applyBorder="1" applyAlignment="1">
      <alignment horizontal="center" vertical="center"/>
    </xf>
    <xf numFmtId="165" fontId="5" fillId="3" borderId="79" xfId="0" applyNumberFormat="1" applyFont="1" applyFill="1" applyBorder="1" applyAlignment="1">
      <alignment horizontal="center" vertical="top"/>
    </xf>
    <xf numFmtId="165" fontId="5" fillId="16" borderId="26" xfId="0" applyNumberFormat="1" applyFont="1" applyFill="1" applyBorder="1" applyAlignment="1">
      <alignment horizontal="center" vertical="center"/>
    </xf>
    <xf numFmtId="165" fontId="5" fillId="3" borderId="5" xfId="0" applyNumberFormat="1" applyFont="1" applyFill="1" applyBorder="1" applyAlignment="1">
      <alignment horizontal="center" vertical="top"/>
    </xf>
    <xf numFmtId="0" fontId="3" fillId="0" borderId="89" xfId="0" applyFont="1" applyBorder="1" applyAlignment="1">
      <alignment vertical="top"/>
    </xf>
    <xf numFmtId="0" fontId="3" fillId="0" borderId="128" xfId="0" applyFont="1" applyBorder="1" applyAlignment="1">
      <alignment vertical="top"/>
    </xf>
    <xf numFmtId="0" fontId="3" fillId="0" borderId="81" xfId="0" applyFont="1" applyBorder="1" applyAlignment="1">
      <alignment vertical="top"/>
    </xf>
    <xf numFmtId="0" fontId="5" fillId="8" borderId="0" xfId="0" applyFont="1" applyFill="1" applyBorder="1" applyAlignment="1">
      <alignment horizontal="center" vertical="top" wrapText="1"/>
    </xf>
    <xf numFmtId="165" fontId="3" fillId="2" borderId="78" xfId="0" applyNumberFormat="1" applyFont="1" applyFill="1" applyBorder="1" applyAlignment="1">
      <alignment horizontal="center" vertical="top"/>
    </xf>
    <xf numFmtId="165" fontId="3" fillId="2" borderId="12" xfId="0" applyNumberFormat="1" applyFont="1" applyFill="1" applyBorder="1" applyAlignment="1">
      <alignment horizontal="center" vertical="top"/>
    </xf>
    <xf numFmtId="0" fontId="3" fillId="0" borderId="40" xfId="0" applyFont="1" applyFill="1" applyBorder="1" applyAlignment="1">
      <alignment vertical="top"/>
    </xf>
    <xf numFmtId="0" fontId="0" fillId="0" borderId="0" xfId="0" applyFont="1" applyFill="1" applyAlignment="1">
      <alignment vertical="top"/>
    </xf>
    <xf numFmtId="0" fontId="0" fillId="0" borderId="40" xfId="0" applyFont="1" applyFill="1" applyBorder="1" applyAlignment="1">
      <alignment vertical="top"/>
    </xf>
    <xf numFmtId="0" fontId="7" fillId="0" borderId="0" xfId="0" applyFont="1" applyFill="1" applyAlignment="1">
      <alignment vertical="top" wrapText="1"/>
    </xf>
    <xf numFmtId="3" fontId="3" fillId="0" borderId="0" xfId="0" applyNumberFormat="1" applyFont="1" applyFill="1" applyBorder="1" applyAlignment="1">
      <alignment vertical="top"/>
    </xf>
    <xf numFmtId="165" fontId="0" fillId="0" borderId="0" xfId="0" applyNumberFormat="1" applyFont="1" applyFill="1" applyAlignment="1">
      <alignment vertical="top"/>
    </xf>
    <xf numFmtId="165" fontId="5" fillId="3" borderId="66" xfId="0" applyNumberFormat="1" applyFont="1" applyFill="1" applyBorder="1" applyAlignment="1">
      <alignment horizontal="center" vertical="top"/>
    </xf>
    <xf numFmtId="0" fontId="5" fillId="8" borderId="30" xfId="0" applyFont="1" applyFill="1" applyBorder="1" applyAlignment="1">
      <alignment horizontal="center" vertical="top" wrapText="1"/>
    </xf>
    <xf numFmtId="49" fontId="17" fillId="14" borderId="77" xfId="0" applyNumberFormat="1" applyFont="1" applyFill="1" applyBorder="1" applyAlignment="1">
      <alignment horizontal="center" vertical="top"/>
    </xf>
    <xf numFmtId="49" fontId="17" fillId="12" borderId="28" xfId="0" applyNumberFormat="1" applyFont="1" applyFill="1" applyBorder="1" applyAlignment="1">
      <alignment horizontal="center" vertical="top"/>
    </xf>
    <xf numFmtId="49" fontId="17" fillId="8" borderId="41" xfId="0" applyNumberFormat="1" applyFont="1" applyFill="1" applyBorder="1" applyAlignment="1">
      <alignment horizontal="center" vertical="top"/>
    </xf>
    <xf numFmtId="3" fontId="3" fillId="8" borderId="28" xfId="0" applyNumberFormat="1" applyFont="1" applyFill="1" applyBorder="1" applyAlignment="1">
      <alignment horizontal="left" vertical="top" wrapText="1"/>
    </xf>
    <xf numFmtId="3" fontId="11" fillId="8" borderId="78" xfId="0" applyNumberFormat="1" applyFont="1" applyFill="1" applyBorder="1" applyAlignment="1">
      <alignment horizontal="center" vertical="top"/>
    </xf>
    <xf numFmtId="165" fontId="11" fillId="8" borderId="7" xfId="0" applyNumberFormat="1" applyFont="1" applyFill="1" applyBorder="1" applyAlignment="1">
      <alignment horizontal="center" vertical="top"/>
    </xf>
    <xf numFmtId="165" fontId="11" fillId="0" borderId="7" xfId="0" applyNumberFormat="1" applyFont="1" applyFill="1" applyBorder="1" applyAlignment="1">
      <alignment horizontal="center" vertical="top"/>
    </xf>
    <xf numFmtId="0" fontId="3" fillId="8" borderId="77" xfId="0" applyFont="1" applyFill="1" applyBorder="1" applyAlignment="1">
      <alignment vertical="top" wrapText="1"/>
    </xf>
    <xf numFmtId="3" fontId="3" fillId="8" borderId="28" xfId="0" applyNumberFormat="1" applyFont="1" applyFill="1" applyBorder="1" applyAlignment="1">
      <alignment horizontal="center" vertical="top"/>
    </xf>
    <xf numFmtId="49" fontId="3" fillId="8" borderId="47" xfId="0" applyNumberFormat="1" applyFont="1" applyFill="1" applyBorder="1" applyAlignment="1">
      <alignment horizontal="center" vertical="top" wrapText="1"/>
    </xf>
    <xf numFmtId="3" fontId="3" fillId="8" borderId="29" xfId="0" applyNumberFormat="1" applyFont="1" applyFill="1" applyBorder="1" applyAlignment="1">
      <alignment horizontal="center" vertical="top"/>
    </xf>
    <xf numFmtId="49" fontId="3" fillId="8" borderId="50"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xf>
    <xf numFmtId="3" fontId="11" fillId="8" borderId="62" xfId="0" applyNumberFormat="1" applyFont="1" applyFill="1" applyBorder="1" applyAlignment="1">
      <alignment horizontal="center" vertical="top"/>
    </xf>
    <xf numFmtId="49" fontId="3" fillId="8" borderId="9" xfId="0" applyNumberFormat="1" applyFont="1" applyFill="1" applyBorder="1" applyAlignment="1">
      <alignment horizontal="center" vertical="center" wrapText="1"/>
    </xf>
    <xf numFmtId="49" fontId="3" fillId="8" borderId="24" xfId="0" applyNumberFormat="1" applyFont="1" applyFill="1" applyBorder="1" applyAlignment="1">
      <alignment horizontal="center" vertical="center" wrapText="1"/>
    </xf>
    <xf numFmtId="49" fontId="2" fillId="8" borderId="34" xfId="0" applyNumberFormat="1" applyFont="1" applyFill="1" applyBorder="1" applyAlignment="1">
      <alignment horizontal="center" vertical="center" textRotation="90" wrapText="1"/>
    </xf>
    <xf numFmtId="0" fontId="0" fillId="0" borderId="17" xfId="0" applyFont="1" applyBorder="1" applyAlignment="1">
      <alignment horizontal="center" vertical="center" textRotation="90" wrapText="1"/>
    </xf>
    <xf numFmtId="165" fontId="3" fillId="8" borderId="9" xfId="0" applyNumberFormat="1" applyFont="1" applyFill="1" applyBorder="1" applyAlignment="1">
      <alignment horizontal="center" vertical="top"/>
    </xf>
    <xf numFmtId="49" fontId="5" fillId="8" borderId="32" xfId="0" applyNumberFormat="1" applyFont="1" applyFill="1" applyBorder="1" applyAlignment="1">
      <alignment horizontal="center" vertical="top"/>
    </xf>
    <xf numFmtId="0" fontId="18" fillId="0" borderId="26" xfId="0" applyFont="1" applyBorder="1" applyAlignment="1">
      <alignment horizontal="center" vertical="center" textRotation="90" wrapText="1"/>
    </xf>
    <xf numFmtId="49" fontId="5" fillId="8" borderId="17"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0" fontId="3" fillId="8" borderId="10" xfId="1" applyFont="1" applyFill="1" applyBorder="1" applyAlignment="1">
      <alignment vertical="top" wrapText="1"/>
    </xf>
    <xf numFmtId="49" fontId="5" fillId="14" borderId="10" xfId="0" applyNumberFormat="1" applyFont="1" applyFill="1" applyBorder="1" applyAlignment="1">
      <alignment horizontal="center" vertical="top"/>
    </xf>
    <xf numFmtId="49" fontId="5" fillId="13" borderId="17" xfId="0" applyNumberFormat="1" applyFont="1" applyFill="1" applyBorder="1" applyAlignment="1">
      <alignment horizontal="center" vertical="top"/>
    </xf>
    <xf numFmtId="165" fontId="3" fillId="8" borderId="9" xfId="0" applyNumberFormat="1" applyFont="1" applyFill="1" applyBorder="1" applyAlignment="1">
      <alignment horizontal="center" vertical="top"/>
    </xf>
    <xf numFmtId="0" fontId="35" fillId="8" borderId="21" xfId="0" applyFont="1" applyFill="1" applyBorder="1" applyAlignment="1">
      <alignment horizontal="center" vertical="center" textRotation="90" wrapText="1"/>
    </xf>
    <xf numFmtId="0" fontId="35" fillId="8" borderId="34" xfId="0" applyFont="1" applyFill="1" applyBorder="1" applyAlignment="1">
      <alignment horizontal="center" vertical="center" textRotation="90" wrapText="1"/>
    </xf>
    <xf numFmtId="0" fontId="35" fillId="8" borderId="17" xfId="0" applyFont="1" applyFill="1" applyBorder="1" applyAlignment="1">
      <alignment horizontal="center" wrapText="1"/>
    </xf>
    <xf numFmtId="165" fontId="11" fillId="8" borderId="41" xfId="0" applyNumberFormat="1" applyFont="1" applyFill="1" applyBorder="1" applyAlignment="1">
      <alignment horizontal="center" vertical="top"/>
    </xf>
    <xf numFmtId="165" fontId="11" fillId="8" borderId="28" xfId="0" applyNumberFormat="1" applyFont="1" applyFill="1" applyBorder="1" applyAlignment="1">
      <alignment horizontal="center" vertical="top"/>
    </xf>
    <xf numFmtId="0" fontId="0" fillId="0" borderId="0" xfId="0" applyFont="1" applyAlignment="1">
      <alignment vertical="top"/>
    </xf>
    <xf numFmtId="0" fontId="0" fillId="0" borderId="40" xfId="0" applyFont="1" applyBorder="1" applyAlignment="1">
      <alignment vertical="top"/>
    </xf>
    <xf numFmtId="0" fontId="3" fillId="8" borderId="40" xfId="0" applyFont="1" applyFill="1" applyBorder="1" applyAlignment="1">
      <alignment horizontal="left" vertical="top" wrapText="1"/>
    </xf>
    <xf numFmtId="0" fontId="3" fillId="8" borderId="45" xfId="0" applyFont="1" applyFill="1" applyBorder="1" applyAlignment="1">
      <alignment vertical="top" wrapText="1"/>
    </xf>
    <xf numFmtId="165" fontId="3" fillId="8" borderId="41" xfId="0" applyNumberFormat="1" applyFont="1" applyFill="1" applyBorder="1" applyAlignment="1">
      <alignment horizontal="center" vertical="center"/>
    </xf>
    <xf numFmtId="165" fontId="3" fillId="8" borderId="46" xfId="0" applyNumberFormat="1" applyFont="1" applyFill="1" applyBorder="1" applyAlignment="1">
      <alignment horizontal="center" vertical="center"/>
    </xf>
    <xf numFmtId="165" fontId="3" fillId="8" borderId="54" xfId="0" applyNumberFormat="1" applyFont="1" applyFill="1" applyBorder="1" applyAlignment="1">
      <alignment horizontal="center" vertical="center"/>
    </xf>
    <xf numFmtId="0" fontId="3" fillId="0" borderId="103" xfId="0" applyFont="1" applyFill="1" applyBorder="1" applyAlignment="1">
      <alignment vertical="center" wrapText="1"/>
    </xf>
    <xf numFmtId="0" fontId="23" fillId="0" borderId="0" xfId="0" applyFont="1" applyBorder="1" applyAlignment="1">
      <alignment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3" fillId="0" borderId="45" xfId="0" applyFont="1" applyFill="1" applyBorder="1" applyAlignment="1">
      <alignment horizontal="left" vertical="top" wrapText="1"/>
    </xf>
    <xf numFmtId="0" fontId="3" fillId="0" borderId="10"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0" fontId="3" fillId="8" borderId="45" xfId="1" applyFont="1" applyFill="1" applyBorder="1" applyAlignment="1">
      <alignment vertical="top" wrapText="1"/>
    </xf>
    <xf numFmtId="49" fontId="5" fillId="8" borderId="19" xfId="0" applyNumberFormat="1" applyFont="1" applyFill="1" applyBorder="1" applyAlignment="1">
      <alignment horizontal="center" vertical="top"/>
    </xf>
    <xf numFmtId="0" fontId="3" fillId="8" borderId="10" xfId="1" applyFont="1" applyFill="1" applyBorder="1" applyAlignment="1">
      <alignment vertical="top" wrapText="1"/>
    </xf>
    <xf numFmtId="0" fontId="3" fillId="8" borderId="45" xfId="0" applyFont="1" applyFill="1" applyBorder="1" applyAlignment="1">
      <alignment horizontal="left" vertical="top" wrapText="1"/>
    </xf>
    <xf numFmtId="0" fontId="3" fillId="8" borderId="104" xfId="0" applyFont="1" applyFill="1" applyBorder="1" applyAlignment="1">
      <alignment vertical="top" wrapText="1"/>
    </xf>
    <xf numFmtId="0" fontId="3" fillId="8" borderId="31" xfId="1" applyFont="1" applyFill="1" applyBorder="1" applyAlignment="1">
      <alignment vertical="top" wrapText="1"/>
    </xf>
    <xf numFmtId="3" fontId="3" fillId="0" borderId="50" xfId="0" applyNumberFormat="1" applyFont="1" applyFill="1" applyBorder="1" applyAlignment="1">
      <alignment horizontal="center" vertical="top" wrapText="1"/>
    </xf>
    <xf numFmtId="165" fontId="3" fillId="8" borderId="40" xfId="0" applyNumberFormat="1" applyFont="1" applyFill="1" applyBorder="1" applyAlignment="1">
      <alignment horizontal="center" vertical="top"/>
    </xf>
    <xf numFmtId="165" fontId="3" fillId="8" borderId="9" xfId="0" applyNumberFormat="1" applyFont="1" applyFill="1" applyBorder="1" applyAlignment="1">
      <alignment horizontal="center" vertical="top"/>
    </xf>
    <xf numFmtId="0" fontId="3" fillId="8" borderId="17" xfId="0" applyNumberFormat="1" applyFont="1" applyFill="1" applyBorder="1" applyAlignment="1">
      <alignment horizontal="center" vertical="top"/>
    </xf>
    <xf numFmtId="0" fontId="3" fillId="8" borderId="53" xfId="0" applyNumberFormat="1" applyFont="1" applyFill="1" applyBorder="1" applyAlignment="1">
      <alignment horizontal="center" vertical="top"/>
    </xf>
    <xf numFmtId="0" fontId="3" fillId="8" borderId="0" xfId="0" applyFont="1" applyFill="1" applyBorder="1" applyAlignment="1">
      <alignment vertical="top"/>
    </xf>
    <xf numFmtId="3" fontId="23" fillId="8" borderId="34" xfId="0" applyNumberFormat="1" applyFont="1" applyFill="1" applyBorder="1" applyAlignment="1">
      <alignment horizontal="center" vertical="top" wrapText="1"/>
    </xf>
    <xf numFmtId="3" fontId="23" fillId="8" borderId="32" xfId="0" applyNumberFormat="1" applyFont="1" applyFill="1" applyBorder="1" applyAlignment="1">
      <alignment horizontal="center" vertical="top" wrapText="1"/>
    </xf>
    <xf numFmtId="3" fontId="23" fillId="8" borderId="33" xfId="0" applyNumberFormat="1" applyFont="1" applyFill="1" applyBorder="1" applyAlignment="1">
      <alignment horizontal="center" vertical="top" wrapText="1"/>
    </xf>
    <xf numFmtId="0" fontId="5" fillId="8" borderId="39" xfId="0" applyFont="1" applyFill="1" applyBorder="1" applyAlignment="1">
      <alignment horizontal="center" vertical="center" wrapText="1"/>
    </xf>
    <xf numFmtId="0" fontId="23" fillId="8" borderId="31" xfId="1" applyFont="1" applyFill="1" applyBorder="1" applyAlignment="1">
      <alignment vertical="top" wrapText="1"/>
    </xf>
    <xf numFmtId="165" fontId="3" fillId="0" borderId="9" xfId="0" applyNumberFormat="1" applyFont="1" applyFill="1" applyBorder="1" applyAlignment="1">
      <alignment horizontal="center" vertical="top" wrapText="1"/>
    </xf>
    <xf numFmtId="165" fontId="3" fillId="8" borderId="0" xfId="0" applyNumberFormat="1" applyFont="1" applyFill="1" applyBorder="1" applyAlignment="1">
      <alignment horizontal="center" vertical="top" wrapText="1"/>
    </xf>
    <xf numFmtId="0" fontId="23" fillId="8" borderId="0" xfId="0" applyFont="1" applyFill="1" applyBorder="1" applyAlignment="1">
      <alignment vertical="top"/>
    </xf>
    <xf numFmtId="0" fontId="23" fillId="0" borderId="0" xfId="0" applyFont="1" applyFill="1" applyBorder="1" applyAlignment="1">
      <alignment vertical="top"/>
    </xf>
    <xf numFmtId="0" fontId="3" fillId="8" borderId="97" xfId="0" applyFont="1" applyFill="1" applyBorder="1" applyAlignment="1">
      <alignment horizontal="center" vertical="top"/>
    </xf>
    <xf numFmtId="165" fontId="3" fillId="0" borderId="39" xfId="0" applyNumberFormat="1" applyFont="1" applyBorder="1" applyAlignment="1">
      <alignment horizontal="center" vertical="top"/>
    </xf>
    <xf numFmtId="165" fontId="3" fillId="0" borderId="53" xfId="0" applyNumberFormat="1" applyFont="1" applyBorder="1" applyAlignment="1">
      <alignment horizontal="center" vertical="top"/>
    </xf>
    <xf numFmtId="1" fontId="3" fillId="0" borderId="107" xfId="0" applyNumberFormat="1" applyFont="1" applyFill="1" applyBorder="1" applyAlignment="1">
      <alignment horizontal="center" vertical="top" wrapText="1"/>
    </xf>
    <xf numFmtId="1" fontId="3" fillId="0" borderId="125" xfId="0" applyNumberFormat="1" applyFont="1" applyFill="1" applyBorder="1" applyAlignment="1">
      <alignment horizontal="center" vertical="top" wrapText="1"/>
    </xf>
    <xf numFmtId="3" fontId="3" fillId="0" borderId="17" xfId="0" applyNumberFormat="1" applyFont="1" applyFill="1" applyBorder="1" applyAlignment="1">
      <alignment horizontal="center" wrapText="1"/>
    </xf>
    <xf numFmtId="3" fontId="3" fillId="0" borderId="53" xfId="0" applyNumberFormat="1" applyFont="1" applyFill="1" applyBorder="1" applyAlignment="1">
      <alignment horizontal="center" wrapText="1"/>
    </xf>
    <xf numFmtId="0" fontId="3" fillId="8" borderId="112" xfId="0" applyFont="1" applyFill="1" applyBorder="1" applyAlignment="1">
      <alignment horizontal="left" vertical="top" wrapText="1"/>
    </xf>
    <xf numFmtId="0" fontId="45" fillId="0" borderId="0" xfId="0" applyFont="1" applyFill="1" applyBorder="1" applyAlignment="1">
      <alignment vertical="top"/>
    </xf>
    <xf numFmtId="165" fontId="45" fillId="0" borderId="0" xfId="0" applyNumberFormat="1" applyFont="1" applyFill="1" applyBorder="1" applyAlignment="1">
      <alignment horizontal="center" vertical="top" wrapText="1"/>
    </xf>
    <xf numFmtId="165" fontId="45" fillId="0" borderId="0" xfId="0" applyNumberFormat="1" applyFont="1" applyFill="1" applyBorder="1" applyAlignment="1">
      <alignment vertical="top"/>
    </xf>
    <xf numFmtId="49" fontId="3" fillId="0" borderId="0" xfId="0" applyNumberFormat="1" applyFont="1" applyAlignment="1">
      <alignment vertical="top"/>
    </xf>
    <xf numFmtId="49" fontId="3" fillId="0" borderId="0" xfId="0" applyNumberFormat="1" applyFont="1" applyAlignment="1">
      <alignment horizontal="center" vertical="top"/>
    </xf>
    <xf numFmtId="3" fontId="3" fillId="0" borderId="0" xfId="0" applyNumberFormat="1" applyFont="1" applyAlignment="1">
      <alignment horizontal="center" vertical="center" wrapText="1"/>
    </xf>
    <xf numFmtId="165" fontId="3" fillId="0" borderId="0" xfId="0" applyNumberFormat="1" applyFont="1" applyAlignment="1">
      <alignment horizontal="center" vertical="top"/>
    </xf>
    <xf numFmtId="0" fontId="3" fillId="8" borderId="32" xfId="0" applyFont="1" applyFill="1" applyBorder="1" applyAlignment="1">
      <alignment horizontal="left" vertical="top" wrapText="1"/>
    </xf>
    <xf numFmtId="0" fontId="3" fillId="8" borderId="34"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0" borderId="33" xfId="0" applyFont="1" applyBorder="1" applyAlignment="1">
      <alignment horizontal="left" vertical="top" wrapText="1"/>
    </xf>
    <xf numFmtId="0" fontId="23" fillId="0" borderId="45" xfId="0" applyFont="1" applyBorder="1" applyAlignment="1">
      <alignment vertical="top" wrapText="1"/>
    </xf>
    <xf numFmtId="0" fontId="31" fillId="0" borderId="10" xfId="0" applyFont="1" applyBorder="1" applyAlignment="1">
      <alignment vertical="top" wrapText="1"/>
    </xf>
    <xf numFmtId="0" fontId="30" fillId="0" borderId="45"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4" fontId="3" fillId="2" borderId="17" xfId="0" applyNumberFormat="1" applyFont="1" applyFill="1" applyBorder="1" applyAlignment="1">
      <alignment horizontal="center" vertical="top"/>
    </xf>
    <xf numFmtId="4" fontId="3" fillId="2" borderId="34" xfId="0" applyNumberFormat="1" applyFont="1" applyFill="1" applyBorder="1" applyAlignment="1">
      <alignment horizontal="center" vertical="top"/>
    </xf>
    <xf numFmtId="4" fontId="3" fillId="2" borderId="19" xfId="0" applyNumberFormat="1" applyFont="1" applyFill="1" applyBorder="1" applyAlignment="1">
      <alignment horizontal="center" vertical="top"/>
    </xf>
    <xf numFmtId="4" fontId="3" fillId="2" borderId="33" xfId="0" applyNumberFormat="1" applyFont="1" applyFill="1" applyBorder="1" applyAlignment="1">
      <alignment horizontal="center" vertical="top"/>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0" xfId="0" applyFont="1" applyBorder="1" applyAlignment="1">
      <alignment horizontal="center" vertical="top"/>
    </xf>
    <xf numFmtId="0" fontId="3" fillId="0" borderId="8"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4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7"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9" fillId="0" borderId="1" xfId="0" applyFont="1" applyFill="1" applyBorder="1" applyAlignment="1">
      <alignment horizontal="center" vertical="center" textRotation="90" wrapText="1"/>
    </xf>
    <xf numFmtId="0" fontId="9" fillId="0" borderId="27" xfId="0" applyFont="1" applyFill="1" applyBorder="1" applyAlignment="1">
      <alignment horizontal="center" vertical="center" textRotation="90" wrapText="1"/>
    </xf>
    <xf numFmtId="0" fontId="3" fillId="0" borderId="4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0" fontId="3" fillId="0" borderId="57" xfId="0" applyFont="1" applyFill="1" applyBorder="1" applyAlignment="1">
      <alignment horizontal="center" vertical="center" textRotation="90" wrapText="1"/>
    </xf>
    <xf numFmtId="0" fontId="3" fillId="0" borderId="70"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9" borderId="78" xfId="0" applyNumberFormat="1" applyFont="1" applyFill="1" applyBorder="1" applyAlignment="1">
      <alignment horizontal="left" vertical="top" wrapText="1"/>
    </xf>
    <xf numFmtId="49" fontId="5" fillId="9" borderId="71" xfId="0" applyNumberFormat="1" applyFont="1" applyFill="1" applyBorder="1" applyAlignment="1">
      <alignment horizontal="left" vertical="top" wrapText="1"/>
    </xf>
    <xf numFmtId="49" fontId="5" fillId="9" borderId="65" xfId="0" applyNumberFormat="1" applyFont="1" applyFill="1" applyBorder="1" applyAlignment="1">
      <alignment horizontal="left" vertical="top" wrapText="1"/>
    </xf>
    <xf numFmtId="0" fontId="5" fillId="0" borderId="78"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5" xfId="0" applyFont="1" applyBorder="1" applyAlignment="1">
      <alignment horizontal="center" vertical="center" wrapText="1"/>
    </xf>
    <xf numFmtId="0" fontId="9" fillId="0" borderId="46"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66" xfId="0" applyFont="1" applyBorder="1" applyAlignment="1">
      <alignment horizontal="center" vertical="center" textRotation="90" wrapText="1"/>
    </xf>
    <xf numFmtId="0" fontId="5" fillId="0" borderId="78" xfId="0" applyFont="1" applyBorder="1" applyAlignment="1">
      <alignment horizontal="center" vertical="center"/>
    </xf>
    <xf numFmtId="0" fontId="5" fillId="0" borderId="71" xfId="0" applyFont="1" applyBorder="1" applyAlignment="1">
      <alignment horizontal="center" vertical="center"/>
    </xf>
    <xf numFmtId="0" fontId="5" fillId="0" borderId="65" xfId="0" applyFont="1" applyBorder="1" applyAlignment="1">
      <alignment horizontal="center" vertical="center"/>
    </xf>
    <xf numFmtId="0" fontId="9" fillId="0" borderId="28" xfId="0" applyFont="1" applyBorder="1" applyAlignment="1">
      <alignment horizontal="center" vertical="center" textRotation="90" wrapText="1"/>
    </xf>
    <xf numFmtId="0" fontId="9" fillId="0" borderId="17" xfId="0" applyFont="1" applyBorder="1" applyAlignment="1">
      <alignment horizontal="center" vertical="center" textRotation="90" wrapText="1"/>
    </xf>
    <xf numFmtId="0" fontId="9" fillId="0" borderId="26" xfId="0" applyFont="1" applyBorder="1" applyAlignment="1">
      <alignment horizontal="center" vertical="center" textRotation="90" wrapText="1"/>
    </xf>
    <xf numFmtId="0" fontId="3" fillId="0" borderId="54" xfId="0" applyNumberFormat="1" applyFont="1" applyBorder="1" applyAlignment="1">
      <alignment horizontal="center" vertical="center" textRotation="90" wrapText="1"/>
    </xf>
    <xf numFmtId="0" fontId="3" fillId="0" borderId="53"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66" xfId="0" applyFont="1" applyBorder="1" applyAlignment="1">
      <alignment horizontal="center" vertical="center" textRotation="90" wrapText="1"/>
    </xf>
    <xf numFmtId="0" fontId="5" fillId="5" borderId="76" xfId="0" applyFont="1" applyFill="1" applyBorder="1" applyAlignment="1">
      <alignment horizontal="left" vertical="top" wrapText="1"/>
    </xf>
    <xf numFmtId="0" fontId="5" fillId="5" borderId="43" xfId="0" applyFont="1" applyFill="1" applyBorder="1" applyAlignment="1">
      <alignment horizontal="left" vertical="top" wrapText="1"/>
    </xf>
    <xf numFmtId="0" fontId="5" fillId="5" borderId="44" xfId="0" applyFont="1" applyFill="1" applyBorder="1" applyAlignment="1">
      <alignment horizontal="left" vertical="top" wrapText="1"/>
    </xf>
    <xf numFmtId="0" fontId="5" fillId="4" borderId="37" xfId="0" applyFont="1" applyFill="1" applyBorder="1" applyAlignment="1">
      <alignment horizontal="left" vertical="top"/>
    </xf>
    <xf numFmtId="0" fontId="5" fillId="4" borderId="43" xfId="0" applyFont="1" applyFill="1" applyBorder="1" applyAlignment="1">
      <alignment horizontal="left" vertical="top"/>
    </xf>
    <xf numFmtId="0" fontId="5" fillId="4" borderId="44" xfId="0" applyFont="1" applyFill="1" applyBorder="1" applyAlignment="1">
      <alignment horizontal="left" vertical="top"/>
    </xf>
    <xf numFmtId="0" fontId="5" fillId="3" borderId="37" xfId="0" applyFont="1" applyFill="1" applyBorder="1" applyAlignment="1">
      <alignment horizontal="left" vertical="top" wrapText="1"/>
    </xf>
    <xf numFmtId="0" fontId="5" fillId="3" borderId="43" xfId="0" applyFont="1" applyFill="1" applyBorder="1" applyAlignment="1">
      <alignment horizontal="left" vertical="top" wrapText="1"/>
    </xf>
    <xf numFmtId="0" fontId="5" fillId="3" borderId="44" xfId="0" applyFont="1" applyFill="1" applyBorder="1" applyAlignment="1">
      <alignment horizontal="left" vertical="top" wrapText="1"/>
    </xf>
    <xf numFmtId="49" fontId="5" fillId="4" borderId="10"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5" fillId="0" borderId="50" xfId="0" applyFont="1" applyFill="1" applyBorder="1" applyAlignment="1">
      <alignment horizontal="left" vertical="top" wrapText="1"/>
    </xf>
    <xf numFmtId="0" fontId="3" fillId="0" borderId="40" xfId="0" applyFont="1" applyFill="1" applyBorder="1" applyAlignment="1">
      <alignment horizontal="center" vertical="center" textRotation="90" wrapText="1"/>
    </xf>
    <xf numFmtId="49" fontId="3" fillId="0" borderId="50" xfId="0" applyNumberFormat="1" applyFont="1" applyBorder="1" applyAlignment="1">
      <alignment horizontal="center" vertical="top" wrapText="1"/>
    </xf>
    <xf numFmtId="0" fontId="3" fillId="2" borderId="10"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8" borderId="27" xfId="0" applyFont="1" applyFill="1" applyBorder="1" applyAlignment="1">
      <alignment horizontal="left" vertical="top" wrapText="1"/>
    </xf>
    <xf numFmtId="0" fontId="0" fillId="0" borderId="11" xfId="0" applyBorder="1" applyAlignment="1">
      <alignment horizontal="center" vertical="center" textRotation="90" wrapText="1"/>
    </xf>
    <xf numFmtId="0" fontId="3" fillId="2" borderId="47" xfId="0" applyFont="1" applyFill="1" applyBorder="1" applyAlignment="1">
      <alignment horizontal="left" vertical="top" wrapText="1"/>
    </xf>
    <xf numFmtId="0" fontId="7" fillId="2" borderId="50" xfId="0" applyFont="1" applyFill="1" applyBorder="1" applyAlignment="1">
      <alignment horizontal="left" vertical="top" wrapText="1"/>
    </xf>
    <xf numFmtId="0" fontId="9" fillId="0" borderId="8" xfId="0" applyFont="1" applyFill="1" applyBorder="1" applyAlignment="1">
      <alignment horizontal="center" vertical="center" textRotation="90" wrapText="1"/>
    </xf>
    <xf numFmtId="0" fontId="18" fillId="0" borderId="10" xfId="0" applyFont="1" applyBorder="1" applyAlignment="1">
      <alignment horizontal="center" vertical="center" textRotation="90" wrapText="1"/>
    </xf>
    <xf numFmtId="49" fontId="3" fillId="0" borderId="48" xfId="0" applyNumberFormat="1" applyFont="1" applyBorder="1" applyAlignment="1">
      <alignment horizontal="center" vertical="top" wrapText="1"/>
    </xf>
    <xf numFmtId="49" fontId="3" fillId="0" borderId="32" xfId="0" applyNumberFormat="1" applyFont="1" applyBorder="1" applyAlignment="1">
      <alignment horizontal="center" vertical="top" wrapText="1"/>
    </xf>
    <xf numFmtId="49" fontId="5" fillId="0" borderId="1"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2" borderId="45"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0" borderId="45" xfId="0" applyFont="1" applyFill="1" applyBorder="1" applyAlignment="1">
      <alignment horizontal="left" vertical="top" wrapText="1"/>
    </xf>
    <xf numFmtId="0" fontId="0" fillId="0" borderId="31" xfId="0" applyBorder="1" applyAlignment="1">
      <alignment horizontal="left" vertical="top" wrapText="1"/>
    </xf>
    <xf numFmtId="49" fontId="3" fillId="0" borderId="21" xfId="0" applyNumberFormat="1" applyFont="1" applyBorder="1" applyAlignment="1">
      <alignment horizontal="center" vertical="top"/>
    </xf>
    <xf numFmtId="0" fontId="3" fillId="0" borderId="10"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0" borderId="31"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2" borderId="19"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33" xfId="0" applyFont="1" applyFill="1" applyBorder="1" applyAlignment="1">
      <alignment horizontal="left" vertical="top" wrapText="1"/>
    </xf>
    <xf numFmtId="49" fontId="3" fillId="0" borderId="34" xfId="0" applyNumberFormat="1" applyFont="1" applyBorder="1" applyAlignment="1">
      <alignment horizontal="center" vertical="top"/>
    </xf>
    <xf numFmtId="0" fontId="5" fillId="0" borderId="32" xfId="0" applyFont="1" applyFill="1" applyBorder="1" applyAlignment="1">
      <alignment horizontal="left" vertical="top" wrapText="1"/>
    </xf>
    <xf numFmtId="0" fontId="7" fillId="0" borderId="10" xfId="0" applyFont="1" applyBorder="1" applyAlignment="1">
      <alignment vertical="top" wrapText="1"/>
    </xf>
    <xf numFmtId="49" fontId="3" fillId="0" borderId="28"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4" borderId="11"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0" fontId="3" fillId="2" borderId="27" xfId="0" applyFont="1" applyFill="1" applyBorder="1" applyAlignment="1">
      <alignment horizontal="left" vertical="top" wrapText="1"/>
    </xf>
    <xf numFmtId="49" fontId="3" fillId="0" borderId="26" xfId="0" applyNumberFormat="1" applyFont="1" applyBorder="1" applyAlignment="1">
      <alignment horizontal="center" vertical="top"/>
    </xf>
    <xf numFmtId="49" fontId="5" fillId="4" borderId="8" xfId="0" applyNumberFormat="1" applyFont="1" applyFill="1" applyBorder="1" applyAlignment="1">
      <alignment horizontal="center" vertical="top"/>
    </xf>
    <xf numFmtId="49" fontId="5" fillId="3" borderId="47"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0" fontId="15" fillId="0" borderId="29" xfId="0" applyFont="1" applyFill="1" applyBorder="1" applyAlignment="1">
      <alignment horizontal="left" vertical="top" wrapText="1"/>
    </xf>
    <xf numFmtId="0" fontId="13" fillId="0" borderId="19"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49" fontId="5" fillId="0" borderId="27" xfId="0" applyNumberFormat="1" applyFont="1" applyBorder="1" applyAlignment="1">
      <alignment horizontal="center" vertical="top"/>
    </xf>
    <xf numFmtId="0" fontId="3" fillId="0" borderId="11" xfId="0" applyFont="1" applyFill="1" applyBorder="1" applyAlignment="1">
      <alignment horizontal="left" vertical="top" wrapText="1"/>
    </xf>
    <xf numFmtId="0" fontId="3" fillId="2" borderId="29"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33" xfId="0" applyFont="1" applyFill="1" applyBorder="1" applyAlignment="1">
      <alignment horizontal="left" vertical="top" wrapText="1"/>
    </xf>
    <xf numFmtId="0" fontId="3" fillId="0" borderId="8" xfId="0" applyFont="1" applyFill="1" applyBorder="1" applyAlignment="1">
      <alignment horizontal="left" vertical="top" wrapText="1"/>
    </xf>
    <xf numFmtId="3" fontId="3" fillId="0" borderId="28"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164" fontId="2" fillId="0" borderId="17" xfId="0" applyNumberFormat="1"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0" fontId="3" fillId="0" borderId="11" xfId="0" applyFont="1" applyFill="1" applyBorder="1" applyAlignment="1">
      <alignment horizontal="center" vertical="center" textRotation="90" wrapText="1"/>
    </xf>
    <xf numFmtId="0" fontId="19" fillId="2" borderId="29"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7" xfId="0" applyFont="1" applyFill="1" applyBorder="1" applyAlignment="1">
      <alignment horizontal="left" vertical="top" wrapText="1"/>
    </xf>
    <xf numFmtId="3" fontId="3" fillId="2" borderId="28" xfId="0" applyNumberFormat="1" applyFont="1" applyFill="1" applyBorder="1" applyAlignment="1">
      <alignment horizontal="center" vertical="top" wrapText="1"/>
    </xf>
    <xf numFmtId="3" fontId="3" fillId="2" borderId="17" xfId="0" applyNumberFormat="1" applyFont="1" applyFill="1" applyBorder="1" applyAlignment="1">
      <alignment horizontal="center" vertical="top" wrapText="1"/>
    </xf>
    <xf numFmtId="0" fontId="9" fillId="0" borderId="10" xfId="0" applyFont="1" applyFill="1" applyBorder="1" applyAlignment="1">
      <alignment horizontal="left" vertical="top" wrapText="1"/>
    </xf>
    <xf numFmtId="49" fontId="5" fillId="0" borderId="47" xfId="0" applyNumberFormat="1" applyFont="1" applyBorder="1" applyAlignment="1">
      <alignment horizontal="center" vertical="top"/>
    </xf>
    <xf numFmtId="49" fontId="5" fillId="0" borderId="50" xfId="0" applyNumberFormat="1" applyFont="1" applyBorder="1" applyAlignment="1">
      <alignment horizontal="center" vertical="top"/>
    </xf>
    <xf numFmtId="49" fontId="5" fillId="0" borderId="62" xfId="0" applyNumberFormat="1" applyFont="1" applyBorder="1" applyAlignment="1">
      <alignment horizontal="center" vertical="top"/>
    </xf>
    <xf numFmtId="0" fontId="5" fillId="2" borderId="29"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1" xfId="0" applyFont="1" applyFill="1" applyBorder="1" applyAlignment="1">
      <alignment horizontal="left" vertical="top" wrapText="1"/>
    </xf>
    <xf numFmtId="0" fontId="3" fillId="2" borderId="8" xfId="0" applyFont="1" applyFill="1" applyBorder="1" applyAlignment="1">
      <alignment horizontal="left" vertical="top" wrapText="1"/>
    </xf>
    <xf numFmtId="0" fontId="7" fillId="0" borderId="33" xfId="0" applyFont="1" applyBorder="1" applyAlignment="1">
      <alignment horizontal="left" vertical="top" wrapText="1"/>
    </xf>
    <xf numFmtId="0" fontId="5" fillId="0" borderId="8" xfId="0" applyFont="1" applyFill="1" applyBorder="1" applyAlignment="1">
      <alignment vertical="top" wrapText="1"/>
    </xf>
    <xf numFmtId="0" fontId="0" fillId="0" borderId="31" xfId="0" applyBorder="1" applyAlignment="1">
      <alignment vertical="top" wrapText="1"/>
    </xf>
    <xf numFmtId="49" fontId="5" fillId="0" borderId="28"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5" fillId="0" borderId="26" xfId="0" applyNumberFormat="1" applyFont="1" applyFill="1" applyBorder="1" applyAlignment="1">
      <alignment horizontal="center" vertical="top"/>
    </xf>
    <xf numFmtId="0" fontId="3" fillId="2" borderId="8"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3" fillId="2" borderId="11" xfId="0" applyFont="1" applyFill="1" applyBorder="1" applyAlignment="1">
      <alignment horizontal="center" vertical="center" textRotation="90" wrapText="1"/>
    </xf>
    <xf numFmtId="49" fontId="3" fillId="0" borderId="47" xfId="0" applyNumberFormat="1" applyFont="1" applyBorder="1" applyAlignment="1">
      <alignment horizontal="center" vertical="top" wrapText="1"/>
    </xf>
    <xf numFmtId="49" fontId="3" fillId="0" borderId="62" xfId="0" applyNumberFormat="1" applyFont="1" applyBorder="1" applyAlignment="1">
      <alignment horizontal="center" vertical="top" wrapText="1"/>
    </xf>
    <xf numFmtId="164" fontId="9" fillId="2" borderId="45" xfId="0" applyNumberFormat="1" applyFont="1" applyFill="1" applyBorder="1" applyAlignment="1">
      <alignment horizontal="left" vertical="top" wrapText="1"/>
    </xf>
    <xf numFmtId="0" fontId="18" fillId="0" borderId="10" xfId="0" applyFont="1" applyBorder="1" applyAlignment="1">
      <alignment horizontal="left" vertical="top" wrapText="1"/>
    </xf>
    <xf numFmtId="164" fontId="3" fillId="2" borderId="10" xfId="0" applyNumberFormat="1" applyFont="1" applyFill="1" applyBorder="1" applyAlignment="1">
      <alignment horizontal="left" vertical="top" wrapText="1"/>
    </xf>
    <xf numFmtId="0" fontId="7" fillId="0" borderId="31" xfId="0" applyFont="1" applyBorder="1" applyAlignment="1">
      <alignment horizontal="left" vertical="top" wrapText="1"/>
    </xf>
    <xf numFmtId="49" fontId="5" fillId="12" borderId="50" xfId="0" applyNumberFormat="1" applyFont="1" applyFill="1" applyBorder="1" applyAlignment="1">
      <alignment horizontal="center" vertical="top"/>
    </xf>
    <xf numFmtId="0" fontId="3" fillId="2" borderId="19" xfId="0" applyFont="1" applyFill="1" applyBorder="1" applyAlignment="1">
      <alignment vertical="top" wrapText="1"/>
    </xf>
    <xf numFmtId="0" fontId="3" fillId="2" borderId="33" xfId="0" applyFont="1" applyFill="1" applyBorder="1" applyAlignment="1">
      <alignment vertical="top" wrapText="1"/>
    </xf>
    <xf numFmtId="0" fontId="5" fillId="0" borderId="31" xfId="0" applyFont="1" applyFill="1" applyBorder="1" applyAlignment="1">
      <alignment horizontal="center" vertical="top" wrapText="1"/>
    </xf>
    <xf numFmtId="49" fontId="5" fillId="3" borderId="68" xfId="0" applyNumberFormat="1" applyFont="1" applyFill="1" applyBorder="1" applyAlignment="1">
      <alignment horizontal="right" vertical="top"/>
    </xf>
    <xf numFmtId="49" fontId="5" fillId="3" borderId="79" xfId="0" applyNumberFormat="1" applyFont="1" applyFill="1" applyBorder="1" applyAlignment="1">
      <alignment horizontal="left" vertical="top"/>
    </xf>
    <xf numFmtId="49" fontId="5" fillId="3" borderId="68" xfId="0" applyNumberFormat="1" applyFont="1" applyFill="1" applyBorder="1" applyAlignment="1">
      <alignment horizontal="left" vertical="top"/>
    </xf>
    <xf numFmtId="49" fontId="5" fillId="3" borderId="69" xfId="0" applyNumberFormat="1" applyFont="1" applyFill="1" applyBorder="1" applyAlignment="1">
      <alignment horizontal="left" vertical="top"/>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26" xfId="0" applyNumberFormat="1" applyFont="1" applyBorder="1" applyAlignment="1">
      <alignment horizontal="center" vertical="top"/>
    </xf>
    <xf numFmtId="0" fontId="3" fillId="2" borderId="29" xfId="0" applyFont="1" applyFill="1" applyBorder="1" applyAlignment="1">
      <alignment vertical="top" wrapText="1"/>
    </xf>
    <xf numFmtId="0" fontId="3" fillId="2" borderId="27" xfId="0" applyFont="1" applyFill="1" applyBorder="1" applyAlignment="1">
      <alignment vertical="top" wrapText="1"/>
    </xf>
    <xf numFmtId="0" fontId="3" fillId="0" borderId="77" xfId="0" applyFont="1" applyFill="1" applyBorder="1" applyAlignment="1">
      <alignment horizontal="center" vertical="top" textRotation="90" wrapText="1"/>
    </xf>
    <xf numFmtId="0" fontId="3" fillId="0" borderId="40" xfId="0" applyFont="1" applyFill="1" applyBorder="1" applyAlignment="1">
      <alignment horizontal="center" vertical="top" textRotation="90" wrapText="1"/>
    </xf>
    <xf numFmtId="0" fontId="3" fillId="0" borderId="35" xfId="0" applyFont="1" applyFill="1" applyBorder="1" applyAlignment="1">
      <alignment horizontal="center" vertical="top" textRotation="90" wrapText="1"/>
    </xf>
    <xf numFmtId="0" fontId="3" fillId="0" borderId="10" xfId="1" applyFont="1" applyFill="1" applyBorder="1" applyAlignment="1">
      <alignment vertical="top" wrapText="1"/>
    </xf>
    <xf numFmtId="0" fontId="7" fillId="0" borderId="11" xfId="0" applyFont="1" applyBorder="1" applyAlignment="1">
      <alignment vertical="top" wrapText="1"/>
    </xf>
    <xf numFmtId="0" fontId="5" fillId="0" borderId="11" xfId="0" applyFont="1" applyFill="1" applyBorder="1" applyAlignment="1">
      <alignment horizontal="center" vertical="top" wrapText="1"/>
    </xf>
    <xf numFmtId="165" fontId="9" fillId="0" borderId="28" xfId="0" applyNumberFormat="1" applyFont="1" applyFill="1" applyBorder="1" applyAlignment="1">
      <alignment horizontal="center" vertical="top"/>
    </xf>
    <xf numFmtId="165" fontId="9" fillId="0" borderId="17" xfId="0" applyNumberFormat="1" applyFont="1" applyFill="1" applyBorder="1" applyAlignment="1">
      <alignment horizontal="center" vertical="top"/>
    </xf>
    <xf numFmtId="0" fontId="5" fillId="2" borderId="29" xfId="0" applyFont="1" applyFill="1" applyBorder="1" applyAlignment="1">
      <alignment vertical="top" wrapText="1"/>
    </xf>
    <xf numFmtId="0" fontId="5" fillId="2" borderId="19" xfId="0" applyFont="1" applyFill="1" applyBorder="1" applyAlignment="1">
      <alignment vertical="top" wrapText="1"/>
    </xf>
    <xf numFmtId="0" fontId="5" fillId="2" borderId="27" xfId="0" applyFont="1" applyFill="1" applyBorder="1" applyAlignment="1">
      <alignment vertical="top" wrapText="1"/>
    </xf>
    <xf numFmtId="0" fontId="3" fillId="0" borderId="29" xfId="0" applyFont="1" applyFill="1" applyBorder="1" applyAlignment="1">
      <alignment vertical="top" wrapText="1"/>
    </xf>
    <xf numFmtId="0" fontId="3" fillId="0" borderId="19" xfId="0" applyFont="1" applyFill="1" applyBorder="1" applyAlignment="1">
      <alignment vertical="top" wrapText="1"/>
    </xf>
    <xf numFmtId="0" fontId="3" fillId="0" borderId="27" xfId="0" applyFont="1" applyFill="1" applyBorder="1" applyAlignment="1">
      <alignment vertical="top" wrapText="1"/>
    </xf>
    <xf numFmtId="49" fontId="5" fillId="3" borderId="69" xfId="0" applyNumberFormat="1" applyFont="1" applyFill="1" applyBorder="1" applyAlignment="1">
      <alignment horizontal="right" vertical="top"/>
    </xf>
    <xf numFmtId="0" fontId="3" fillId="3" borderId="63" xfId="0" applyFont="1" applyFill="1" applyBorder="1" applyAlignment="1">
      <alignment horizontal="center" vertical="top"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0" fontId="3" fillId="0" borderId="77"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49" fontId="5" fillId="0" borderId="41" xfId="0" applyNumberFormat="1" applyFont="1" applyBorder="1" applyAlignment="1">
      <alignment horizontal="center" vertical="top"/>
    </xf>
    <xf numFmtId="49" fontId="5" fillId="0" borderId="30" xfId="0" applyNumberFormat="1" applyFont="1" applyBorder="1" applyAlignment="1">
      <alignment horizontal="center" vertical="top"/>
    </xf>
    <xf numFmtId="0" fontId="3" fillId="2" borderId="11" xfId="0" applyFont="1" applyFill="1" applyBorder="1" applyAlignment="1">
      <alignment horizontal="left"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3" fillId="0" borderId="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0" fontId="5" fillId="3" borderId="79" xfId="0" applyFont="1" applyFill="1" applyBorder="1" applyAlignment="1">
      <alignment horizontal="left" vertical="top" wrapText="1"/>
    </xf>
    <xf numFmtId="0" fontId="5" fillId="3" borderId="68" xfId="0" applyFont="1" applyFill="1" applyBorder="1" applyAlignment="1">
      <alignment horizontal="left" vertical="top" wrapText="1"/>
    </xf>
    <xf numFmtId="0" fontId="5" fillId="3" borderId="69" xfId="0" applyFont="1" applyFill="1" applyBorder="1" applyAlignment="1">
      <alignment horizontal="left" vertical="top" wrapText="1"/>
    </xf>
    <xf numFmtId="49" fontId="5" fillId="8" borderId="17" xfId="0" applyNumberFormat="1" applyFont="1" applyFill="1" applyBorder="1" applyAlignment="1">
      <alignment horizontal="center" vertical="top" wrapText="1"/>
    </xf>
    <xf numFmtId="49" fontId="5" fillId="8" borderId="26" xfId="0" applyNumberFormat="1" applyFont="1" applyFill="1" applyBorder="1" applyAlignment="1">
      <alignment horizontal="center" vertical="top" wrapText="1"/>
    </xf>
    <xf numFmtId="0" fontId="27" fillId="0" borderId="1" xfId="0" applyFont="1" applyFill="1" applyBorder="1" applyAlignment="1">
      <alignment horizontal="left" vertical="top" wrapText="1"/>
    </xf>
    <xf numFmtId="0" fontId="27" fillId="0" borderId="19" xfId="0" applyFont="1" applyFill="1" applyBorder="1" applyAlignment="1">
      <alignment horizontal="left" vertical="top" wrapText="1"/>
    </xf>
    <xf numFmtId="0" fontId="27" fillId="0" borderId="27" xfId="0" applyFont="1" applyFill="1" applyBorder="1" applyAlignment="1">
      <alignment horizontal="left" vertical="top" wrapText="1"/>
    </xf>
    <xf numFmtId="0" fontId="28" fillId="0" borderId="45"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11" xfId="0" applyFont="1" applyFill="1" applyBorder="1" applyAlignment="1">
      <alignment horizontal="center" vertical="top" wrapText="1"/>
    </xf>
    <xf numFmtId="49" fontId="27" fillId="0" borderId="21" xfId="0" applyNumberFormat="1" applyFont="1" applyBorder="1" applyAlignment="1">
      <alignment horizontal="center" vertical="top" wrapText="1"/>
    </xf>
    <xf numFmtId="49" fontId="27" fillId="0" borderId="17" xfId="0" applyNumberFormat="1" applyFont="1" applyBorder="1" applyAlignment="1">
      <alignment horizontal="center" vertical="top" wrapText="1"/>
    </xf>
    <xf numFmtId="49" fontId="27" fillId="0" borderId="26" xfId="0" applyNumberFormat="1" applyFont="1" applyBorder="1" applyAlignment="1">
      <alignment horizontal="center" vertical="top" wrapText="1"/>
    </xf>
    <xf numFmtId="49" fontId="5" fillId="3" borderId="79" xfId="0" applyNumberFormat="1" applyFont="1" applyFill="1" applyBorder="1" applyAlignment="1">
      <alignment horizontal="right" vertical="top"/>
    </xf>
    <xf numFmtId="49" fontId="5" fillId="0" borderId="29"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28" fillId="0" borderId="1" xfId="0" applyNumberFormat="1" applyFont="1" applyBorder="1" applyAlignment="1">
      <alignment horizontal="center" vertical="top"/>
    </xf>
    <xf numFmtId="49" fontId="28" fillId="0" borderId="19" xfId="0" applyNumberFormat="1" applyFont="1" applyBorder="1" applyAlignment="1">
      <alignment horizontal="center" vertical="top"/>
    </xf>
    <xf numFmtId="49" fontId="28" fillId="0" borderId="27" xfId="0" applyNumberFormat="1" applyFont="1" applyBorder="1" applyAlignment="1">
      <alignment horizontal="center" vertical="top"/>
    </xf>
    <xf numFmtId="0" fontId="27" fillId="0" borderId="45"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11" xfId="0" applyFont="1" applyFill="1" applyBorder="1" applyAlignment="1">
      <alignment horizontal="left" vertical="top" wrapText="1"/>
    </xf>
    <xf numFmtId="49" fontId="5" fillId="4" borderId="8" xfId="0" applyNumberFormat="1" applyFont="1" applyFill="1" applyBorder="1" applyAlignment="1">
      <alignment horizontal="center" vertical="top" wrapText="1"/>
    </xf>
    <xf numFmtId="49" fontId="5" fillId="4" borderId="10" xfId="0" applyNumberFormat="1" applyFont="1" applyFill="1" applyBorder="1" applyAlignment="1">
      <alignment horizontal="center" vertical="top" wrapText="1"/>
    </xf>
    <xf numFmtId="49" fontId="5" fillId="3" borderId="28"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8" borderId="28" xfId="0" applyNumberFormat="1" applyFont="1" applyFill="1" applyBorder="1" applyAlignment="1">
      <alignment horizontal="center" vertical="top" wrapText="1"/>
    </xf>
    <xf numFmtId="49" fontId="5" fillId="0" borderId="28"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26" xfId="0" applyNumberFormat="1" applyFont="1" applyBorder="1" applyAlignment="1">
      <alignment horizontal="center" vertical="top" wrapText="1"/>
    </xf>
    <xf numFmtId="49" fontId="3" fillId="0" borderId="28"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0" fontId="3" fillId="0" borderId="0" xfId="0" applyNumberFormat="1" applyFont="1" applyFill="1" applyBorder="1" applyAlignment="1">
      <alignment horizontal="left" vertical="top" wrapText="1"/>
    </xf>
    <xf numFmtId="0" fontId="32" fillId="0" borderId="0" xfId="0" applyFont="1" applyAlignment="1">
      <alignment vertical="top"/>
    </xf>
    <xf numFmtId="0" fontId="33" fillId="0" borderId="0" xfId="0" applyFont="1" applyAlignment="1">
      <alignment vertical="top"/>
    </xf>
    <xf numFmtId="49" fontId="5" fillId="3" borderId="62" xfId="0" applyNumberFormat="1" applyFont="1" applyFill="1" applyBorder="1" applyAlignment="1">
      <alignment horizontal="right" vertical="top"/>
    </xf>
    <xf numFmtId="49" fontId="5" fillId="3" borderId="30" xfId="0" applyNumberFormat="1" applyFont="1" applyFill="1" applyBorder="1" applyAlignment="1">
      <alignment horizontal="right" vertical="top"/>
    </xf>
    <xf numFmtId="49" fontId="5" fillId="4" borderId="79" xfId="0" applyNumberFormat="1" applyFont="1" applyFill="1" applyBorder="1" applyAlignment="1">
      <alignment horizontal="right" vertical="top"/>
    </xf>
    <xf numFmtId="49" fontId="5" fillId="4" borderId="68" xfId="0" applyNumberFormat="1" applyFont="1" applyFill="1" applyBorder="1" applyAlignment="1">
      <alignment horizontal="right" vertical="top"/>
    </xf>
    <xf numFmtId="49" fontId="5" fillId="4" borderId="69" xfId="0" applyNumberFormat="1" applyFont="1" applyFill="1" applyBorder="1" applyAlignment="1">
      <alignment horizontal="right" vertical="top"/>
    </xf>
    <xf numFmtId="0" fontId="3" fillId="4" borderId="63" xfId="0" applyFont="1" applyFill="1" applyBorder="1" applyAlignment="1">
      <alignment horizontal="center" vertical="top"/>
    </xf>
    <xf numFmtId="0" fontId="3" fillId="4" borderId="68" xfId="0" applyFont="1" applyFill="1" applyBorder="1" applyAlignment="1">
      <alignment horizontal="center" vertical="top"/>
    </xf>
    <xf numFmtId="0" fontId="3" fillId="4" borderId="69" xfId="0" applyFont="1" applyFill="1" applyBorder="1" applyAlignment="1">
      <alignment horizontal="center" vertical="top"/>
    </xf>
    <xf numFmtId="49" fontId="5" fillId="7" borderId="79" xfId="0" applyNumberFormat="1" applyFont="1" applyFill="1" applyBorder="1" applyAlignment="1">
      <alignment horizontal="right" vertical="top"/>
    </xf>
    <xf numFmtId="49" fontId="5" fillId="7" borderId="68" xfId="0" applyNumberFormat="1" applyFont="1" applyFill="1" applyBorder="1" applyAlignment="1">
      <alignment horizontal="right" vertical="top"/>
    </xf>
    <xf numFmtId="0" fontId="3" fillId="7" borderId="63" xfId="0" applyFont="1" applyFill="1" applyBorder="1" applyAlignment="1">
      <alignment horizontal="center" vertical="top"/>
    </xf>
    <xf numFmtId="0" fontId="3" fillId="7" borderId="68" xfId="0" applyFont="1" applyFill="1" applyBorder="1" applyAlignment="1">
      <alignment horizontal="center" vertical="top"/>
    </xf>
    <xf numFmtId="0" fontId="3" fillId="7" borderId="69" xfId="0" applyFont="1" applyFill="1" applyBorder="1" applyAlignment="1">
      <alignment horizontal="center" vertical="top"/>
    </xf>
    <xf numFmtId="0" fontId="3" fillId="0" borderId="8" xfId="0" applyFont="1" applyFill="1" applyBorder="1" applyAlignment="1">
      <alignment vertical="top" wrapText="1"/>
    </xf>
    <xf numFmtId="0" fontId="0" fillId="0" borderId="10" xfId="0" applyBorder="1" applyAlignment="1">
      <alignment vertical="top" wrapText="1"/>
    </xf>
    <xf numFmtId="0" fontId="5" fillId="2" borderId="77" xfId="0" applyFont="1" applyFill="1" applyBorder="1" applyAlignment="1">
      <alignment horizontal="center" vertical="top" wrapText="1"/>
    </xf>
    <xf numFmtId="0" fontId="5" fillId="2" borderId="40" xfId="0" applyFont="1" applyFill="1" applyBorder="1" applyAlignment="1">
      <alignment horizontal="center" vertical="top" wrapText="1"/>
    </xf>
    <xf numFmtId="0" fontId="5" fillId="2" borderId="35" xfId="0" applyFont="1" applyFill="1" applyBorder="1" applyAlignment="1">
      <alignment horizontal="center" vertical="top" wrapText="1"/>
    </xf>
    <xf numFmtId="49" fontId="3" fillId="2" borderId="28" xfId="0" applyNumberFormat="1" applyFont="1" applyFill="1" applyBorder="1" applyAlignment="1">
      <alignment horizontal="center" vertical="top" wrapText="1"/>
    </xf>
    <xf numFmtId="49" fontId="3" fillId="2" borderId="17"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0" fontId="5" fillId="2" borderId="54" xfId="0"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36" xfId="0" applyFont="1" applyFill="1" applyBorder="1" applyAlignment="1">
      <alignment horizontal="center" vertical="top" wrapText="1"/>
    </xf>
    <xf numFmtId="0" fontId="3" fillId="2" borderId="57" xfId="0" applyNumberFormat="1" applyFont="1" applyFill="1" applyBorder="1" applyAlignment="1">
      <alignment horizontal="left" vertical="top" wrapText="1"/>
    </xf>
    <xf numFmtId="0" fontId="22" fillId="2" borderId="40" xfId="0" applyNumberFormat="1" applyFont="1" applyFill="1" applyBorder="1" applyAlignment="1">
      <alignment horizontal="left" vertical="top" wrapText="1"/>
    </xf>
    <xf numFmtId="49" fontId="5" fillId="4" borderId="11" xfId="0" applyNumberFormat="1" applyFont="1" applyFill="1" applyBorder="1" applyAlignment="1">
      <alignment horizontal="center" vertical="top" wrapText="1"/>
    </xf>
    <xf numFmtId="49" fontId="5" fillId="3" borderId="26" xfId="0" applyNumberFormat="1" applyFont="1" applyFill="1" applyBorder="1" applyAlignment="1">
      <alignment horizontal="center" vertical="top" wrapText="1"/>
    </xf>
    <xf numFmtId="0" fontId="3" fillId="2" borderId="62" xfId="0" applyFont="1" applyFill="1" applyBorder="1" applyAlignment="1">
      <alignment horizontal="left" vertical="top" wrapText="1"/>
    </xf>
    <xf numFmtId="0" fontId="5" fillId="0" borderId="28" xfId="0" applyFont="1" applyFill="1" applyBorder="1" applyAlignment="1">
      <alignment horizontal="left" vertical="top" wrapText="1"/>
    </xf>
    <xf numFmtId="0" fontId="0" fillId="0" borderId="34" xfId="0" applyBorder="1" applyAlignment="1">
      <alignment horizontal="left" vertical="top" wrapText="1"/>
    </xf>
    <xf numFmtId="0" fontId="3" fillId="8" borderId="48" xfId="0" applyFont="1" applyFill="1" applyBorder="1" applyAlignment="1">
      <alignment horizontal="left" vertical="top" wrapText="1"/>
    </xf>
    <xf numFmtId="0" fontId="0" fillId="0" borderId="62" xfId="0" applyBorder="1" applyAlignment="1"/>
    <xf numFmtId="0" fontId="3" fillId="8" borderId="50" xfId="0" applyFont="1" applyFill="1" applyBorder="1" applyAlignment="1">
      <alignment horizontal="center" vertical="center" textRotation="90" wrapText="1"/>
    </xf>
    <xf numFmtId="49" fontId="5" fillId="8" borderId="50" xfId="0" applyNumberFormat="1" applyFont="1" applyFill="1" applyBorder="1" applyAlignment="1">
      <alignment horizontal="center" vertical="top"/>
    </xf>
    <xf numFmtId="0" fontId="3" fillId="0" borderId="57" xfId="0" applyFont="1" applyFill="1" applyBorder="1" applyAlignment="1">
      <alignment vertical="top" wrapText="1"/>
    </xf>
    <xf numFmtId="0" fontId="0" fillId="0" borderId="35" xfId="0" applyBorder="1" applyAlignment="1"/>
    <xf numFmtId="0" fontId="15" fillId="0" borderId="28" xfId="0" applyFont="1" applyFill="1" applyBorder="1" applyAlignment="1">
      <alignment horizontal="left" vertical="top" wrapText="1"/>
    </xf>
    <xf numFmtId="0" fontId="0" fillId="0" borderId="17" xfId="0" applyBorder="1" applyAlignment="1">
      <alignment horizontal="left" vertical="top" wrapText="1"/>
    </xf>
    <xf numFmtId="3" fontId="4" fillId="0" borderId="0" xfId="0" applyNumberFormat="1" applyFont="1" applyAlignment="1">
      <alignment horizontal="center" vertical="top" wrapText="1"/>
    </xf>
    <xf numFmtId="0" fontId="3" fillId="0" borderId="30" xfId="0" applyFont="1" applyBorder="1" applyAlignment="1">
      <alignment horizontal="right" vertical="top"/>
    </xf>
    <xf numFmtId="0" fontId="0" fillId="0" borderId="30" xfId="0" applyFont="1" applyBorder="1" applyAlignment="1">
      <alignment vertical="top"/>
    </xf>
    <xf numFmtId="3" fontId="3" fillId="0" borderId="8"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11" xfId="0" applyNumberFormat="1" applyFont="1" applyBorder="1" applyAlignment="1">
      <alignment horizontal="center" vertical="center" textRotation="90" shrinkToFit="1"/>
    </xf>
    <xf numFmtId="3" fontId="3" fillId="0" borderId="28" xfId="0" applyNumberFormat="1" applyFont="1" applyBorder="1" applyAlignment="1">
      <alignment horizontal="center" vertical="center" textRotation="90" shrinkToFit="1"/>
    </xf>
    <xf numFmtId="3" fontId="3" fillId="0" borderId="17" xfId="0" applyNumberFormat="1" applyFont="1" applyBorder="1" applyAlignment="1">
      <alignment horizontal="center" vertical="center" textRotation="90" shrinkToFit="1"/>
    </xf>
    <xf numFmtId="3" fontId="3" fillId="0" borderId="26" xfId="0" applyNumberFormat="1" applyFont="1" applyBorder="1" applyAlignment="1">
      <alignment horizontal="center" vertical="center" textRotation="90" shrinkToFit="1"/>
    </xf>
    <xf numFmtId="3" fontId="3" fillId="0" borderId="47" xfId="0" applyNumberFormat="1" applyFont="1" applyBorder="1" applyAlignment="1">
      <alignment horizontal="center" vertical="center" shrinkToFit="1"/>
    </xf>
    <xf numFmtId="3" fontId="3" fillId="0" borderId="50" xfId="0" applyNumberFormat="1" applyFont="1" applyBorder="1" applyAlignment="1">
      <alignment horizontal="center" vertical="center" shrinkToFit="1"/>
    </xf>
    <xf numFmtId="3" fontId="3" fillId="0" borderId="62" xfId="0" applyNumberFormat="1" applyFont="1" applyBorder="1" applyAlignment="1">
      <alignment horizontal="center" vertical="center" shrinkToFit="1"/>
    </xf>
    <xf numFmtId="0" fontId="3" fillId="8" borderId="45" xfId="0" applyFont="1" applyFill="1" applyBorder="1" applyAlignment="1">
      <alignment vertical="top" wrapText="1"/>
    </xf>
    <xf numFmtId="0" fontId="0" fillId="0" borderId="10" xfId="0" applyFont="1" applyBorder="1" applyAlignment="1">
      <alignment vertical="top" wrapText="1"/>
    </xf>
    <xf numFmtId="0" fontId="5" fillId="8" borderId="21" xfId="0" applyFont="1" applyFill="1" applyBorder="1" applyAlignment="1">
      <alignment horizontal="left" vertical="top" wrapText="1"/>
    </xf>
    <xf numFmtId="0" fontId="5" fillId="14" borderId="37" xfId="0" applyFont="1" applyFill="1" applyBorder="1" applyAlignment="1">
      <alignment horizontal="left" vertical="top"/>
    </xf>
    <xf numFmtId="0" fontId="5" fillId="14" borderId="43" xfId="0" applyFont="1" applyFill="1" applyBorder="1" applyAlignment="1">
      <alignment horizontal="left" vertical="top"/>
    </xf>
    <xf numFmtId="0" fontId="5" fillId="14" borderId="44" xfId="0" applyFont="1" applyFill="1" applyBorder="1" applyAlignment="1">
      <alignment horizontal="left" vertical="top"/>
    </xf>
    <xf numFmtId="0" fontId="3" fillId="8" borderId="21" xfId="0" applyFont="1" applyFill="1" applyBorder="1" applyAlignment="1">
      <alignment horizontal="left" vertical="top" wrapText="1"/>
    </xf>
    <xf numFmtId="0" fontId="7" fillId="8" borderId="17" xfId="0" applyFont="1" applyFill="1" applyBorder="1" applyAlignment="1">
      <alignment horizontal="left" vertical="top" wrapText="1"/>
    </xf>
    <xf numFmtId="3" fontId="3" fillId="0" borderId="47" xfId="0" applyNumberFormat="1" applyFont="1" applyBorder="1" applyAlignment="1">
      <alignment horizontal="center" vertical="center" textRotation="90" shrinkToFit="1"/>
    </xf>
    <xf numFmtId="3" fontId="3" fillId="0" borderId="50" xfId="0" applyNumberFormat="1" applyFont="1" applyBorder="1" applyAlignment="1">
      <alignment horizontal="center" vertical="center" textRotation="90" shrinkToFit="1"/>
    </xf>
    <xf numFmtId="3" fontId="3" fillId="0" borderId="62" xfId="0" applyNumberFormat="1" applyFont="1" applyBorder="1" applyAlignment="1">
      <alignment horizontal="center" vertical="center" textRotation="90" shrinkToFit="1"/>
    </xf>
    <xf numFmtId="3" fontId="3" fillId="0" borderId="47" xfId="0" applyNumberFormat="1" applyFont="1" applyBorder="1" applyAlignment="1">
      <alignment horizontal="center" vertical="center" textRotation="90" wrapText="1"/>
    </xf>
    <xf numFmtId="3" fontId="3" fillId="0" borderId="50" xfId="0" applyNumberFormat="1" applyFont="1" applyBorder="1" applyAlignment="1">
      <alignment horizontal="center" vertical="center" textRotation="90" wrapText="1"/>
    </xf>
    <xf numFmtId="3" fontId="3" fillId="0" borderId="62" xfId="0" applyNumberFormat="1" applyFont="1" applyBorder="1" applyAlignment="1">
      <alignment horizontal="center" vertical="center" textRotation="90" wrapText="1"/>
    </xf>
    <xf numFmtId="3" fontId="3" fillId="0" borderId="46" xfId="0" applyNumberFormat="1" applyFont="1" applyBorder="1" applyAlignment="1">
      <alignment horizontal="center" vertical="center" textRotation="90" wrapText="1" shrinkToFit="1"/>
    </xf>
    <xf numFmtId="3" fontId="3" fillId="0" borderId="9" xfId="0" applyNumberFormat="1" applyFont="1" applyBorder="1" applyAlignment="1">
      <alignment horizontal="center" vertical="center" textRotation="90" wrapText="1" shrinkToFit="1"/>
    </xf>
    <xf numFmtId="3" fontId="3" fillId="0" borderId="66" xfId="0" applyNumberFormat="1" applyFont="1" applyBorder="1" applyAlignment="1">
      <alignment horizontal="center" vertical="center" textRotation="90" wrapText="1" shrinkToFit="1"/>
    </xf>
    <xf numFmtId="0" fontId="3" fillId="8" borderId="34" xfId="0" applyFont="1" applyFill="1" applyBorder="1" applyAlignment="1">
      <alignment horizontal="left" vertical="top" wrapText="1"/>
    </xf>
    <xf numFmtId="0" fontId="8" fillId="0" borderId="21"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35" fillId="0" borderId="17" xfId="0" applyFont="1" applyBorder="1" applyAlignment="1">
      <alignment horizontal="center" vertical="center" textRotation="90" wrapText="1"/>
    </xf>
    <xf numFmtId="0" fontId="35" fillId="0" borderId="34" xfId="0" applyFont="1" applyBorder="1" applyAlignment="1">
      <alignment horizontal="center" vertical="center" textRotation="90" wrapText="1"/>
    </xf>
    <xf numFmtId="0" fontId="3" fillId="8" borderId="32" xfId="0" applyFont="1" applyFill="1" applyBorder="1" applyAlignment="1">
      <alignment horizontal="left" vertical="top" wrapText="1"/>
    </xf>
    <xf numFmtId="49" fontId="5" fillId="14" borderId="10" xfId="0" applyNumberFormat="1" applyFont="1" applyFill="1" applyBorder="1" applyAlignment="1">
      <alignment horizontal="center" vertical="top"/>
    </xf>
    <xf numFmtId="0" fontId="3" fillId="8" borderId="2" xfId="0" applyFont="1" applyFill="1" applyBorder="1" applyAlignment="1">
      <alignment horizontal="left" vertical="top" wrapText="1"/>
    </xf>
    <xf numFmtId="0" fontId="3" fillId="8" borderId="20" xfId="0" applyFont="1" applyFill="1" applyBorder="1" applyAlignment="1">
      <alignment horizontal="center" vertical="center" textRotation="90" wrapText="1"/>
    </xf>
    <xf numFmtId="0" fontId="3" fillId="8" borderId="38" xfId="0" applyFont="1" applyFill="1" applyBorder="1" applyAlignment="1">
      <alignment horizontal="center" vertical="center" textRotation="90" wrapText="1"/>
    </xf>
    <xf numFmtId="0" fontId="3" fillId="8" borderId="51" xfId="0" applyFont="1" applyFill="1" applyBorder="1" applyAlignment="1">
      <alignment horizontal="center" vertical="center" textRotation="90" wrapText="1"/>
    </xf>
    <xf numFmtId="0" fontId="3" fillId="8" borderId="17" xfId="0" applyFont="1" applyFill="1" applyBorder="1" applyAlignment="1">
      <alignment horizontal="left" vertical="top" wrapText="1"/>
    </xf>
    <xf numFmtId="0" fontId="2" fillId="8" borderId="51" xfId="0" applyFont="1" applyFill="1" applyBorder="1" applyAlignment="1">
      <alignment horizontal="center" vertical="center" textRotation="90" wrapText="1"/>
    </xf>
    <xf numFmtId="0" fontId="2" fillId="8" borderId="39" xfId="0" applyFont="1" applyFill="1" applyBorder="1" applyAlignment="1">
      <alignment horizontal="center" vertical="center" textRotation="90" wrapText="1"/>
    </xf>
    <xf numFmtId="0" fontId="2" fillId="8" borderId="20" xfId="0" applyFont="1" applyFill="1" applyBorder="1" applyAlignment="1">
      <alignment horizontal="center" vertical="center" textRotation="90" wrapText="1"/>
    </xf>
    <xf numFmtId="49" fontId="5" fillId="8" borderId="50" xfId="0" applyNumberFormat="1" applyFont="1" applyFill="1" applyBorder="1" applyAlignment="1">
      <alignment horizontal="center" vertical="top" wrapText="1"/>
    </xf>
    <xf numFmtId="49" fontId="5" fillId="2" borderId="50" xfId="0" applyNumberFormat="1" applyFont="1" applyFill="1" applyBorder="1" applyAlignment="1">
      <alignment horizontal="center" vertical="top"/>
    </xf>
    <xf numFmtId="0" fontId="35" fillId="0" borderId="17" xfId="0" applyFont="1" applyBorder="1" applyAlignment="1">
      <alignment horizontal="center" wrapText="1"/>
    </xf>
    <xf numFmtId="0" fontId="3" fillId="8" borderId="45" xfId="1" applyFont="1" applyFill="1" applyBorder="1" applyAlignment="1">
      <alignment vertical="top" wrapText="1"/>
    </xf>
    <xf numFmtId="0" fontId="7" fillId="8" borderId="31" xfId="0" applyFont="1" applyFill="1" applyBorder="1" applyAlignment="1">
      <alignment vertical="top" wrapText="1"/>
    </xf>
    <xf numFmtId="0" fontId="0" fillId="8" borderId="10" xfId="0" applyFont="1" applyFill="1" applyBorder="1" applyAlignment="1">
      <alignment vertical="top" wrapText="1"/>
    </xf>
    <xf numFmtId="0" fontId="8" fillId="8" borderId="21" xfId="0" applyFont="1" applyFill="1" applyBorder="1" applyAlignment="1">
      <alignment horizontal="center" vertical="center" textRotation="90" wrapText="1"/>
    </xf>
    <xf numFmtId="0" fontId="8" fillId="8" borderId="17" xfId="0" applyFont="1" applyFill="1" applyBorder="1" applyAlignment="1">
      <alignment horizontal="center" vertical="center" textRotation="90" wrapText="1"/>
    </xf>
    <xf numFmtId="0" fontId="3" fillId="8" borderId="50" xfId="0" applyFont="1" applyFill="1" applyBorder="1" applyAlignment="1">
      <alignment horizontal="left" vertical="top" wrapText="1"/>
    </xf>
    <xf numFmtId="0" fontId="7" fillId="8" borderId="32" xfId="0" applyFont="1" applyFill="1" applyBorder="1" applyAlignment="1">
      <alignment horizontal="left" vertical="top" wrapText="1"/>
    </xf>
    <xf numFmtId="49" fontId="5" fillId="8" borderId="19" xfId="0" applyNumberFormat="1" applyFont="1" applyFill="1" applyBorder="1" applyAlignment="1">
      <alignment horizontal="center" vertical="top"/>
    </xf>
    <xf numFmtId="0" fontId="3" fillId="8" borderId="84" xfId="1" applyFont="1" applyFill="1" applyBorder="1" applyAlignment="1">
      <alignment vertical="top" wrapText="1"/>
    </xf>
    <xf numFmtId="0" fontId="0" fillId="0" borderId="31" xfId="0" applyFont="1" applyBorder="1" applyAlignment="1">
      <alignment vertical="top" wrapText="1"/>
    </xf>
    <xf numFmtId="0" fontId="3" fillId="8" borderId="10" xfId="1" applyFont="1" applyFill="1" applyBorder="1" applyAlignment="1">
      <alignment vertical="top" wrapText="1"/>
    </xf>
    <xf numFmtId="3" fontId="3" fillId="8" borderId="52" xfId="1" applyNumberFormat="1" applyFont="1" applyFill="1" applyBorder="1" applyAlignment="1">
      <alignment horizontal="center" vertical="top"/>
    </xf>
    <xf numFmtId="3" fontId="3" fillId="8" borderId="53" xfId="1" applyNumberFormat="1" applyFont="1" applyFill="1" applyBorder="1" applyAlignment="1">
      <alignment horizontal="center" vertical="top"/>
    </xf>
    <xf numFmtId="3" fontId="3" fillId="8" borderId="93" xfId="1" applyNumberFormat="1" applyFont="1" applyFill="1" applyBorder="1" applyAlignment="1">
      <alignment horizontal="center" vertical="top"/>
    </xf>
    <xf numFmtId="0" fontId="7" fillId="8" borderId="50" xfId="0" applyFont="1" applyFill="1" applyBorder="1" applyAlignment="1">
      <alignment vertical="top" wrapText="1"/>
    </xf>
    <xf numFmtId="0" fontId="7" fillId="8" borderId="32" xfId="0" applyFont="1" applyFill="1" applyBorder="1" applyAlignment="1">
      <alignment vertical="top" wrapText="1"/>
    </xf>
    <xf numFmtId="0" fontId="3" fillId="0" borderId="17" xfId="0" applyFont="1" applyBorder="1" applyAlignment="1">
      <alignment horizontal="center" vertical="center" textRotation="90"/>
    </xf>
    <xf numFmtId="0" fontId="3" fillId="0" borderId="17" xfId="0" applyFont="1" applyFill="1" applyBorder="1" applyAlignment="1">
      <alignment horizontal="center" vertical="center" textRotation="90" wrapText="1"/>
    </xf>
    <xf numFmtId="0" fontId="3" fillId="0" borderId="21" xfId="0" applyFont="1" applyBorder="1" applyAlignment="1">
      <alignment horizontal="center" vertical="center" textRotation="90"/>
    </xf>
    <xf numFmtId="0" fontId="3" fillId="8" borderId="8" xfId="0" applyFont="1" applyFill="1" applyBorder="1" applyAlignment="1">
      <alignment horizontal="left" vertical="top" wrapText="1"/>
    </xf>
    <xf numFmtId="0" fontId="3" fillId="8" borderId="31" xfId="0" applyFont="1" applyFill="1" applyBorder="1" applyAlignment="1">
      <alignment horizontal="left" vertical="top" wrapText="1"/>
    </xf>
    <xf numFmtId="3" fontId="3" fillId="0" borderId="54"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wrapText="1"/>
    </xf>
    <xf numFmtId="0" fontId="3" fillId="8" borderId="51" xfId="0" applyFont="1" applyFill="1" applyBorder="1" applyAlignment="1">
      <alignment horizontal="center" vertical="center" wrapText="1"/>
    </xf>
    <xf numFmtId="0" fontId="3" fillId="8" borderId="20" xfId="0" applyFont="1" applyFill="1" applyBorder="1" applyAlignment="1">
      <alignment horizontal="center" vertical="center" wrapText="1"/>
    </xf>
    <xf numFmtId="49" fontId="5" fillId="14" borderId="8" xfId="0" applyNumberFormat="1" applyFont="1" applyFill="1" applyBorder="1" applyAlignment="1">
      <alignment horizontal="center" vertical="top"/>
    </xf>
    <xf numFmtId="0" fontId="15" fillId="8" borderId="28" xfId="0" applyFont="1" applyFill="1" applyBorder="1" applyAlignment="1">
      <alignment horizontal="left" vertical="top" wrapText="1"/>
    </xf>
    <xf numFmtId="0" fontId="15" fillId="8" borderId="17" xfId="0" applyFont="1" applyFill="1" applyBorder="1" applyAlignment="1">
      <alignment horizontal="left" vertical="top" wrapText="1"/>
    </xf>
    <xf numFmtId="0" fontId="9" fillId="8" borderId="72" xfId="0" applyFont="1" applyFill="1" applyBorder="1" applyAlignment="1">
      <alignment horizontal="center" vertical="center" textRotation="90" wrapText="1"/>
    </xf>
    <xf numFmtId="0" fontId="9" fillId="8" borderId="39" xfId="0" applyFont="1" applyFill="1" applyBorder="1" applyAlignment="1">
      <alignment horizontal="center" vertical="center" textRotation="90" wrapText="1"/>
    </xf>
    <xf numFmtId="49" fontId="5" fillId="8" borderId="29" xfId="0" applyNumberFormat="1" applyFont="1" applyFill="1" applyBorder="1" applyAlignment="1">
      <alignment horizontal="center" vertical="top"/>
    </xf>
    <xf numFmtId="0" fontId="5" fillId="8" borderId="28" xfId="0" applyFont="1" applyFill="1" applyBorder="1" applyAlignment="1">
      <alignment horizontal="left" vertical="top" wrapText="1"/>
    </xf>
    <xf numFmtId="0" fontId="5" fillId="8" borderId="17" xfId="0" applyFont="1" applyFill="1" applyBorder="1" applyAlignment="1">
      <alignment horizontal="left" vertical="top" wrapText="1"/>
    </xf>
    <xf numFmtId="0" fontId="5" fillId="8" borderId="8" xfId="0" applyFont="1" applyFill="1" applyBorder="1" applyAlignment="1">
      <alignment vertical="top" wrapText="1"/>
    </xf>
    <xf numFmtId="0" fontId="5" fillId="8" borderId="10" xfId="0" applyFont="1" applyFill="1" applyBorder="1" applyAlignment="1">
      <alignment vertical="top" wrapText="1"/>
    </xf>
    <xf numFmtId="0" fontId="5" fillId="8" borderId="31" xfId="0" applyFont="1" applyFill="1" applyBorder="1" applyAlignment="1">
      <alignment vertical="top" wrapText="1"/>
    </xf>
    <xf numFmtId="0" fontId="0" fillId="8" borderId="50" xfId="0" applyFont="1" applyFill="1" applyBorder="1" applyAlignment="1">
      <alignment horizontal="left" vertical="top" wrapText="1"/>
    </xf>
    <xf numFmtId="0" fontId="2" fillId="8" borderId="2" xfId="0" applyFont="1" applyFill="1" applyBorder="1" applyAlignment="1">
      <alignment vertical="center" textRotation="90"/>
    </xf>
    <xf numFmtId="0" fontId="1" fillId="8" borderId="2" xfId="0" applyFont="1" applyFill="1" applyBorder="1" applyAlignment="1">
      <alignment vertical="center" textRotation="90"/>
    </xf>
    <xf numFmtId="49" fontId="5" fillId="14" borderId="11" xfId="0" applyNumberFormat="1" applyFont="1" applyFill="1" applyBorder="1" applyAlignment="1">
      <alignment horizontal="center" vertical="top"/>
    </xf>
    <xf numFmtId="0" fontId="3" fillId="8" borderId="28" xfId="0" applyFont="1" applyFill="1" applyBorder="1" applyAlignment="1">
      <alignment horizontal="left" vertical="top" wrapText="1"/>
    </xf>
    <xf numFmtId="0" fontId="7" fillId="0" borderId="26" xfId="0" applyFont="1" applyBorder="1" applyAlignment="1">
      <alignment vertical="top"/>
    </xf>
    <xf numFmtId="0" fontId="3" fillId="0" borderId="72"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2" fillId="0" borderId="21" xfId="0" applyFont="1" applyFill="1" applyBorder="1" applyAlignment="1">
      <alignment horizontal="center" vertical="center" textRotation="90" wrapText="1"/>
    </xf>
    <xf numFmtId="0" fontId="2" fillId="0" borderId="17"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0" fillId="8" borderId="17" xfId="0" applyFont="1" applyFill="1" applyBorder="1" applyAlignment="1">
      <alignment horizontal="left" vertical="top" wrapText="1"/>
    </xf>
    <xf numFmtId="0" fontId="0" fillId="8" borderId="34" xfId="0" applyFont="1" applyFill="1" applyBorder="1" applyAlignment="1">
      <alignment horizontal="left" vertical="top" wrapText="1"/>
    </xf>
    <xf numFmtId="0" fontId="2" fillId="8" borderId="21" xfId="0" applyFont="1" applyFill="1" applyBorder="1" applyAlignment="1">
      <alignment horizontal="center" vertical="center" textRotation="90" wrapText="1"/>
    </xf>
    <xf numFmtId="0" fontId="2" fillId="8" borderId="17" xfId="0" applyFont="1" applyFill="1" applyBorder="1" applyAlignment="1">
      <alignment horizontal="center" vertical="center" textRotation="90" wrapText="1"/>
    </xf>
    <xf numFmtId="0" fontId="2" fillId="8" borderId="34" xfId="0" applyFont="1" applyFill="1" applyBorder="1" applyAlignment="1">
      <alignment horizontal="center" vertical="center" textRotation="90" wrapText="1"/>
    </xf>
    <xf numFmtId="49" fontId="5" fillId="8" borderId="33" xfId="0" applyNumberFormat="1" applyFont="1" applyFill="1" applyBorder="1" applyAlignment="1">
      <alignment horizontal="center" vertical="top"/>
    </xf>
    <xf numFmtId="0" fontId="0" fillId="0" borderId="0" xfId="0" applyFont="1" applyAlignment="1">
      <alignment vertical="top" wrapText="1"/>
    </xf>
    <xf numFmtId="0" fontId="16" fillId="8" borderId="48" xfId="0" applyFont="1" applyFill="1" applyBorder="1" applyAlignment="1">
      <alignment horizontal="left" vertical="top" wrapText="1"/>
    </xf>
    <xf numFmtId="0" fontId="7" fillId="8" borderId="50" xfId="0" applyFont="1" applyFill="1" applyBorder="1" applyAlignment="1">
      <alignment horizontal="left" vertical="top" wrapText="1"/>
    </xf>
    <xf numFmtId="0" fontId="7" fillId="8" borderId="32" xfId="0" applyFont="1" applyFill="1" applyBorder="1" applyAlignment="1"/>
    <xf numFmtId="0" fontId="7" fillId="8" borderId="50" xfId="0" applyFont="1" applyFill="1" applyBorder="1" applyAlignment="1"/>
    <xf numFmtId="0" fontId="3" fillId="8" borderId="45" xfId="0" applyFont="1" applyFill="1" applyBorder="1" applyAlignment="1">
      <alignment horizontal="left" vertical="top" wrapText="1"/>
    </xf>
    <xf numFmtId="3" fontId="3" fillId="8" borderId="50" xfId="0" applyNumberFormat="1" applyFont="1" applyFill="1" applyBorder="1" applyAlignment="1">
      <alignment horizontal="left" vertical="top" wrapText="1"/>
    </xf>
    <xf numFmtId="3" fontId="3" fillId="8" borderId="32" xfId="0" applyNumberFormat="1" applyFont="1" applyFill="1" applyBorder="1" applyAlignment="1">
      <alignment horizontal="left" vertical="top" wrapText="1"/>
    </xf>
    <xf numFmtId="0" fontId="3" fillId="8" borderId="37" xfId="0" applyFont="1" applyFill="1" applyBorder="1" applyAlignment="1">
      <alignment horizontal="left" vertical="top" wrapText="1"/>
    </xf>
    <xf numFmtId="0" fontId="7" fillId="8" borderId="37" xfId="0" applyFont="1" applyFill="1" applyBorder="1" applyAlignment="1">
      <alignment horizontal="left" vertical="top" wrapText="1"/>
    </xf>
    <xf numFmtId="0" fontId="1" fillId="0" borderId="34" xfId="0" applyFont="1" applyBorder="1" applyAlignment="1">
      <alignment horizontal="center" vertical="center" textRotation="90" wrapText="1"/>
    </xf>
    <xf numFmtId="0" fontId="3" fillId="2" borderId="21" xfId="0" applyFont="1" applyFill="1" applyBorder="1" applyAlignment="1">
      <alignment vertical="top" wrapText="1"/>
    </xf>
    <xf numFmtId="0" fontId="3" fillId="2" borderId="34" xfId="0" applyFont="1" applyFill="1" applyBorder="1" applyAlignment="1">
      <alignment vertical="top" wrapText="1"/>
    </xf>
    <xf numFmtId="0" fontId="5" fillId="8" borderId="17" xfId="0" applyFont="1" applyFill="1" applyBorder="1" applyAlignment="1">
      <alignment horizontal="center" vertical="top" wrapText="1"/>
    </xf>
    <xf numFmtId="0" fontId="5" fillId="6" borderId="35" xfId="0" applyFont="1" applyFill="1" applyBorder="1" applyAlignment="1">
      <alignment horizontal="right" vertical="top" wrapText="1"/>
    </xf>
    <xf numFmtId="0" fontId="5" fillId="6" borderId="30" xfId="0" applyFont="1" applyFill="1" applyBorder="1" applyAlignment="1">
      <alignment horizontal="right" vertical="top" wrapText="1"/>
    </xf>
    <xf numFmtId="0" fontId="5" fillId="6" borderId="36" xfId="0" applyFont="1" applyFill="1" applyBorder="1" applyAlignment="1">
      <alignment horizontal="right" vertical="top" wrapText="1"/>
    </xf>
    <xf numFmtId="0" fontId="7" fillId="0" borderId="9" xfId="0" applyFont="1" applyBorder="1" applyAlignment="1">
      <alignment horizontal="center" vertical="center" textRotation="90" wrapText="1"/>
    </xf>
    <xf numFmtId="0" fontId="7" fillId="0" borderId="66" xfId="0" applyFont="1" applyBorder="1" applyAlignment="1">
      <alignment horizontal="center" vertical="center" textRotation="90" wrapText="1"/>
    </xf>
    <xf numFmtId="0" fontId="0" fillId="0" borderId="26" xfId="0" applyBorder="1" applyAlignment="1"/>
    <xf numFmtId="165" fontId="3" fillId="2" borderId="76" xfId="0" applyNumberFormat="1" applyFont="1" applyFill="1" applyBorder="1" applyAlignment="1">
      <alignment horizontal="left" vertical="top" wrapText="1"/>
    </xf>
    <xf numFmtId="165" fontId="3" fillId="2" borderId="43" xfId="0" applyNumberFormat="1" applyFont="1" applyFill="1" applyBorder="1" applyAlignment="1">
      <alignment horizontal="left" vertical="top" wrapText="1"/>
    </xf>
    <xf numFmtId="165" fontId="3" fillId="2" borderId="44" xfId="0" applyNumberFormat="1" applyFont="1" applyFill="1" applyBorder="1" applyAlignment="1">
      <alignment horizontal="left" vertical="top" wrapText="1"/>
    </xf>
    <xf numFmtId="0" fontId="3" fillId="0" borderId="76"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10" borderId="76" xfId="0" applyFont="1" applyFill="1" applyBorder="1" applyAlignment="1">
      <alignment horizontal="left" vertical="top" wrapText="1"/>
    </xf>
    <xf numFmtId="0" fontId="3" fillId="10" borderId="43" xfId="0" applyFont="1" applyFill="1" applyBorder="1" applyAlignment="1">
      <alignment horizontal="left" vertical="top" wrapText="1"/>
    </xf>
    <xf numFmtId="0" fontId="3" fillId="10" borderId="44" xfId="0" applyFont="1" applyFill="1" applyBorder="1" applyAlignment="1">
      <alignment horizontal="left" vertical="top" wrapText="1"/>
    </xf>
    <xf numFmtId="0" fontId="5" fillId="5" borderId="76" xfId="0" applyFont="1" applyFill="1" applyBorder="1" applyAlignment="1">
      <alignment horizontal="right" vertical="top" wrapText="1"/>
    </xf>
    <xf numFmtId="0" fontId="5" fillId="5" borderId="43" xfId="0" applyFont="1" applyFill="1" applyBorder="1" applyAlignment="1">
      <alignment horizontal="right" vertical="top" wrapText="1"/>
    </xf>
    <xf numFmtId="0" fontId="5" fillId="5" borderId="44" xfId="0" applyFont="1" applyFill="1" applyBorder="1" applyAlignment="1">
      <alignment horizontal="right" vertical="top" wrapText="1"/>
    </xf>
    <xf numFmtId="0" fontId="3" fillId="8" borderId="76" xfId="0" applyFont="1" applyFill="1" applyBorder="1" applyAlignment="1">
      <alignment horizontal="left" vertical="top" wrapText="1"/>
    </xf>
    <xf numFmtId="0" fontId="3" fillId="8" borderId="43" xfId="0" applyFont="1" applyFill="1" applyBorder="1" applyAlignment="1">
      <alignment horizontal="left" vertical="top" wrapText="1"/>
    </xf>
    <xf numFmtId="0" fontId="3" fillId="8" borderId="44"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2" borderId="28" xfId="0" applyFont="1" applyFill="1" applyBorder="1" applyAlignment="1">
      <alignment vertical="top" wrapText="1"/>
    </xf>
    <xf numFmtId="0" fontId="7" fillId="0" borderId="26" xfId="0" applyFont="1" applyBorder="1" applyAlignment="1">
      <alignment vertical="top" wrapText="1"/>
    </xf>
    <xf numFmtId="0" fontId="5" fillId="12" borderId="79" xfId="0" applyFont="1" applyFill="1" applyBorder="1" applyAlignment="1">
      <alignment horizontal="left" vertical="top" wrapText="1"/>
    </xf>
    <xf numFmtId="0" fontId="7" fillId="12" borderId="68" xfId="0" applyFont="1" applyFill="1" applyBorder="1" applyAlignment="1">
      <alignment horizontal="left" vertical="top" wrapText="1"/>
    </xf>
    <xf numFmtId="0" fontId="0" fillId="0" borderId="26" xfId="0" applyFont="1" applyBorder="1" applyAlignment="1">
      <alignment vertical="top" wrapText="1"/>
    </xf>
    <xf numFmtId="3" fontId="3" fillId="0" borderId="0" xfId="0" applyNumberFormat="1" applyFont="1" applyAlignment="1">
      <alignment horizontal="left" vertical="top" wrapText="1"/>
    </xf>
    <xf numFmtId="0" fontId="3" fillId="8" borderId="70" xfId="0" applyFont="1" applyFill="1" applyBorder="1" applyAlignment="1">
      <alignment horizontal="left" vertical="top" wrapText="1"/>
    </xf>
    <xf numFmtId="0" fontId="3" fillId="8" borderId="49" xfId="0" applyFont="1" applyFill="1" applyBorder="1" applyAlignment="1">
      <alignment horizontal="left" vertical="top" wrapText="1"/>
    </xf>
    <xf numFmtId="0" fontId="3" fillId="8" borderId="55" xfId="0" applyFont="1" applyFill="1" applyBorder="1" applyAlignment="1">
      <alignment horizontal="left" vertical="top" wrapText="1"/>
    </xf>
    <xf numFmtId="3" fontId="5" fillId="0" borderId="63" xfId="0" applyNumberFormat="1" applyFont="1" applyBorder="1" applyAlignment="1">
      <alignment horizontal="center" vertical="center" wrapText="1"/>
    </xf>
    <xf numFmtId="3" fontId="5" fillId="0" borderId="68" xfId="0" applyNumberFormat="1" applyFont="1" applyBorder="1" applyAlignment="1">
      <alignment horizontal="center" vertical="center" wrapText="1"/>
    </xf>
    <xf numFmtId="3" fontId="5" fillId="0" borderId="69" xfId="0" applyNumberFormat="1" applyFont="1" applyBorder="1" applyAlignment="1">
      <alignment horizontal="center" vertical="center" wrapText="1"/>
    </xf>
    <xf numFmtId="0" fontId="5" fillId="5" borderId="78" xfId="0" applyFont="1" applyFill="1" applyBorder="1" applyAlignment="1">
      <alignment horizontal="right" vertical="top" wrapText="1"/>
    </xf>
    <xf numFmtId="0" fontId="5" fillId="5" borderId="71" xfId="0" applyFont="1" applyFill="1" applyBorder="1" applyAlignment="1">
      <alignment horizontal="right" vertical="top" wrapText="1"/>
    </xf>
    <xf numFmtId="0" fontId="5" fillId="5" borderId="65" xfId="0" applyFont="1" applyFill="1" applyBorder="1" applyAlignment="1">
      <alignment horizontal="right" vertical="top" wrapText="1"/>
    </xf>
    <xf numFmtId="0" fontId="5" fillId="10" borderId="76" xfId="0" applyFont="1" applyFill="1" applyBorder="1" applyAlignment="1">
      <alignment horizontal="right" vertical="top" wrapText="1"/>
    </xf>
    <xf numFmtId="0" fontId="7" fillId="10" borderId="43" xfId="0" applyFont="1" applyFill="1" applyBorder="1" applyAlignment="1">
      <alignment horizontal="right" vertical="top" wrapText="1"/>
    </xf>
    <xf numFmtId="0" fontId="7" fillId="10" borderId="44" xfId="0" applyFont="1" applyFill="1" applyBorder="1" applyAlignment="1">
      <alignment horizontal="right" vertical="top" wrapText="1"/>
    </xf>
    <xf numFmtId="49" fontId="5" fillId="14" borderId="79" xfId="0" applyNumberFormat="1" applyFont="1" applyFill="1" applyBorder="1" applyAlignment="1">
      <alignment horizontal="right" vertical="top"/>
    </xf>
    <xf numFmtId="49" fontId="5" fillId="14" borderId="68" xfId="0" applyNumberFormat="1" applyFont="1" applyFill="1" applyBorder="1" applyAlignment="1">
      <alignment horizontal="right" vertical="top"/>
    </xf>
    <xf numFmtId="49" fontId="5" fillId="14" borderId="69" xfId="0" applyNumberFormat="1" applyFont="1" applyFill="1" applyBorder="1" applyAlignment="1">
      <alignment horizontal="right" vertical="top"/>
    </xf>
    <xf numFmtId="49" fontId="5" fillId="5" borderId="79" xfId="0" applyNumberFormat="1" applyFont="1" applyFill="1" applyBorder="1" applyAlignment="1">
      <alignment horizontal="right" vertical="top"/>
    </xf>
    <xf numFmtId="49" fontId="5" fillId="5" borderId="68" xfId="0" applyNumberFormat="1" applyFont="1" applyFill="1" applyBorder="1" applyAlignment="1">
      <alignment horizontal="right" vertical="top"/>
    </xf>
    <xf numFmtId="49" fontId="5" fillId="5" borderId="69" xfId="0" applyNumberFormat="1" applyFont="1" applyFill="1" applyBorder="1" applyAlignment="1">
      <alignment horizontal="right" vertical="top"/>
    </xf>
    <xf numFmtId="0" fontId="3" fillId="5" borderId="63" xfId="0" applyFont="1" applyFill="1" applyBorder="1" applyAlignment="1">
      <alignment horizontal="center" vertical="top"/>
    </xf>
    <xf numFmtId="0" fontId="3" fillId="5" borderId="68" xfId="0" applyFont="1" applyFill="1" applyBorder="1" applyAlignment="1">
      <alignment horizontal="center" vertical="top"/>
    </xf>
    <xf numFmtId="0" fontId="3" fillId="5" borderId="69" xfId="0" applyFont="1" applyFill="1" applyBorder="1" applyAlignment="1">
      <alignment horizontal="center" vertical="top"/>
    </xf>
    <xf numFmtId="0" fontId="9"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3" fillId="8" borderId="17" xfId="0" applyFont="1" applyFill="1" applyBorder="1" applyAlignment="1">
      <alignment vertical="top" wrapText="1"/>
    </xf>
    <xf numFmtId="0" fontId="3" fillId="8" borderId="21" xfId="0" applyFont="1" applyFill="1" applyBorder="1" applyAlignment="1">
      <alignment vertical="top" wrapText="1"/>
    </xf>
    <xf numFmtId="0" fontId="7" fillId="8" borderId="17" xfId="0" applyFont="1" applyFill="1" applyBorder="1" applyAlignment="1">
      <alignment vertical="top" wrapText="1"/>
    </xf>
    <xf numFmtId="0" fontId="3" fillId="8" borderId="104" xfId="0" applyFont="1" applyFill="1" applyBorder="1" applyAlignment="1">
      <alignment vertical="top" wrapText="1"/>
    </xf>
    <xf numFmtId="0" fontId="5" fillId="12" borderId="79" xfId="0" applyFont="1" applyFill="1" applyBorder="1" applyAlignment="1">
      <alignment vertical="center"/>
    </xf>
    <xf numFmtId="0" fontId="5" fillId="12" borderId="68" xfId="0" applyFont="1" applyFill="1" applyBorder="1" applyAlignment="1">
      <alignment vertical="center"/>
    </xf>
    <xf numFmtId="0" fontId="5" fillId="12" borderId="69" xfId="0" applyFont="1" applyFill="1" applyBorder="1" applyAlignment="1">
      <alignment vertical="center"/>
    </xf>
    <xf numFmtId="0" fontId="3" fillId="8" borderId="34" xfId="0" applyFont="1" applyFill="1" applyBorder="1" applyAlignment="1">
      <alignment vertical="top" wrapText="1"/>
    </xf>
    <xf numFmtId="0" fontId="5" fillId="8" borderId="28" xfId="0" applyFont="1" applyFill="1" applyBorder="1" applyAlignment="1">
      <alignment vertical="top" wrapText="1"/>
    </xf>
    <xf numFmtId="0" fontId="0" fillId="0" borderId="34" xfId="0" applyBorder="1" applyAlignment="1">
      <alignment vertical="top" wrapText="1"/>
    </xf>
    <xf numFmtId="3" fontId="3" fillId="8" borderId="8" xfId="0" applyNumberFormat="1" applyFont="1" applyFill="1" applyBorder="1" applyAlignment="1">
      <alignment vertical="top" wrapText="1"/>
    </xf>
    <xf numFmtId="0" fontId="0" fillId="0" borderId="68" xfId="0" applyFont="1"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49" fontId="2" fillId="8" borderId="21" xfId="0" applyNumberFormat="1" applyFont="1" applyFill="1" applyBorder="1" applyAlignment="1">
      <alignment horizontal="center" vertical="center" textRotation="90" wrapText="1"/>
    </xf>
    <xf numFmtId="49" fontId="2" fillId="8" borderId="34" xfId="0" applyNumberFormat="1" applyFont="1" applyFill="1" applyBorder="1" applyAlignment="1">
      <alignment horizontal="center" vertical="center" textRotation="90" wrapText="1"/>
    </xf>
    <xf numFmtId="49" fontId="5" fillId="2" borderId="19" xfId="0" applyNumberFormat="1" applyFont="1" applyFill="1" applyBorder="1" applyAlignment="1">
      <alignment horizontal="center" vertical="top"/>
    </xf>
    <xf numFmtId="49" fontId="3" fillId="8" borderId="9" xfId="0" applyNumberFormat="1" applyFont="1" applyFill="1" applyBorder="1" applyAlignment="1">
      <alignment horizontal="center" vertical="top" wrapText="1"/>
    </xf>
    <xf numFmtId="49" fontId="5" fillId="8" borderId="21" xfId="0" applyNumberFormat="1" applyFont="1" applyFill="1" applyBorder="1" applyAlignment="1">
      <alignment horizontal="center" vertical="top"/>
    </xf>
    <xf numFmtId="49" fontId="5" fillId="8" borderId="34" xfId="0" applyNumberFormat="1" applyFont="1" applyFill="1" applyBorder="1" applyAlignment="1">
      <alignment horizontal="center" vertical="top"/>
    </xf>
    <xf numFmtId="49" fontId="3" fillId="8" borderId="9" xfId="0" applyNumberFormat="1" applyFont="1" applyFill="1" applyBorder="1" applyAlignment="1">
      <alignment horizontal="center" vertical="center" wrapText="1"/>
    </xf>
    <xf numFmtId="0" fontId="5" fillId="16" borderId="30" xfId="0" applyFont="1" applyFill="1" applyBorder="1" applyAlignment="1">
      <alignment horizontal="right" vertical="center"/>
    </xf>
    <xf numFmtId="0" fontId="5" fillId="16" borderId="119" xfId="0" applyFont="1" applyFill="1" applyBorder="1" applyAlignment="1">
      <alignment horizontal="right" vertical="center"/>
    </xf>
    <xf numFmtId="49" fontId="3" fillId="8" borderId="6" xfId="0" applyNumberFormat="1" applyFont="1" applyFill="1" applyBorder="1" applyAlignment="1">
      <alignment horizontal="center" vertical="top" wrapText="1"/>
    </xf>
    <xf numFmtId="0" fontId="0" fillId="0" borderId="24" xfId="0" applyFont="1" applyBorder="1" applyAlignment="1">
      <alignment horizontal="center" vertical="top" wrapText="1"/>
    </xf>
    <xf numFmtId="0" fontId="3" fillId="8" borderId="115" xfId="0" applyFont="1" applyFill="1" applyBorder="1" applyAlignment="1">
      <alignment horizontal="left" vertical="top" wrapText="1"/>
    </xf>
    <xf numFmtId="0" fontId="3" fillId="8" borderId="40" xfId="0" applyFont="1" applyFill="1" applyBorder="1" applyAlignment="1">
      <alignment horizontal="left" vertical="top" wrapText="1"/>
    </xf>
    <xf numFmtId="0" fontId="5" fillId="13" borderId="30" xfId="0" applyFont="1" applyFill="1" applyBorder="1" applyAlignment="1">
      <alignment horizontal="right" vertical="top"/>
    </xf>
    <xf numFmtId="0" fontId="7" fillId="13" borderId="36" xfId="0" applyFont="1" applyFill="1" applyBorder="1" applyAlignment="1">
      <alignment horizontal="right" vertical="top"/>
    </xf>
    <xf numFmtId="0" fontId="7" fillId="8" borderId="9" xfId="0" applyFont="1" applyFill="1" applyBorder="1" applyAlignment="1">
      <alignment horizontal="center" vertical="top" wrapText="1"/>
    </xf>
    <xf numFmtId="0" fontId="3" fillId="8" borderId="31" xfId="1" applyFont="1" applyFill="1" applyBorder="1" applyAlignment="1">
      <alignment vertical="top" wrapText="1"/>
    </xf>
    <xf numFmtId="0" fontId="3" fillId="8" borderId="6"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7" fillId="0" borderId="24" xfId="0" applyFont="1" applyBorder="1" applyAlignment="1">
      <alignment horizontal="center" vertical="center" wrapText="1"/>
    </xf>
    <xf numFmtId="0" fontId="3" fillId="0" borderId="21" xfId="0" applyFont="1" applyBorder="1" applyAlignment="1">
      <alignment horizontal="center" textRotation="90"/>
    </xf>
    <xf numFmtId="0" fontId="3" fillId="0" borderId="17" xfId="0" applyFont="1" applyBorder="1" applyAlignment="1">
      <alignment horizontal="center" textRotation="90"/>
    </xf>
    <xf numFmtId="0" fontId="3" fillId="0" borderId="39" xfId="0" applyFont="1" applyFill="1" applyBorder="1" applyAlignment="1">
      <alignment horizontal="center" vertical="center" textRotation="90" wrapText="1"/>
    </xf>
    <xf numFmtId="0" fontId="3" fillId="0" borderId="20" xfId="0" applyFont="1" applyFill="1" applyBorder="1" applyAlignment="1">
      <alignment horizontal="center" vertical="center" textRotation="90" wrapText="1"/>
    </xf>
    <xf numFmtId="49" fontId="3" fillId="8" borderId="53" xfId="0" applyNumberFormat="1" applyFont="1" applyFill="1" applyBorder="1" applyAlignment="1">
      <alignment horizontal="center" vertical="center" wrapText="1"/>
    </xf>
    <xf numFmtId="49" fontId="3" fillId="8" borderId="24" xfId="0" applyNumberFormat="1"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3" fillId="8" borderId="46" xfId="0" applyFont="1" applyFill="1" applyBorder="1" applyAlignment="1">
      <alignment horizontal="center" wrapText="1"/>
    </xf>
    <xf numFmtId="0" fontId="3" fillId="0" borderId="9" xfId="0" applyFont="1" applyBorder="1" applyAlignment="1">
      <alignment horizontal="center" wrapText="1"/>
    </xf>
    <xf numFmtId="0" fontId="7" fillId="13" borderId="30" xfId="0" applyFont="1" applyFill="1" applyBorder="1" applyAlignment="1">
      <alignment horizontal="right" vertical="top"/>
    </xf>
    <xf numFmtId="49" fontId="5" fillId="13" borderId="17" xfId="0" applyNumberFormat="1" applyFont="1" applyFill="1" applyBorder="1" applyAlignment="1">
      <alignment horizontal="center" vertical="top" wrapText="1"/>
    </xf>
    <xf numFmtId="49" fontId="5" fillId="0" borderId="21" xfId="0" applyNumberFormat="1" applyFont="1" applyBorder="1" applyAlignment="1">
      <alignment horizontal="center" vertical="top" wrapText="1"/>
    </xf>
    <xf numFmtId="49" fontId="5" fillId="0" borderId="34" xfId="0" applyNumberFormat="1" applyFont="1" applyBorder="1" applyAlignment="1">
      <alignment horizontal="center" vertical="top" wrapText="1"/>
    </xf>
    <xf numFmtId="0" fontId="3" fillId="13" borderId="30" xfId="0" applyFont="1" applyFill="1" applyBorder="1" applyAlignment="1">
      <alignment horizontal="center" vertical="top" wrapText="1"/>
    </xf>
    <xf numFmtId="0" fontId="3" fillId="13" borderId="36" xfId="0" applyFont="1" applyFill="1" applyBorder="1" applyAlignment="1">
      <alignment horizontal="center" vertical="top" wrapText="1"/>
    </xf>
    <xf numFmtId="165" fontId="3" fillId="0" borderId="76" xfId="0" applyNumberFormat="1" applyFont="1" applyBorder="1" applyAlignment="1">
      <alignment horizontal="center" vertical="top" wrapText="1"/>
    </xf>
    <xf numFmtId="165" fontId="3" fillId="0" borderId="43" xfId="0" applyNumberFormat="1" applyFont="1" applyBorder="1" applyAlignment="1">
      <alignment horizontal="center" vertical="top" wrapText="1"/>
    </xf>
    <xf numFmtId="165" fontId="3" fillId="0" borderId="44" xfId="0" applyNumberFormat="1" applyFont="1" applyBorder="1" applyAlignment="1">
      <alignment horizontal="center" vertical="top" wrapText="1"/>
    </xf>
    <xf numFmtId="0" fontId="3" fillId="2" borderId="9" xfId="0" applyFont="1" applyFill="1" applyBorder="1" applyAlignment="1">
      <alignment horizontal="center" vertical="top" wrapText="1"/>
    </xf>
    <xf numFmtId="49" fontId="2" fillId="0" borderId="17" xfId="0" applyNumberFormat="1" applyFont="1" applyBorder="1" applyAlignment="1">
      <alignment horizontal="center" vertical="center" textRotation="90" wrapText="1"/>
    </xf>
    <xf numFmtId="49" fontId="2" fillId="0" borderId="26" xfId="0" applyNumberFormat="1" applyFont="1" applyBorder="1" applyAlignment="1">
      <alignment horizontal="center" vertical="center" textRotation="90" wrapText="1"/>
    </xf>
    <xf numFmtId="0" fontId="3" fillId="2" borderId="4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5" fillId="8" borderId="21" xfId="0" applyFont="1" applyFill="1" applyBorder="1" applyAlignment="1">
      <alignment horizontal="center" vertical="top" wrapText="1"/>
    </xf>
    <xf numFmtId="0" fontId="5" fillId="8" borderId="34" xfId="0" applyFont="1" applyFill="1" applyBorder="1" applyAlignment="1">
      <alignment horizontal="center" vertical="top" wrapText="1"/>
    </xf>
    <xf numFmtId="3" fontId="2" fillId="8" borderId="21" xfId="0" applyNumberFormat="1" applyFont="1" applyFill="1" applyBorder="1" applyAlignment="1">
      <alignment horizontal="center" vertical="top" textRotation="90" wrapText="1"/>
    </xf>
    <xf numFmtId="3" fontId="2" fillId="8" borderId="34" xfId="0" applyNumberFormat="1" applyFont="1" applyFill="1" applyBorder="1" applyAlignment="1">
      <alignment horizontal="center" vertical="top" textRotation="90" wrapText="1"/>
    </xf>
    <xf numFmtId="3" fontId="9" fillId="0" borderId="21" xfId="0" applyNumberFormat="1" applyFont="1" applyBorder="1" applyAlignment="1">
      <alignment horizontal="center" vertical="center" textRotation="90" wrapText="1"/>
    </xf>
    <xf numFmtId="3" fontId="9" fillId="0" borderId="17" xfId="0" applyNumberFormat="1" applyFont="1" applyBorder="1" applyAlignment="1">
      <alignment horizontal="center" vertical="center" textRotation="90" wrapText="1"/>
    </xf>
    <xf numFmtId="49" fontId="9" fillId="8" borderId="28" xfId="0" applyNumberFormat="1" applyFont="1" applyFill="1" applyBorder="1" applyAlignment="1">
      <alignment horizontal="center" vertical="center" textRotation="90" wrapText="1"/>
    </xf>
    <xf numFmtId="49" fontId="18" fillId="0" borderId="26" xfId="0" applyNumberFormat="1" applyFont="1" applyBorder="1" applyAlignment="1">
      <alignment horizontal="center" vertical="center" textRotation="90" wrapText="1"/>
    </xf>
    <xf numFmtId="49" fontId="2" fillId="0" borderId="34" xfId="0" applyNumberFormat="1" applyFont="1" applyBorder="1" applyAlignment="1">
      <alignment horizontal="center" vertical="center" textRotation="90" wrapText="1"/>
    </xf>
    <xf numFmtId="49" fontId="17" fillId="14" borderId="78" xfId="0" applyNumberFormat="1" applyFont="1" applyFill="1" applyBorder="1" applyAlignment="1">
      <alignment horizontal="center" vertical="top"/>
    </xf>
    <xf numFmtId="49" fontId="17" fillId="14" borderId="40" xfId="0" applyNumberFormat="1" applyFont="1" applyFill="1" applyBorder="1" applyAlignment="1">
      <alignment horizontal="center" vertical="top"/>
    </xf>
    <xf numFmtId="49" fontId="17" fillId="14" borderId="57" xfId="0" applyNumberFormat="1" applyFont="1" applyFill="1" applyBorder="1" applyAlignment="1">
      <alignment horizontal="center" vertical="top"/>
    </xf>
    <xf numFmtId="49" fontId="17" fillId="12" borderId="13" xfId="0" applyNumberFormat="1" applyFont="1" applyFill="1" applyBorder="1" applyAlignment="1">
      <alignment horizontal="center" vertical="top"/>
    </xf>
    <xf numFmtId="49" fontId="17" fillId="12" borderId="17" xfId="0" applyNumberFormat="1" applyFont="1" applyFill="1" applyBorder="1" applyAlignment="1">
      <alignment horizontal="center" vertical="top"/>
    </xf>
    <xf numFmtId="49" fontId="17" fillId="12" borderId="21" xfId="0" applyNumberFormat="1" applyFont="1" applyFill="1" applyBorder="1" applyAlignment="1">
      <alignment horizontal="center" vertical="top"/>
    </xf>
    <xf numFmtId="49" fontId="17" fillId="8" borderId="71" xfId="0" applyNumberFormat="1" applyFont="1" applyFill="1" applyBorder="1" applyAlignment="1">
      <alignment horizontal="center" vertical="top"/>
    </xf>
    <xf numFmtId="49" fontId="17" fillId="8" borderId="0" xfId="0" applyNumberFormat="1" applyFont="1" applyFill="1" applyBorder="1" applyAlignment="1">
      <alignment horizontal="center" vertical="top"/>
    </xf>
    <xf numFmtId="49" fontId="17" fillId="8" borderId="42" xfId="0" applyNumberFormat="1" applyFont="1" applyFill="1" applyBorder="1" applyAlignment="1">
      <alignment horizontal="center" vertical="top"/>
    </xf>
    <xf numFmtId="3" fontId="11" fillId="8" borderId="14" xfId="0" applyNumberFormat="1" applyFont="1" applyFill="1" applyBorder="1" applyAlignment="1">
      <alignment horizontal="left" vertical="top" wrapText="1"/>
    </xf>
    <xf numFmtId="3" fontId="11" fillId="8" borderId="50" xfId="0" applyNumberFormat="1" applyFont="1" applyFill="1" applyBorder="1" applyAlignment="1">
      <alignment horizontal="left" vertical="top" wrapText="1"/>
    </xf>
    <xf numFmtId="3" fontId="11" fillId="8" borderId="48" xfId="0" applyNumberFormat="1" applyFont="1" applyFill="1" applyBorder="1" applyAlignment="1">
      <alignment horizontal="left" vertical="top" wrapText="1"/>
    </xf>
    <xf numFmtId="3" fontId="3" fillId="8" borderId="13" xfId="0" applyNumberFormat="1" applyFont="1" applyFill="1" applyBorder="1" applyAlignment="1">
      <alignment horizontal="left" vertical="top" wrapText="1"/>
    </xf>
    <xf numFmtId="3" fontId="3" fillId="8" borderId="17" xfId="0" applyNumberFormat="1" applyFont="1" applyFill="1" applyBorder="1" applyAlignment="1">
      <alignment horizontal="left" vertical="top" wrapText="1"/>
    </xf>
    <xf numFmtId="3" fontId="3" fillId="8" borderId="21" xfId="0" applyNumberFormat="1" applyFont="1" applyFill="1" applyBorder="1" applyAlignment="1">
      <alignment horizontal="left" vertical="top" wrapText="1"/>
    </xf>
    <xf numFmtId="3" fontId="5" fillId="8" borderId="41" xfId="0" applyNumberFormat="1" applyFont="1" applyFill="1" applyBorder="1" applyAlignment="1">
      <alignment horizontal="center" vertical="top" wrapText="1"/>
    </xf>
    <xf numFmtId="3" fontId="5" fillId="8" borderId="0" xfId="0" applyNumberFormat="1" applyFont="1" applyFill="1" applyBorder="1" applyAlignment="1">
      <alignment horizontal="center" vertical="top" wrapText="1"/>
    </xf>
    <xf numFmtId="3" fontId="3" fillId="8" borderId="39" xfId="0" applyNumberFormat="1" applyFont="1" applyFill="1" applyBorder="1" applyAlignment="1">
      <alignment horizontal="center" vertical="top" wrapText="1"/>
    </xf>
    <xf numFmtId="49" fontId="2" fillId="8" borderId="28" xfId="0" applyNumberFormat="1" applyFont="1" applyFill="1" applyBorder="1" applyAlignment="1">
      <alignment horizontal="center" vertical="center" textRotation="90" wrapText="1"/>
    </xf>
    <xf numFmtId="49" fontId="0" fillId="0" borderId="17" xfId="0" applyNumberFormat="1" applyFont="1" applyBorder="1" applyAlignment="1">
      <alignment horizontal="center" vertical="center" textRotation="90" wrapText="1"/>
    </xf>
    <xf numFmtId="49" fontId="0" fillId="0" borderId="17" xfId="0" applyNumberFormat="1" applyFont="1" applyBorder="1" applyAlignment="1">
      <alignment horizontal="center" textRotation="90" wrapText="1"/>
    </xf>
    <xf numFmtId="49" fontId="3" fillId="0" borderId="46"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5" fillId="0" borderId="0" xfId="0" applyFont="1" applyFill="1" applyBorder="1" applyAlignment="1">
      <alignment horizontal="center" vertical="top" wrapText="1"/>
    </xf>
    <xf numFmtId="0" fontId="5" fillId="0" borderId="20" xfId="0" applyFont="1" applyFill="1" applyBorder="1" applyAlignment="1">
      <alignment horizontal="center" vertical="top" wrapText="1"/>
    </xf>
    <xf numFmtId="49" fontId="17" fillId="14" borderId="35" xfId="0" applyNumberFormat="1" applyFont="1" applyFill="1" applyBorder="1" applyAlignment="1">
      <alignment horizontal="center" vertical="top"/>
    </xf>
    <xf numFmtId="49" fontId="17" fillId="12" borderId="26"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3" fontId="11" fillId="8" borderId="62" xfId="0" applyNumberFormat="1" applyFont="1" applyFill="1" applyBorder="1" applyAlignment="1">
      <alignment horizontal="left" vertical="top" wrapText="1"/>
    </xf>
    <xf numFmtId="3" fontId="3" fillId="8" borderId="26" xfId="0" applyNumberFormat="1" applyFont="1" applyFill="1" applyBorder="1" applyAlignment="1">
      <alignment horizontal="left" vertical="top" wrapText="1"/>
    </xf>
    <xf numFmtId="3" fontId="5" fillId="8" borderId="30" xfId="0" applyNumberFormat="1" applyFont="1" applyFill="1" applyBorder="1" applyAlignment="1">
      <alignment horizontal="center" vertical="top" wrapText="1"/>
    </xf>
    <xf numFmtId="49" fontId="0" fillId="0" borderId="26" xfId="0" applyNumberFormat="1" applyFont="1" applyBorder="1" applyAlignment="1">
      <alignment horizontal="center" vertical="center" textRotation="90" wrapText="1"/>
    </xf>
    <xf numFmtId="3" fontId="3" fillId="0" borderId="47"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3" fontId="9" fillId="0" borderId="21" xfId="0" applyNumberFormat="1" applyFont="1" applyBorder="1" applyAlignment="1">
      <alignment horizontal="center" vertical="top" textRotation="90" wrapText="1"/>
    </xf>
    <xf numFmtId="3" fontId="18" fillId="0" borderId="34" xfId="0" applyNumberFormat="1" applyFont="1" applyBorder="1" applyAlignment="1">
      <alignment horizontal="center" vertical="top" textRotation="90" wrapText="1"/>
    </xf>
    <xf numFmtId="49" fontId="0" fillId="8" borderId="17" xfId="0" applyNumberFormat="1" applyFont="1" applyFill="1" applyBorder="1" applyAlignment="1">
      <alignment horizontal="center" vertical="center" textRotation="90" wrapText="1"/>
    </xf>
    <xf numFmtId="49" fontId="0" fillId="8" borderId="34" xfId="0" applyNumberFormat="1" applyFont="1" applyFill="1" applyBorder="1" applyAlignment="1">
      <alignment horizontal="center" vertical="center" textRotation="90" wrapText="1"/>
    </xf>
    <xf numFmtId="49" fontId="2" fillId="8" borderId="17" xfId="0" applyNumberFormat="1" applyFont="1" applyFill="1" applyBorder="1" applyAlignment="1">
      <alignment horizontal="center" vertical="center" textRotation="90" wrapText="1"/>
    </xf>
    <xf numFmtId="49" fontId="2" fillId="0" borderId="89" xfId="0" applyNumberFormat="1" applyFont="1" applyBorder="1" applyAlignment="1">
      <alignment horizontal="center" vertical="top" textRotation="90" wrapText="1"/>
    </xf>
    <xf numFmtId="49" fontId="2" fillId="0" borderId="97" xfId="0" applyNumberFormat="1" applyFont="1" applyBorder="1" applyAlignment="1">
      <alignment horizontal="center" vertical="top" textRotation="90" wrapText="1"/>
    </xf>
    <xf numFmtId="49" fontId="5" fillId="13" borderId="17" xfId="0" applyNumberFormat="1" applyFont="1" applyFill="1" applyBorder="1" applyAlignment="1">
      <alignment horizontal="center" vertical="top"/>
    </xf>
    <xf numFmtId="49" fontId="9" fillId="8" borderId="21" xfId="0" applyNumberFormat="1" applyFont="1" applyFill="1" applyBorder="1" applyAlignment="1">
      <alignment horizontal="center" vertical="center" textRotation="90" wrapText="1"/>
    </xf>
    <xf numFmtId="49" fontId="9" fillId="8" borderId="17" xfId="0" applyNumberFormat="1" applyFont="1" applyFill="1" applyBorder="1" applyAlignment="1">
      <alignment horizontal="center" vertical="center" textRotation="90" wrapText="1"/>
    </xf>
    <xf numFmtId="49" fontId="18" fillId="8" borderId="17" xfId="0" applyNumberFormat="1" applyFont="1" applyFill="1" applyBorder="1" applyAlignment="1">
      <alignment horizontal="center" vertical="center" textRotation="90" wrapText="1"/>
    </xf>
    <xf numFmtId="49" fontId="18" fillId="8" borderId="34" xfId="0" applyNumberFormat="1" applyFont="1" applyFill="1" applyBorder="1" applyAlignment="1">
      <alignment horizontal="center" vertical="center" textRotation="90" wrapText="1"/>
    </xf>
    <xf numFmtId="3" fontId="2" fillId="0" borderId="21" xfId="0" applyNumberFormat="1" applyFont="1" applyBorder="1" applyAlignment="1">
      <alignment horizontal="center" vertical="top" textRotation="90" wrapText="1"/>
    </xf>
    <xf numFmtId="0" fontId="1" fillId="0" borderId="34" xfId="0" applyFont="1" applyBorder="1" applyAlignment="1">
      <alignment horizontal="center" vertical="top" textRotation="90" wrapText="1"/>
    </xf>
    <xf numFmtId="0" fontId="0" fillId="0" borderId="17" xfId="0" applyFont="1" applyBorder="1" applyAlignment="1">
      <alignment horizontal="center" vertical="center" textRotation="90" wrapText="1"/>
    </xf>
    <xf numFmtId="49" fontId="3" fillId="0" borderId="28" xfId="0" applyNumberFormat="1" applyFont="1" applyFill="1" applyBorder="1" applyAlignment="1">
      <alignment horizontal="center" vertical="center" textRotation="90" wrapText="1"/>
    </xf>
    <xf numFmtId="0" fontId="1" fillId="8" borderId="21" xfId="0" applyFont="1" applyFill="1" applyBorder="1" applyAlignment="1">
      <alignment vertical="center" textRotation="90"/>
    </xf>
    <xf numFmtId="0" fontId="24" fillId="8" borderId="72" xfId="0" applyFont="1" applyFill="1" applyBorder="1" applyAlignment="1">
      <alignment horizontal="center" vertical="center" textRotation="90" wrapText="1"/>
    </xf>
    <xf numFmtId="0" fontId="24" fillId="8" borderId="39" xfId="0" applyFont="1" applyFill="1" applyBorder="1" applyAlignment="1">
      <alignment horizontal="center" vertical="center" textRotation="90" wrapText="1"/>
    </xf>
    <xf numFmtId="49" fontId="5" fillId="13" borderId="28" xfId="0" applyNumberFormat="1" applyFont="1" applyFill="1" applyBorder="1" applyAlignment="1">
      <alignment horizontal="center" vertical="top"/>
    </xf>
    <xf numFmtId="0" fontId="7" fillId="0" borderId="50" xfId="0" applyFont="1" applyBorder="1" applyAlignment="1">
      <alignment horizontal="left" vertical="top" wrapText="1"/>
    </xf>
    <xf numFmtId="0" fontId="7" fillId="0" borderId="32" xfId="0" applyFont="1" applyBorder="1" applyAlignment="1">
      <alignment horizontal="left" vertical="top" wrapText="1"/>
    </xf>
    <xf numFmtId="0" fontId="3" fillId="8" borderId="48" xfId="0" applyFont="1" applyFill="1" applyBorder="1" applyAlignment="1">
      <alignment horizontal="center" vertical="center" textRotation="90" wrapText="1"/>
    </xf>
    <xf numFmtId="0" fontId="7" fillId="8" borderId="34" xfId="0" applyFont="1" applyFill="1" applyBorder="1" applyAlignment="1">
      <alignment horizontal="left" vertical="top" wrapText="1"/>
    </xf>
    <xf numFmtId="0" fontId="5" fillId="2" borderId="21" xfId="0" applyFont="1" applyFill="1" applyBorder="1" applyAlignment="1">
      <alignment horizontal="center" vertical="top" wrapText="1"/>
    </xf>
    <xf numFmtId="0" fontId="5" fillId="2" borderId="34" xfId="0" applyFont="1" applyFill="1" applyBorder="1" applyAlignment="1">
      <alignment horizontal="center" vertical="top" wrapText="1"/>
    </xf>
    <xf numFmtId="0" fontId="2" fillId="0" borderId="51"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7" fillId="0" borderId="39" xfId="0" applyFont="1" applyBorder="1" applyAlignment="1">
      <alignment horizontal="center" vertical="center" textRotation="90" wrapText="1"/>
    </xf>
    <xf numFmtId="0" fontId="7" fillId="0" borderId="20" xfId="0" applyFont="1" applyBorder="1" applyAlignment="1">
      <alignment horizontal="center" vertical="center" textRotation="90" wrapText="1"/>
    </xf>
    <xf numFmtId="49" fontId="5" fillId="8" borderId="20" xfId="0" applyNumberFormat="1" applyFont="1" applyFill="1" applyBorder="1" applyAlignment="1">
      <alignment horizontal="center" vertical="top" wrapText="1"/>
    </xf>
    <xf numFmtId="0" fontId="7" fillId="8" borderId="38" xfId="0" applyFont="1" applyFill="1" applyBorder="1" applyAlignment="1">
      <alignment horizontal="center" vertical="top" wrapText="1"/>
    </xf>
    <xf numFmtId="0" fontId="7" fillId="8" borderId="2" xfId="0" applyFont="1" applyFill="1" applyBorder="1" applyAlignment="1">
      <alignment horizontal="left" vertical="top" wrapText="1"/>
    </xf>
    <xf numFmtId="0" fontId="8" fillId="8" borderId="39" xfId="0" applyFont="1" applyFill="1" applyBorder="1" applyAlignment="1">
      <alignment horizontal="center" vertical="center" textRotation="90" wrapText="1"/>
    </xf>
    <xf numFmtId="0" fontId="43" fillId="8" borderId="20" xfId="0" applyFont="1" applyFill="1" applyBorder="1" applyAlignment="1">
      <alignment horizontal="center" vertical="center" textRotation="90" wrapText="1"/>
    </xf>
    <xf numFmtId="0" fontId="35" fillId="0" borderId="34" xfId="0" applyFont="1" applyBorder="1" applyAlignment="1">
      <alignment horizontal="center" wrapText="1"/>
    </xf>
    <xf numFmtId="0" fontId="42" fillId="0" borderId="0" xfId="0" applyFont="1" applyAlignment="1">
      <alignment horizontal="right" wrapText="1"/>
    </xf>
    <xf numFmtId="0" fontId="0" fillId="0" borderId="0" xfId="0" applyFont="1" applyAlignment="1">
      <alignment horizontal="right"/>
    </xf>
    <xf numFmtId="0" fontId="3" fillId="0" borderId="28" xfId="0" applyFont="1" applyBorder="1" applyAlignment="1">
      <alignment horizontal="center" vertical="center" textRotation="90" wrapText="1" shrinkToFit="1"/>
    </xf>
    <xf numFmtId="0" fontId="0" fillId="0" borderId="17" xfId="0" applyFont="1" applyBorder="1" applyAlignment="1">
      <alignment horizontal="center" vertical="center" textRotation="90" wrapText="1" shrinkToFit="1"/>
    </xf>
    <xf numFmtId="0" fontId="0" fillId="0" borderId="26" xfId="0" applyFont="1" applyBorder="1" applyAlignment="1">
      <alignment horizontal="center" vertical="center" textRotation="90" wrapText="1" shrinkToFit="1"/>
    </xf>
    <xf numFmtId="3" fontId="3" fillId="0" borderId="29" xfId="0" applyNumberFormat="1" applyFont="1" applyFill="1" applyBorder="1" applyAlignment="1">
      <alignment horizontal="center" vertical="center" textRotation="90" wrapText="1" shrinkToFit="1"/>
    </xf>
    <xf numFmtId="3" fontId="3" fillId="0" borderId="19" xfId="0" applyNumberFormat="1" applyFont="1" applyFill="1" applyBorder="1" applyAlignment="1">
      <alignment horizontal="center" vertical="center" textRotation="90" wrapText="1" shrinkToFit="1"/>
    </xf>
    <xf numFmtId="3" fontId="3" fillId="0" borderId="27" xfId="0" applyNumberFormat="1" applyFont="1" applyFill="1" applyBorder="1" applyAlignment="1">
      <alignment horizontal="center" vertical="center" textRotation="90" wrapText="1" shrinkToFit="1"/>
    </xf>
    <xf numFmtId="0" fontId="5" fillId="0" borderId="46"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66" xfId="0" applyFont="1" applyBorder="1" applyAlignment="1">
      <alignment horizontal="center" vertical="center" textRotation="90" wrapText="1"/>
    </xf>
    <xf numFmtId="3" fontId="3" fillId="8" borderId="50" xfId="1" applyNumberFormat="1" applyFont="1" applyFill="1" applyBorder="1" applyAlignment="1">
      <alignment horizontal="center" vertical="top"/>
    </xf>
    <xf numFmtId="3" fontId="3" fillId="8" borderId="32" xfId="1" applyNumberFormat="1" applyFont="1" applyFill="1" applyBorder="1" applyAlignment="1">
      <alignment horizontal="center" vertical="top"/>
    </xf>
    <xf numFmtId="3" fontId="3" fillId="8" borderId="55" xfId="1" applyNumberFormat="1" applyFont="1" applyFill="1" applyBorder="1" applyAlignment="1">
      <alignment horizontal="center" vertical="top"/>
    </xf>
    <xf numFmtId="0" fontId="7" fillId="0" borderId="111" xfId="0" applyFont="1" applyBorder="1" applyAlignment="1">
      <alignment horizontal="center" vertical="center" wrapText="1"/>
    </xf>
    <xf numFmtId="0" fontId="3" fillId="8" borderId="10" xfId="0" applyFont="1" applyFill="1" applyBorder="1" applyAlignment="1">
      <alignment vertical="top" wrapText="1"/>
    </xf>
    <xf numFmtId="0" fontId="40" fillId="8" borderId="45" xfId="0" applyFont="1" applyFill="1" applyBorder="1" applyAlignment="1">
      <alignment vertical="top" wrapText="1"/>
    </xf>
    <xf numFmtId="0" fontId="40" fillId="8" borderId="10" xfId="0" applyFont="1" applyFill="1" applyBorder="1" applyAlignment="1">
      <alignment vertical="top" wrapText="1"/>
    </xf>
    <xf numFmtId="0" fontId="40" fillId="8" borderId="31" xfId="0" applyFont="1" applyFill="1" applyBorder="1" applyAlignment="1">
      <alignment vertical="top" wrapText="1"/>
    </xf>
    <xf numFmtId="3" fontId="3" fillId="8" borderId="48" xfId="1" applyNumberFormat="1" applyFont="1" applyFill="1" applyBorder="1" applyAlignment="1">
      <alignment horizontal="center" vertical="top"/>
    </xf>
    <xf numFmtId="49" fontId="5" fillId="8" borderId="2" xfId="0" applyNumberFormat="1" applyFont="1" applyFill="1" applyBorder="1" applyAlignment="1">
      <alignment horizontal="center" vertical="top"/>
    </xf>
    <xf numFmtId="0" fontId="7" fillId="8" borderId="9" xfId="0" applyFont="1" applyFill="1" applyBorder="1" applyAlignment="1">
      <alignment horizontal="center" vertical="center" wrapText="1"/>
    </xf>
    <xf numFmtId="3" fontId="2" fillId="0" borderId="17" xfId="0" applyNumberFormat="1" applyFont="1" applyBorder="1" applyAlignment="1">
      <alignment horizontal="center" vertical="top" textRotation="90" wrapText="1"/>
    </xf>
    <xf numFmtId="0" fontId="0" fillId="0" borderId="34" xfId="0" applyFont="1" applyBorder="1" applyAlignment="1">
      <alignment horizontal="center" textRotation="90" wrapText="1"/>
    </xf>
    <xf numFmtId="49" fontId="0" fillId="0" borderId="34" xfId="0" applyNumberFormat="1" applyFont="1" applyBorder="1" applyAlignment="1">
      <alignment horizontal="center" vertical="center" textRotation="90" wrapText="1"/>
    </xf>
    <xf numFmtId="49" fontId="1" fillId="8" borderId="17" xfId="0" applyNumberFormat="1" applyFont="1" applyFill="1" applyBorder="1" applyAlignment="1">
      <alignment horizontal="center" vertical="center" textRotation="90" wrapText="1"/>
    </xf>
    <xf numFmtId="49" fontId="5" fillId="8" borderId="19" xfId="0" applyNumberFormat="1" applyFont="1" applyFill="1" applyBorder="1" applyAlignment="1">
      <alignment horizontal="center" vertical="top" wrapText="1"/>
    </xf>
    <xf numFmtId="49" fontId="5" fillId="8" borderId="33" xfId="0" applyNumberFormat="1" applyFont="1" applyFill="1" applyBorder="1" applyAlignment="1">
      <alignment horizontal="center" vertical="top" wrapText="1"/>
    </xf>
    <xf numFmtId="49" fontId="1" fillId="8" borderId="34" xfId="0" applyNumberFormat="1" applyFont="1" applyFill="1" applyBorder="1" applyAlignment="1">
      <alignment horizontal="center" vertical="center" textRotation="90" wrapText="1"/>
    </xf>
    <xf numFmtId="0" fontId="7" fillId="8" borderId="26" xfId="0" applyFont="1" applyFill="1" applyBorder="1" applyAlignment="1">
      <alignment vertical="top" wrapText="1"/>
    </xf>
    <xf numFmtId="0" fontId="7" fillId="8" borderId="66" xfId="0" applyFont="1" applyFill="1" applyBorder="1" applyAlignment="1">
      <alignment horizontal="center" vertical="top" wrapText="1"/>
    </xf>
    <xf numFmtId="49" fontId="9" fillId="0" borderId="21" xfId="0" applyNumberFormat="1" applyFont="1" applyFill="1" applyBorder="1" applyAlignment="1">
      <alignment horizontal="center" vertical="center" textRotation="90" wrapText="1"/>
    </xf>
    <xf numFmtId="49" fontId="18" fillId="0" borderId="34" xfId="0" applyNumberFormat="1" applyFont="1" applyBorder="1" applyAlignment="1">
      <alignment horizontal="center" vertical="center" textRotation="90" wrapText="1"/>
    </xf>
    <xf numFmtId="49" fontId="5" fillId="3" borderId="36" xfId="0" applyNumberFormat="1" applyFont="1" applyFill="1" applyBorder="1" applyAlignment="1">
      <alignment horizontal="right" vertical="top"/>
    </xf>
    <xf numFmtId="49" fontId="3" fillId="8" borderId="46" xfId="0" applyNumberFormat="1" applyFont="1" applyFill="1" applyBorder="1" applyAlignment="1">
      <alignment horizontal="center" vertical="center" wrapText="1"/>
    </xf>
    <xf numFmtId="0" fontId="0" fillId="0" borderId="9" xfId="0" applyFont="1" applyBorder="1" applyAlignment="1">
      <alignment horizontal="center" vertical="center"/>
    </xf>
    <xf numFmtId="49" fontId="1" fillId="0" borderId="17" xfId="0" applyNumberFormat="1" applyFont="1" applyBorder="1" applyAlignment="1">
      <alignment horizontal="center" vertical="center" textRotation="90" wrapText="1"/>
    </xf>
    <xf numFmtId="0" fontId="0" fillId="0" borderId="34" xfId="0" applyFont="1" applyBorder="1" applyAlignment="1">
      <alignment horizontal="center" vertical="center" textRotation="90" wrapText="1"/>
    </xf>
    <xf numFmtId="49" fontId="9" fillId="0" borderId="17" xfId="0" applyNumberFormat="1" applyFont="1" applyFill="1" applyBorder="1" applyAlignment="1">
      <alignment horizontal="center" vertical="center" textRotation="90" wrapText="1"/>
    </xf>
    <xf numFmtId="49" fontId="18" fillId="0" borderId="17" xfId="0" applyNumberFormat="1" applyFont="1" applyBorder="1" applyAlignment="1">
      <alignment horizontal="center" vertical="center" textRotation="90" wrapText="1"/>
    </xf>
    <xf numFmtId="3" fontId="9" fillId="8" borderId="17" xfId="0" applyNumberFormat="1" applyFont="1" applyFill="1" applyBorder="1" applyAlignment="1">
      <alignment horizontal="center" vertical="center" textRotation="90" wrapText="1"/>
    </xf>
    <xf numFmtId="3" fontId="18" fillId="8" borderId="17" xfId="0" applyNumberFormat="1" applyFont="1" applyFill="1" applyBorder="1" applyAlignment="1">
      <alignment horizontal="center" vertical="center" textRotation="90" wrapText="1"/>
    </xf>
    <xf numFmtId="0" fontId="3" fillId="8" borderId="6" xfId="0" applyFont="1" applyFill="1" applyBorder="1" applyAlignment="1">
      <alignment horizontal="center" vertical="top" wrapText="1"/>
    </xf>
    <xf numFmtId="0" fontId="7" fillId="8" borderId="24" xfId="0" applyFont="1" applyFill="1" applyBorder="1" applyAlignment="1">
      <alignment horizontal="center" vertical="top" wrapText="1"/>
    </xf>
    <xf numFmtId="49" fontId="5" fillId="2" borderId="1"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49" fontId="3" fillId="8" borderId="23" xfId="0" applyNumberFormat="1" applyFont="1" applyFill="1" applyBorder="1" applyAlignment="1">
      <alignment horizontal="center" vertical="center" wrapText="1"/>
    </xf>
    <xf numFmtId="49" fontId="2" fillId="0" borderId="21" xfId="0" applyNumberFormat="1" applyFont="1" applyBorder="1" applyAlignment="1">
      <alignment horizontal="center" vertical="center" textRotation="90" wrapText="1"/>
    </xf>
    <xf numFmtId="49" fontId="1" fillId="0" borderId="34" xfId="0" applyNumberFormat="1" applyFont="1" applyBorder="1" applyAlignment="1">
      <alignment horizontal="center" vertical="center" textRotation="90" wrapText="1"/>
    </xf>
    <xf numFmtId="0" fontId="7" fillId="0" borderId="68" xfId="0" applyFont="1" applyBorder="1" applyAlignment="1">
      <alignment horizontal="left" vertical="top" wrapText="1"/>
    </xf>
    <xf numFmtId="165" fontId="5" fillId="6" borderId="35" xfId="0" applyNumberFormat="1" applyFont="1" applyFill="1" applyBorder="1" applyAlignment="1">
      <alignment horizontal="center" vertical="top" wrapText="1"/>
    </xf>
    <xf numFmtId="165" fontId="5" fillId="6" borderId="30"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3" fontId="5" fillId="0" borderId="78" xfId="0" applyNumberFormat="1" applyFont="1" applyBorder="1" applyAlignment="1">
      <alignment horizontal="center" vertical="center" wrapText="1"/>
    </xf>
    <xf numFmtId="3" fontId="5" fillId="0" borderId="71"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165" fontId="5" fillId="10" borderId="76" xfId="0" applyNumberFormat="1" applyFont="1" applyFill="1" applyBorder="1" applyAlignment="1">
      <alignment horizontal="center" vertical="top" wrapText="1"/>
    </xf>
    <xf numFmtId="165" fontId="7" fillId="0" borderId="43" xfId="0" applyNumberFormat="1" applyFont="1" applyBorder="1" applyAlignment="1">
      <alignment horizontal="center" vertical="top" wrapText="1"/>
    </xf>
    <xf numFmtId="165" fontId="7" fillId="0" borderId="44" xfId="0" applyNumberFormat="1" applyFont="1" applyBorder="1" applyAlignment="1">
      <alignment horizontal="center" vertical="top" wrapText="1"/>
    </xf>
    <xf numFmtId="165" fontId="3" fillId="8" borderId="76" xfId="0" applyNumberFormat="1" applyFont="1" applyFill="1" applyBorder="1" applyAlignment="1">
      <alignment horizontal="center" vertical="top" wrapText="1"/>
    </xf>
    <xf numFmtId="165" fontId="3" fillId="8" borderId="43" xfId="0" applyNumberFormat="1" applyFont="1" applyFill="1" applyBorder="1" applyAlignment="1">
      <alignment horizontal="center" vertical="top" wrapText="1"/>
    </xf>
    <xf numFmtId="165" fontId="3" fillId="8" borderId="44" xfId="0" applyNumberFormat="1" applyFont="1" applyFill="1" applyBorder="1" applyAlignment="1">
      <alignment horizontal="center" vertical="top" wrapText="1"/>
    </xf>
    <xf numFmtId="165" fontId="3" fillId="10" borderId="76" xfId="0" applyNumberFormat="1" applyFont="1" applyFill="1" applyBorder="1" applyAlignment="1">
      <alignment horizontal="center" vertical="top" wrapText="1"/>
    </xf>
    <xf numFmtId="165" fontId="3" fillId="10" borderId="43" xfId="0" applyNumberFormat="1" applyFont="1" applyFill="1" applyBorder="1" applyAlignment="1">
      <alignment horizontal="center" vertical="top" wrapText="1"/>
    </xf>
    <xf numFmtId="165" fontId="3" fillId="10" borderId="44" xfId="0" applyNumberFormat="1" applyFont="1" applyFill="1" applyBorder="1" applyAlignment="1">
      <alignment horizontal="center" vertical="top" wrapText="1"/>
    </xf>
    <xf numFmtId="165" fontId="5" fillId="5" borderId="78" xfId="0" applyNumberFormat="1" applyFont="1" applyFill="1" applyBorder="1" applyAlignment="1">
      <alignment horizontal="center" vertical="top" wrapText="1"/>
    </xf>
    <xf numFmtId="165" fontId="5" fillId="5" borderId="71" xfId="0" applyNumberFormat="1" applyFont="1" applyFill="1" applyBorder="1" applyAlignment="1">
      <alignment horizontal="center" vertical="top" wrapText="1"/>
    </xf>
    <xf numFmtId="165" fontId="5" fillId="5" borderId="65" xfId="0" applyNumberFormat="1" applyFont="1" applyFill="1" applyBorder="1" applyAlignment="1">
      <alignment horizontal="center" vertical="top" wrapText="1"/>
    </xf>
    <xf numFmtId="165" fontId="5" fillId="5" borderId="76" xfId="0" applyNumberFormat="1" applyFont="1" applyFill="1" applyBorder="1" applyAlignment="1">
      <alignment horizontal="center" vertical="top" wrapText="1"/>
    </xf>
    <xf numFmtId="165" fontId="5" fillId="5" borderId="43" xfId="0" applyNumberFormat="1" applyFont="1" applyFill="1" applyBorder="1" applyAlignment="1">
      <alignment horizontal="center" vertical="top" wrapText="1"/>
    </xf>
    <xf numFmtId="165" fontId="5" fillId="5" borderId="44" xfId="0" applyNumberFormat="1" applyFont="1" applyFill="1" applyBorder="1" applyAlignment="1">
      <alignment horizontal="center" vertical="top" wrapText="1"/>
    </xf>
    <xf numFmtId="3" fontId="18" fillId="0" borderId="17" xfId="0" applyNumberFormat="1" applyFont="1" applyBorder="1" applyAlignment="1">
      <alignment horizontal="center" vertical="center" textRotation="90" wrapText="1"/>
    </xf>
    <xf numFmtId="3" fontId="18" fillId="0" borderId="34" xfId="0" applyNumberFormat="1" applyFont="1" applyBorder="1" applyAlignment="1">
      <alignment horizontal="center" vertical="center" textRotation="90" wrapText="1"/>
    </xf>
    <xf numFmtId="3" fontId="3" fillId="8" borderId="10" xfId="0" applyNumberFormat="1" applyFont="1" applyFill="1" applyBorder="1" applyAlignment="1">
      <alignment vertical="top" wrapText="1"/>
    </xf>
    <xf numFmtId="0" fontId="16" fillId="0" borderId="28" xfId="0" applyFont="1" applyFill="1" applyBorder="1" applyAlignment="1">
      <alignment horizontal="left" vertical="top" wrapText="1"/>
    </xf>
    <xf numFmtId="0" fontId="7" fillId="0" borderId="17" xfId="0" applyFont="1" applyBorder="1" applyAlignment="1">
      <alignment horizontal="left" vertical="top" wrapText="1"/>
    </xf>
    <xf numFmtId="3" fontId="2" fillId="8" borderId="47" xfId="0" applyNumberFormat="1" applyFont="1" applyFill="1" applyBorder="1" applyAlignment="1">
      <alignment horizontal="center" vertical="center" textRotation="90" wrapText="1"/>
    </xf>
    <xf numFmtId="3" fontId="0" fillId="0" borderId="50" xfId="0" applyNumberFormat="1" applyFont="1" applyBorder="1" applyAlignment="1">
      <alignment horizontal="center" vertical="center" textRotation="90" wrapText="1"/>
    </xf>
    <xf numFmtId="0" fontId="0" fillId="0" borderId="62" xfId="0" applyFont="1" applyBorder="1" applyAlignment="1">
      <alignment horizontal="center" vertical="center" textRotation="90" wrapText="1"/>
    </xf>
    <xf numFmtId="0" fontId="7" fillId="0" borderId="66" xfId="0" applyFont="1" applyBorder="1" applyAlignment="1">
      <alignment horizontal="center" wrapText="1"/>
    </xf>
    <xf numFmtId="0" fontId="3" fillId="8" borderId="39" xfId="0" applyFont="1" applyFill="1" applyBorder="1" applyAlignment="1">
      <alignment horizontal="center" vertical="center" textRotation="90" wrapText="1"/>
    </xf>
    <xf numFmtId="0" fontId="3" fillId="8" borderId="75" xfId="0" applyFont="1" applyFill="1" applyBorder="1" applyAlignment="1">
      <alignment horizontal="center" vertical="center" textRotation="90" wrapText="1"/>
    </xf>
    <xf numFmtId="49" fontId="5" fillId="8" borderId="27" xfId="0" applyNumberFormat="1" applyFont="1" applyFill="1" applyBorder="1" applyAlignment="1">
      <alignment horizontal="center" vertical="top" wrapText="1"/>
    </xf>
    <xf numFmtId="0" fontId="3" fillId="0" borderId="46" xfId="0" applyFont="1" applyBorder="1" applyAlignment="1">
      <alignment horizontal="center" vertical="center" wrapText="1"/>
    </xf>
    <xf numFmtId="0" fontId="0" fillId="0" borderId="9" xfId="0" applyFont="1" applyBorder="1" applyAlignment="1">
      <alignment horizontal="center" vertical="center" wrapText="1"/>
    </xf>
    <xf numFmtId="49" fontId="17" fillId="8" borderId="30" xfId="0" applyNumberFormat="1" applyFont="1" applyFill="1" applyBorder="1" applyAlignment="1">
      <alignment horizontal="center" vertical="top"/>
    </xf>
    <xf numFmtId="49" fontId="3" fillId="8" borderId="6" xfId="0" applyNumberFormat="1" applyFont="1" applyFill="1" applyBorder="1" applyAlignment="1">
      <alignment horizontal="center" vertical="center" wrapText="1"/>
    </xf>
    <xf numFmtId="0" fontId="5" fillId="8" borderId="72" xfId="0" applyFont="1" applyFill="1" applyBorder="1" applyAlignment="1">
      <alignment vertical="top" wrapText="1"/>
    </xf>
    <xf numFmtId="0" fontId="5" fillId="8" borderId="20" xfId="0" applyFont="1" applyFill="1" applyBorder="1" applyAlignment="1">
      <alignment vertical="top" wrapText="1"/>
    </xf>
    <xf numFmtId="49" fontId="3" fillId="8" borderId="40" xfId="0" applyNumberFormat="1" applyFont="1" applyFill="1" applyBorder="1" applyAlignment="1">
      <alignment horizontal="center" vertical="top" wrapText="1"/>
    </xf>
    <xf numFmtId="49" fontId="5" fillId="8" borderId="34" xfId="0" applyNumberFormat="1" applyFont="1" applyFill="1" applyBorder="1" applyAlignment="1">
      <alignment horizontal="center" vertical="top" wrapText="1"/>
    </xf>
    <xf numFmtId="49" fontId="5" fillId="8" borderId="21" xfId="0" applyNumberFormat="1" applyFont="1" applyFill="1" applyBorder="1" applyAlignment="1">
      <alignment horizontal="center" vertical="top" wrapText="1"/>
    </xf>
    <xf numFmtId="49" fontId="3" fillId="0" borderId="46" xfId="0" applyNumberFormat="1" applyFont="1" applyBorder="1" applyAlignment="1">
      <alignment horizontal="center" vertical="top" wrapText="1"/>
    </xf>
    <xf numFmtId="0" fontId="7" fillId="0" borderId="66" xfId="0" applyFont="1" applyBorder="1" applyAlignment="1">
      <alignment vertical="top"/>
    </xf>
    <xf numFmtId="0" fontId="3" fillId="13" borderId="35" xfId="0" applyFont="1" applyFill="1" applyBorder="1" applyAlignment="1">
      <alignment horizontal="center" vertical="top" wrapText="1"/>
    </xf>
    <xf numFmtId="0" fontId="3" fillId="0" borderId="45" xfId="1" applyFont="1" applyFill="1" applyBorder="1" applyAlignment="1">
      <alignment vertical="top" wrapText="1"/>
    </xf>
    <xf numFmtId="0" fontId="7" fillId="0" borderId="104" xfId="0" applyFont="1" applyBorder="1" applyAlignment="1">
      <alignment vertical="top" wrapText="1"/>
    </xf>
    <xf numFmtId="0" fontId="3" fillId="8" borderId="86" xfId="0" applyFont="1" applyFill="1" applyBorder="1" applyAlignment="1">
      <alignment horizontal="left" vertical="top" wrapText="1"/>
    </xf>
    <xf numFmtId="0" fontId="3" fillId="8" borderId="114" xfId="0" applyFont="1" applyFill="1" applyBorder="1" applyAlignment="1">
      <alignment horizontal="left" vertical="top" wrapText="1"/>
    </xf>
    <xf numFmtId="0" fontId="3" fillId="0" borderId="8"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28" xfId="0" applyFont="1" applyBorder="1" applyAlignment="1">
      <alignment horizontal="center" vertical="center" textRotation="90" shrinkToFit="1"/>
    </xf>
    <xf numFmtId="0" fontId="3" fillId="0" borderId="17"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4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77" xfId="0" applyFont="1" applyBorder="1" applyAlignment="1">
      <alignment horizontal="center" vertical="center" textRotation="90" shrinkToFit="1"/>
    </xf>
    <xf numFmtId="0" fontId="3" fillId="0" borderId="40" xfId="0" applyFont="1" applyBorder="1" applyAlignment="1">
      <alignment horizontal="center" vertical="center" textRotation="90" shrinkToFit="1"/>
    </xf>
    <xf numFmtId="0" fontId="3" fillId="0" borderId="35" xfId="0" applyFont="1" applyBorder="1" applyAlignment="1">
      <alignment horizontal="center" vertical="center" textRotation="90" shrinkToFit="1"/>
    </xf>
    <xf numFmtId="0" fontId="3" fillId="0" borderId="4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6" xfId="0" applyFont="1" applyBorder="1" applyAlignment="1">
      <alignment horizontal="center" textRotation="90" shrinkToFit="1"/>
    </xf>
    <xf numFmtId="0" fontId="3" fillId="0" borderId="9" xfId="0" applyFont="1" applyBorder="1" applyAlignment="1">
      <alignment horizontal="center" textRotation="90" shrinkToFit="1"/>
    </xf>
    <xf numFmtId="0" fontId="3" fillId="0" borderId="66" xfId="0" applyFont="1" applyBorder="1" applyAlignment="1">
      <alignment horizontal="center" textRotation="90" shrinkToFit="1"/>
    </xf>
    <xf numFmtId="0" fontId="5" fillId="0" borderId="78"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65" xfId="0" applyFont="1" applyBorder="1" applyAlignment="1">
      <alignment horizontal="center" vertical="center" shrinkToFit="1"/>
    </xf>
    <xf numFmtId="0" fontId="9" fillId="0" borderId="46" xfId="0" applyNumberFormat="1" applyFont="1" applyBorder="1" applyAlignment="1">
      <alignment horizontal="center" vertical="center" textRotation="90" shrinkToFit="1"/>
    </xf>
    <xf numFmtId="0" fontId="9" fillId="0" borderId="9" xfId="0" applyNumberFormat="1" applyFont="1" applyBorder="1" applyAlignment="1">
      <alignment horizontal="center" vertical="center" textRotation="90" shrinkToFit="1"/>
    </xf>
    <xf numFmtId="0" fontId="9" fillId="0" borderId="66" xfId="0" applyNumberFormat="1" applyFont="1" applyBorder="1" applyAlignment="1">
      <alignment horizontal="center" vertical="center" textRotation="90" shrinkToFit="1"/>
    </xf>
    <xf numFmtId="0" fontId="3" fillId="8" borderId="46" xfId="0" applyFont="1" applyFill="1" applyBorder="1" applyAlignment="1">
      <alignment horizontal="center" vertical="center" textRotation="90" wrapText="1" shrinkToFit="1"/>
    </xf>
    <xf numFmtId="0" fontId="7" fillId="8" borderId="9" xfId="0" applyFont="1" applyFill="1" applyBorder="1" applyAlignment="1">
      <alignment horizontal="center" vertical="center" textRotation="90" wrapText="1" shrinkToFit="1"/>
    </xf>
    <xf numFmtId="0" fontId="7" fillId="8" borderId="66" xfId="0" applyFont="1" applyFill="1" applyBorder="1" applyAlignment="1">
      <alignment horizontal="center" vertical="center" textRotation="90" wrapText="1" shrinkToFit="1"/>
    </xf>
    <xf numFmtId="0" fontId="3" fillId="0" borderId="46"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6" xfId="0" applyFont="1" applyBorder="1" applyAlignment="1">
      <alignment horizontal="center" vertical="center" textRotation="90" shrinkToFit="1"/>
    </xf>
    <xf numFmtId="0" fontId="8" fillId="0" borderId="45" xfId="0" applyFont="1" applyFill="1" applyBorder="1" applyAlignment="1">
      <alignment horizontal="center" vertical="top" wrapText="1"/>
    </xf>
    <xf numFmtId="0" fontId="0" fillId="0" borderId="10" xfId="0" applyBorder="1" applyAlignment="1">
      <alignment horizontal="center" vertical="top" wrapText="1"/>
    </xf>
    <xf numFmtId="0" fontId="2" fillId="0" borderId="10" xfId="0" applyFont="1" applyFill="1" applyBorder="1" applyAlignment="1">
      <alignment horizontal="center" vertical="center" textRotation="90" wrapText="1"/>
    </xf>
    <xf numFmtId="0" fontId="1" fillId="0" borderId="31" xfId="0" applyFont="1" applyBorder="1" applyAlignment="1">
      <alignment horizontal="center" vertical="center" textRotation="90" wrapText="1"/>
    </xf>
    <xf numFmtId="0" fontId="3" fillId="0" borderId="103" xfId="0" applyFont="1" applyFill="1" applyBorder="1" applyAlignment="1">
      <alignment horizontal="center" vertical="center" textRotation="90" wrapText="1"/>
    </xf>
    <xf numFmtId="0" fontId="0" fillId="0" borderId="104" xfId="0" applyBorder="1" applyAlignment="1">
      <alignment horizontal="center" vertical="center" textRotation="90" wrapText="1"/>
    </xf>
    <xf numFmtId="49" fontId="5" fillId="0" borderId="108" xfId="0" applyNumberFormat="1" applyFont="1" applyBorder="1" applyAlignment="1">
      <alignment horizontal="center" vertical="top"/>
    </xf>
    <xf numFmtId="0" fontId="3" fillId="2" borderId="114"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82" xfId="0" applyFont="1" applyFill="1" applyBorder="1" applyAlignment="1">
      <alignment horizontal="left" vertical="top" wrapText="1"/>
    </xf>
    <xf numFmtId="0" fontId="2" fillId="0" borderId="45" xfId="0" applyFont="1" applyFill="1" applyBorder="1" applyAlignment="1">
      <alignment horizontal="center" vertical="center" textRotation="90" shrinkToFit="1"/>
    </xf>
    <xf numFmtId="0" fontId="2" fillId="0" borderId="31" xfId="0" applyFont="1" applyFill="1" applyBorder="1" applyAlignment="1">
      <alignment horizontal="center" vertical="center" textRotation="90" shrinkToFit="1"/>
    </xf>
    <xf numFmtId="0" fontId="2" fillId="0" borderId="45" xfId="0" applyFont="1" applyFill="1" applyBorder="1" applyAlignment="1">
      <alignment horizontal="center" vertical="center" textRotation="90" wrapText="1" shrinkToFit="1"/>
    </xf>
    <xf numFmtId="0" fontId="2" fillId="0" borderId="31" xfId="0" applyFont="1" applyFill="1" applyBorder="1" applyAlignment="1">
      <alignment horizontal="center" vertical="center" textRotation="90" wrapText="1" shrinkToFit="1"/>
    </xf>
    <xf numFmtId="0" fontId="0" fillId="0" borderId="37" xfId="0" applyBorder="1" applyAlignment="1">
      <alignment horizontal="left" vertical="top" wrapText="1"/>
    </xf>
    <xf numFmtId="0" fontId="0" fillId="0" borderId="48" xfId="0" applyBorder="1" applyAlignment="1">
      <alignment horizontal="left" vertical="top" wrapText="1"/>
    </xf>
    <xf numFmtId="0" fontId="2" fillId="0" borderId="16" xfId="0" applyFont="1" applyBorder="1" applyAlignment="1">
      <alignment vertical="center" textRotation="90"/>
    </xf>
    <xf numFmtId="0" fontId="1" fillId="0" borderId="16" xfId="0" applyFont="1" applyBorder="1" applyAlignment="1">
      <alignment vertical="center" textRotation="90"/>
    </xf>
    <xf numFmtId="0" fontId="1" fillId="0" borderId="45" xfId="0" applyFont="1" applyBorder="1" applyAlignment="1">
      <alignment vertical="center" textRotation="90"/>
    </xf>
    <xf numFmtId="0" fontId="0" fillId="0" borderId="33" xfId="0" applyBorder="1" applyAlignment="1">
      <alignment horizontal="center" vertical="top"/>
    </xf>
    <xf numFmtId="49" fontId="5" fillId="0" borderId="82" xfId="0" applyNumberFormat="1" applyFont="1" applyBorder="1" applyAlignment="1">
      <alignment horizontal="center" vertical="top"/>
    </xf>
    <xf numFmtId="0" fontId="3" fillId="2" borderId="110" xfId="0" applyFont="1" applyFill="1" applyBorder="1" applyAlignment="1">
      <alignment horizontal="left" vertical="top" wrapText="1"/>
    </xf>
    <xf numFmtId="0" fontId="3" fillId="0" borderId="104" xfId="0" applyFont="1" applyFill="1" applyBorder="1" applyAlignment="1">
      <alignment horizontal="center" vertical="center" textRotation="90" wrapText="1"/>
    </xf>
    <xf numFmtId="0" fontId="0" fillId="0" borderId="19" xfId="0" applyBorder="1" applyAlignment="1">
      <alignment horizontal="left" vertical="top" wrapText="1"/>
    </xf>
    <xf numFmtId="0" fontId="3" fillId="2" borderId="108" xfId="0" applyFont="1" applyFill="1" applyBorder="1" applyAlignment="1">
      <alignment horizontal="left" vertical="top" wrapText="1"/>
    </xf>
    <xf numFmtId="0" fontId="0" fillId="0" borderId="82" xfId="0" applyBorder="1" applyAlignment="1">
      <alignment horizontal="left" vertical="top" wrapText="1"/>
    </xf>
    <xf numFmtId="0" fontId="3" fillId="8" borderId="110" xfId="0" applyFont="1" applyFill="1" applyBorder="1" applyAlignment="1">
      <alignment horizontal="left" vertical="top" wrapText="1"/>
    </xf>
    <xf numFmtId="49" fontId="5" fillId="8" borderId="47" xfId="0" applyNumberFormat="1" applyFont="1" applyFill="1" applyBorder="1" applyAlignment="1">
      <alignment horizontal="center" vertical="top"/>
    </xf>
    <xf numFmtId="0" fontId="15" fillId="0" borderId="14" xfId="0" applyFont="1" applyFill="1" applyBorder="1" applyAlignment="1">
      <alignment horizontal="left" vertical="top" wrapText="1"/>
    </xf>
    <xf numFmtId="0" fontId="13" fillId="0" borderId="37" xfId="0" applyFont="1" applyFill="1" applyBorder="1" applyAlignment="1">
      <alignment horizontal="left" vertical="top" wrapText="1"/>
    </xf>
    <xf numFmtId="0" fontId="0" fillId="0" borderId="90" xfId="0" applyBorder="1" applyAlignment="1">
      <alignment horizontal="left" vertical="top" wrapText="1"/>
    </xf>
    <xf numFmtId="0" fontId="2" fillId="0" borderId="8" xfId="0" applyFont="1" applyFill="1" applyBorder="1" applyAlignment="1">
      <alignment horizontal="center" vertical="center" textRotation="90" wrapText="1"/>
    </xf>
    <xf numFmtId="0" fontId="1" fillId="0" borderId="104" xfId="0" applyFont="1" applyBorder="1" applyAlignment="1">
      <alignment horizontal="center" vertical="center" textRotation="90" wrapText="1"/>
    </xf>
    <xf numFmtId="0" fontId="15" fillId="0" borderId="19" xfId="0" applyFont="1" applyFill="1" applyBorder="1" applyAlignment="1">
      <alignment horizontal="left" vertical="top" wrapText="1"/>
    </xf>
    <xf numFmtId="0" fontId="24" fillId="0" borderId="10" xfId="0" applyFont="1" applyFill="1" applyBorder="1" applyAlignment="1">
      <alignment horizontal="center" vertical="center" textRotation="90" wrapText="1"/>
    </xf>
    <xf numFmtId="165" fontId="3" fillId="0" borderId="33" xfId="0" applyNumberFormat="1"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31" xfId="0" applyFont="1" applyFill="1" applyBorder="1" applyAlignment="1">
      <alignment horizontal="center" vertical="top" wrapText="1"/>
    </xf>
    <xf numFmtId="165" fontId="3" fillId="0" borderId="34" xfId="0" applyNumberFormat="1" applyFont="1" applyFill="1" applyBorder="1" applyAlignment="1">
      <alignment horizontal="center" vertical="top" wrapText="1"/>
    </xf>
    <xf numFmtId="0" fontId="3" fillId="2" borderId="81" xfId="0" applyFont="1" applyFill="1" applyBorder="1" applyAlignment="1">
      <alignment horizontal="left" vertical="top" wrapText="1"/>
    </xf>
    <xf numFmtId="0" fontId="3" fillId="2" borderId="98" xfId="0" applyFont="1" applyFill="1" applyBorder="1" applyAlignment="1">
      <alignment horizontal="left" vertical="top" wrapText="1"/>
    </xf>
    <xf numFmtId="0" fontId="3" fillId="0" borderId="91" xfId="0" applyFont="1" applyFill="1" applyBorder="1" applyAlignment="1">
      <alignment horizontal="center" vertical="center" textRotation="90" wrapText="1"/>
    </xf>
    <xf numFmtId="0" fontId="3" fillId="0" borderId="96" xfId="0" applyFont="1" applyFill="1" applyBorder="1" applyAlignment="1">
      <alignment horizontal="center" vertical="center" textRotation="90" wrapText="1"/>
    </xf>
    <xf numFmtId="0" fontId="19" fillId="8" borderId="108" xfId="0" applyFont="1" applyFill="1" applyBorder="1" applyAlignment="1">
      <alignment horizontal="left" vertical="top" wrapText="1"/>
    </xf>
    <xf numFmtId="0" fontId="0" fillId="0" borderId="27" xfId="0" applyBorder="1" applyAlignment="1">
      <alignment horizontal="left" vertical="top" wrapText="1"/>
    </xf>
    <xf numFmtId="0" fontId="0" fillId="0" borderId="104" xfId="0" applyBorder="1" applyAlignment="1">
      <alignment horizontal="left" vertical="top" wrapText="1"/>
    </xf>
    <xf numFmtId="0" fontId="3" fillId="2" borderId="48" xfId="0" applyFont="1" applyFill="1" applyBorder="1" applyAlignment="1">
      <alignment vertical="top" wrapText="1"/>
    </xf>
    <xf numFmtId="0" fontId="0" fillId="0" borderId="32" xfId="0" applyBorder="1" applyAlignment="1">
      <alignment vertical="top" wrapText="1"/>
    </xf>
    <xf numFmtId="0" fontId="5" fillId="2" borderId="47" xfId="0" applyFont="1" applyFill="1" applyBorder="1" applyAlignment="1">
      <alignment vertical="top" wrapText="1"/>
    </xf>
    <xf numFmtId="0" fontId="35" fillId="0" borderId="32" xfId="0" applyFont="1" applyBorder="1" applyAlignment="1">
      <alignment vertical="top" wrapText="1"/>
    </xf>
    <xf numFmtId="0" fontId="3" fillId="2" borderId="50" xfId="0" applyFont="1" applyFill="1" applyBorder="1" applyAlignment="1">
      <alignment vertical="top" wrapText="1"/>
    </xf>
    <xf numFmtId="0" fontId="3" fillId="2" borderId="32" xfId="0" applyFont="1" applyFill="1" applyBorder="1" applyAlignment="1">
      <alignment vertical="top" wrapText="1"/>
    </xf>
    <xf numFmtId="0" fontId="3" fillId="8" borderId="19" xfId="0" applyFont="1" applyFill="1" applyBorder="1" applyAlignment="1">
      <alignment horizontal="left" vertical="top" wrapText="1"/>
    </xf>
    <xf numFmtId="0" fontId="0" fillId="8" borderId="27" xfId="0" applyFill="1" applyBorder="1" applyAlignment="1">
      <alignment horizontal="left" vertical="top" wrapText="1"/>
    </xf>
    <xf numFmtId="49" fontId="5" fillId="14" borderId="10" xfId="0" applyNumberFormat="1" applyFont="1" applyFill="1" applyBorder="1" applyAlignment="1">
      <alignment horizontal="center" vertical="top" wrapText="1"/>
    </xf>
    <xf numFmtId="49" fontId="5" fillId="14" borderId="11" xfId="0" applyNumberFormat="1" applyFont="1" applyFill="1" applyBorder="1" applyAlignment="1">
      <alignment horizontal="center" vertical="top" wrapText="1"/>
    </xf>
    <xf numFmtId="0" fontId="3" fillId="0" borderId="29" xfId="0" applyFont="1" applyFill="1" applyBorder="1" applyAlignment="1">
      <alignment horizontal="left" vertical="top" wrapText="1"/>
    </xf>
    <xf numFmtId="0" fontId="3" fillId="14" borderId="63" xfId="0" applyFont="1" applyFill="1" applyBorder="1" applyAlignment="1">
      <alignment horizontal="center" vertical="top"/>
    </xf>
    <xf numFmtId="0" fontId="3" fillId="14" borderId="68" xfId="0" applyFont="1" applyFill="1" applyBorder="1" applyAlignment="1">
      <alignment horizontal="center" vertical="top"/>
    </xf>
    <xf numFmtId="0" fontId="3" fillId="14" borderId="69" xfId="0" applyFont="1" applyFill="1" applyBorder="1" applyAlignment="1">
      <alignment horizontal="center" vertical="top"/>
    </xf>
    <xf numFmtId="0" fontId="0" fillId="0" borderId="11" xfId="0" applyBorder="1" applyAlignment="1">
      <alignment horizontal="left" vertical="top" wrapText="1"/>
    </xf>
    <xf numFmtId="0" fontId="3" fillId="0" borderId="48" xfId="0" applyFont="1" applyFill="1" applyBorder="1" applyAlignment="1">
      <alignment vertical="top" wrapText="1"/>
    </xf>
    <xf numFmtId="0" fontId="7" fillId="0" borderId="62" xfId="0" applyFont="1" applyBorder="1" applyAlignment="1">
      <alignment vertical="top" wrapText="1"/>
    </xf>
    <xf numFmtId="0" fontId="3" fillId="2" borderId="76"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3" fillId="0" borderId="70" xfId="0" applyFont="1" applyBorder="1" applyAlignment="1">
      <alignment horizontal="left" vertical="top" wrapText="1"/>
    </xf>
    <xf numFmtId="0" fontId="3" fillId="0" borderId="49" xfId="0" applyFont="1" applyBorder="1" applyAlignment="1">
      <alignment horizontal="left" vertical="top" wrapText="1"/>
    </xf>
    <xf numFmtId="0" fontId="3" fillId="0" borderId="55" xfId="0" applyFont="1" applyBorder="1" applyAlignment="1">
      <alignment horizontal="left" vertical="top" wrapText="1"/>
    </xf>
    <xf numFmtId="0" fontId="3" fillId="0" borderId="41" xfId="0" applyNumberFormat="1" applyFont="1" applyFill="1" applyBorder="1" applyAlignment="1">
      <alignment horizontal="left" vertical="top" wrapText="1"/>
    </xf>
    <xf numFmtId="0" fontId="5" fillId="0" borderId="6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2" borderId="29"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27" xfId="0" applyFont="1" applyFill="1" applyBorder="1" applyAlignment="1">
      <alignment horizontal="center" vertical="top" wrapText="1"/>
    </xf>
    <xf numFmtId="3" fontId="5" fillId="6" borderId="35" xfId="0" applyNumberFormat="1" applyFont="1" applyFill="1" applyBorder="1" applyAlignment="1">
      <alignment horizontal="center" vertical="top" wrapText="1"/>
    </xf>
    <xf numFmtId="3" fontId="5" fillId="6" borderId="30" xfId="0" applyNumberFormat="1" applyFont="1" applyFill="1" applyBorder="1" applyAlignment="1">
      <alignment horizontal="center" vertical="top" wrapText="1"/>
    </xf>
    <xf numFmtId="3" fontId="5" fillId="6" borderId="36" xfId="0" applyNumberFormat="1" applyFont="1" applyFill="1" applyBorder="1" applyAlignment="1">
      <alignment horizontal="center" vertical="top" wrapText="1"/>
    </xf>
    <xf numFmtId="3" fontId="3" fillId="0" borderId="76" xfId="0" applyNumberFormat="1" applyFont="1" applyBorder="1" applyAlignment="1">
      <alignment horizontal="center" vertical="top" wrapText="1"/>
    </xf>
    <xf numFmtId="3" fontId="3" fillId="0" borderId="43" xfId="0" applyNumberFormat="1" applyFont="1" applyBorder="1" applyAlignment="1">
      <alignment horizontal="center" vertical="top" wrapText="1"/>
    </xf>
    <xf numFmtId="3" fontId="3" fillId="0" borderId="44" xfId="0" applyNumberFormat="1" applyFont="1" applyBorder="1" applyAlignment="1">
      <alignment horizontal="center" vertical="top" wrapText="1"/>
    </xf>
    <xf numFmtId="3" fontId="5" fillId="5" borderId="76" xfId="0" applyNumberFormat="1" applyFont="1" applyFill="1" applyBorder="1" applyAlignment="1">
      <alignment horizontal="center" vertical="top" wrapText="1"/>
    </xf>
    <xf numFmtId="3" fontId="5" fillId="5" borderId="43" xfId="0" applyNumberFormat="1" applyFont="1" applyFill="1" applyBorder="1" applyAlignment="1">
      <alignment horizontal="center" vertical="top" wrapText="1"/>
    </xf>
    <xf numFmtId="3" fontId="5" fillId="5" borderId="44" xfId="0" applyNumberFormat="1" applyFont="1" applyFill="1" applyBorder="1" applyAlignment="1">
      <alignment horizontal="center" vertical="top" wrapText="1"/>
    </xf>
    <xf numFmtId="3" fontId="5" fillId="5" borderId="78" xfId="0" applyNumberFormat="1" applyFont="1" applyFill="1" applyBorder="1" applyAlignment="1">
      <alignment horizontal="center" vertical="top" wrapText="1"/>
    </xf>
    <xf numFmtId="3" fontId="5" fillId="5" borderId="71" xfId="0" applyNumberFormat="1" applyFont="1" applyFill="1" applyBorder="1" applyAlignment="1">
      <alignment horizontal="center" vertical="top" wrapText="1"/>
    </xf>
    <xf numFmtId="3" fontId="5" fillId="5" borderId="65" xfId="0" applyNumberFormat="1" applyFont="1" applyFill="1" applyBorder="1" applyAlignment="1">
      <alignment horizontal="center" vertical="top" wrapText="1"/>
    </xf>
    <xf numFmtId="0" fontId="38" fillId="0" borderId="63"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49" fontId="3" fillId="0" borderId="9" xfId="0" applyNumberFormat="1" applyFont="1" applyBorder="1" applyAlignment="1">
      <alignment horizontal="center" vertical="top" wrapText="1"/>
    </xf>
    <xf numFmtId="49" fontId="5" fillId="17" borderId="79" xfId="0" applyNumberFormat="1" applyFont="1" applyFill="1" applyBorder="1" applyAlignment="1">
      <alignment horizontal="right" vertical="top"/>
    </xf>
    <xf numFmtId="49" fontId="5" fillId="17" borderId="68" xfId="0" applyNumberFormat="1" applyFont="1" applyFill="1" applyBorder="1" applyAlignment="1">
      <alignment horizontal="right" vertical="top"/>
    </xf>
    <xf numFmtId="49" fontId="5" fillId="17" borderId="69" xfId="0" applyNumberFormat="1" applyFont="1" applyFill="1" applyBorder="1" applyAlignment="1">
      <alignment horizontal="right" vertical="top"/>
    </xf>
    <xf numFmtId="0" fontId="3" fillId="17" borderId="63" xfId="0" applyFont="1" applyFill="1" applyBorder="1" applyAlignment="1">
      <alignment horizontal="center" vertical="top"/>
    </xf>
    <xf numFmtId="0" fontId="3" fillId="17" borderId="68" xfId="0" applyFont="1" applyFill="1" applyBorder="1" applyAlignment="1">
      <alignment horizontal="center" vertical="top"/>
    </xf>
    <xf numFmtId="0" fontId="3" fillId="17" borderId="69" xfId="0" applyFont="1" applyFill="1" applyBorder="1" applyAlignment="1">
      <alignment horizontal="center" vertical="top"/>
    </xf>
    <xf numFmtId="0" fontId="5" fillId="5" borderId="63" xfId="0" applyFont="1" applyFill="1" applyBorder="1" applyAlignment="1">
      <alignment horizontal="left" vertical="top" wrapText="1"/>
    </xf>
    <xf numFmtId="0" fontId="5" fillId="5" borderId="68" xfId="0" applyFont="1" applyFill="1" applyBorder="1" applyAlignment="1">
      <alignment horizontal="left" vertical="top" wrapText="1"/>
    </xf>
    <xf numFmtId="0" fontId="5" fillId="5" borderId="69" xfId="0" applyFont="1" applyFill="1" applyBorder="1" applyAlignment="1">
      <alignment horizontal="left" vertical="top" wrapText="1"/>
    </xf>
    <xf numFmtId="0" fontId="5" fillId="17" borderId="79" xfId="0" applyFont="1" applyFill="1" applyBorder="1" applyAlignment="1">
      <alignment horizontal="left" vertical="top"/>
    </xf>
    <xf numFmtId="0" fontId="5" fillId="17" borderId="68" xfId="0" applyFont="1" applyFill="1" applyBorder="1" applyAlignment="1">
      <alignment horizontal="left" vertical="top"/>
    </xf>
    <xf numFmtId="0" fontId="5" fillId="17" borderId="69" xfId="0" applyFont="1" applyFill="1" applyBorder="1" applyAlignment="1">
      <alignment horizontal="left" vertical="top"/>
    </xf>
    <xf numFmtId="0" fontId="5" fillId="3" borderId="41" xfId="0" applyFont="1" applyFill="1" applyBorder="1" applyAlignment="1">
      <alignment horizontal="left" vertical="top" wrapText="1"/>
    </xf>
    <xf numFmtId="0" fontId="5" fillId="3" borderId="54" xfId="0" applyFont="1" applyFill="1" applyBorder="1" applyAlignment="1">
      <alignment horizontal="left" vertical="top" wrapText="1"/>
    </xf>
    <xf numFmtId="49" fontId="5" fillId="17" borderId="8" xfId="0" applyNumberFormat="1" applyFont="1" applyFill="1" applyBorder="1" applyAlignment="1">
      <alignment horizontal="center" vertical="top"/>
    </xf>
    <xf numFmtId="49" fontId="5" fillId="17" borderId="10" xfId="0" applyNumberFormat="1" applyFont="1" applyFill="1" applyBorder="1" applyAlignment="1">
      <alignment horizontal="center" vertical="top"/>
    </xf>
    <xf numFmtId="49" fontId="5" fillId="17" borderId="11" xfId="0" applyNumberFormat="1" applyFont="1" applyFill="1" applyBorder="1" applyAlignment="1">
      <alignment horizontal="center" vertical="top"/>
    </xf>
    <xf numFmtId="49" fontId="5" fillId="5" borderId="17" xfId="0" applyNumberFormat="1" applyFont="1" applyFill="1" applyBorder="1" applyAlignment="1">
      <alignment horizontal="center" vertical="top"/>
    </xf>
    <xf numFmtId="49" fontId="5" fillId="5" borderId="26" xfId="0" applyNumberFormat="1" applyFont="1" applyFill="1" applyBorder="1" applyAlignment="1">
      <alignment horizontal="center" vertical="top"/>
    </xf>
    <xf numFmtId="49" fontId="5" fillId="0" borderId="39" xfId="0" applyNumberFormat="1" applyFont="1" applyBorder="1" applyAlignment="1">
      <alignment horizontal="center" vertical="top"/>
    </xf>
    <xf numFmtId="49" fontId="5" fillId="0" borderId="75" xfId="0" applyNumberFormat="1" applyFont="1" applyBorder="1" applyAlignment="1">
      <alignment horizontal="center" vertical="top"/>
    </xf>
    <xf numFmtId="49" fontId="5" fillId="9" borderId="63" xfId="0" applyNumberFormat="1" applyFont="1" applyFill="1" applyBorder="1" applyAlignment="1">
      <alignment horizontal="left" vertical="top" wrapText="1"/>
    </xf>
    <xf numFmtId="49" fontId="5" fillId="9" borderId="68" xfId="0" applyNumberFormat="1" applyFont="1" applyFill="1" applyBorder="1" applyAlignment="1">
      <alignment horizontal="left" vertical="top" wrapText="1"/>
    </xf>
    <xf numFmtId="49" fontId="5" fillId="9" borderId="69" xfId="0" applyNumberFormat="1" applyFont="1" applyFill="1" applyBorder="1" applyAlignment="1">
      <alignment horizontal="left" vertical="top" wrapText="1"/>
    </xf>
    <xf numFmtId="0" fontId="38" fillId="0" borderId="78"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65" xfId="0" applyFont="1" applyBorder="1" applyAlignment="1">
      <alignment horizontal="center" vertical="center" wrapText="1"/>
    </xf>
    <xf numFmtId="0" fontId="22" fillId="0" borderId="46" xfId="0" applyFont="1" applyBorder="1" applyAlignment="1">
      <alignment horizontal="center" vertical="center" textRotation="90" wrapText="1"/>
    </xf>
    <xf numFmtId="0" fontId="22" fillId="0" borderId="9" xfId="0" applyFont="1" applyBorder="1" applyAlignment="1">
      <alignment horizontal="center" vertical="center" textRotation="90" wrapText="1"/>
    </xf>
    <xf numFmtId="0" fontId="22" fillId="0" borderId="66" xfId="0" applyFont="1" applyBorder="1" applyAlignment="1">
      <alignment horizontal="center" vertical="center" textRotation="90" wrapText="1"/>
    </xf>
    <xf numFmtId="0" fontId="38" fillId="0" borderId="78" xfId="0" applyFont="1" applyBorder="1" applyAlignment="1">
      <alignment horizontal="center" vertical="center"/>
    </xf>
    <xf numFmtId="0" fontId="38" fillId="0" borderId="71" xfId="0" applyFont="1" applyBorder="1" applyAlignment="1">
      <alignment horizontal="center" vertical="center"/>
    </xf>
    <xf numFmtId="0" fontId="38" fillId="0" borderId="65" xfId="0" applyFont="1" applyBorder="1" applyAlignment="1">
      <alignment horizontal="center" vertical="center"/>
    </xf>
    <xf numFmtId="0" fontId="3" fillId="8" borderId="45" xfId="0" applyFont="1" applyFill="1" applyBorder="1" applyAlignment="1">
      <alignment horizontal="center" vertical="center" textRotation="90" wrapText="1"/>
    </xf>
    <xf numFmtId="0" fontId="3" fillId="8" borderId="11" xfId="0" applyFont="1" applyFill="1" applyBorder="1" applyAlignment="1">
      <alignment horizontal="center" vertical="center" textRotation="90" wrapText="1"/>
    </xf>
    <xf numFmtId="0" fontId="3" fillId="8" borderId="37" xfId="0" applyFont="1" applyFill="1" applyBorder="1" applyAlignment="1">
      <alignment horizontal="center" vertical="center"/>
    </xf>
    <xf numFmtId="0" fontId="3" fillId="8" borderId="38" xfId="0" applyFont="1" applyFill="1" applyBorder="1" applyAlignment="1">
      <alignment horizontal="center" vertical="center"/>
    </xf>
    <xf numFmtId="0" fontId="9" fillId="8" borderId="1" xfId="0" applyFont="1" applyFill="1" applyBorder="1" applyAlignment="1">
      <alignment horizontal="center" vertical="center" textRotation="90" wrapText="1"/>
    </xf>
    <xf numFmtId="0" fontId="9" fillId="8" borderId="27" xfId="0" applyFont="1" applyFill="1" applyBorder="1" applyAlignment="1">
      <alignment horizontal="center" vertical="center" textRotation="90" wrapText="1"/>
    </xf>
    <xf numFmtId="0" fontId="39" fillId="0" borderId="45" xfId="0" applyFont="1" applyBorder="1" applyAlignment="1">
      <alignment horizontal="center" vertical="center" textRotation="90" wrapText="1"/>
    </xf>
    <xf numFmtId="0" fontId="39" fillId="0" borderId="11" xfId="0" applyFont="1" applyBorder="1" applyAlignment="1">
      <alignment horizontal="center" vertical="center" textRotation="90" wrapText="1"/>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1" xfId="0" applyFont="1" applyFill="1" applyBorder="1" applyAlignment="1">
      <alignment horizontal="center" vertical="center" textRotation="90" wrapText="1"/>
    </xf>
    <xf numFmtId="0" fontId="39" fillId="0" borderId="27" xfId="0" applyFont="1" applyFill="1" applyBorder="1" applyAlignment="1">
      <alignment horizontal="center" vertical="center" textRotation="90" wrapText="1"/>
    </xf>
    <xf numFmtId="0" fontId="3" fillId="0" borderId="46"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5" fillId="8" borderId="78" xfId="0" applyFont="1" applyFill="1" applyBorder="1" applyAlignment="1">
      <alignment horizontal="center" vertical="center" wrapText="1"/>
    </xf>
    <xf numFmtId="0" fontId="5" fillId="8" borderId="71" xfId="0" applyFont="1" applyFill="1" applyBorder="1" applyAlignment="1">
      <alignment horizontal="center" vertical="center" wrapText="1"/>
    </xf>
    <xf numFmtId="0" fontId="5" fillId="8" borderId="65" xfId="0" applyFont="1" applyFill="1" applyBorder="1" applyAlignment="1">
      <alignment horizontal="center" vertical="center" wrapText="1"/>
    </xf>
    <xf numFmtId="0" fontId="3" fillId="0" borderId="0" xfId="0" applyFont="1" applyAlignment="1">
      <alignment horizontal="left" vertical="top" wrapText="1"/>
    </xf>
    <xf numFmtId="0" fontId="11" fillId="0" borderId="45" xfId="0" applyFont="1" applyBorder="1" applyAlignment="1">
      <alignment horizontal="center" vertical="center" wrapText="1"/>
    </xf>
    <xf numFmtId="0" fontId="11" fillId="0" borderId="11" xfId="0" applyFont="1" applyBorder="1" applyAlignment="1">
      <alignment horizontal="center" vertical="center" wrapText="1"/>
    </xf>
    <xf numFmtId="0" fontId="39" fillId="0" borderId="43" xfId="0" applyFont="1" applyBorder="1" applyAlignment="1">
      <alignment horizontal="center" vertical="center"/>
    </xf>
    <xf numFmtId="0" fontId="39" fillId="0" borderId="44" xfId="0" applyFont="1" applyBorder="1" applyAlignment="1">
      <alignment horizontal="center" vertical="center"/>
    </xf>
  </cellXfs>
  <cellStyles count="3">
    <cellStyle name="Įprastas" xfId="0" builtinId="0"/>
    <cellStyle name="Įprastas 2" xfId="1"/>
    <cellStyle name="Stilius 1" xfId="2"/>
  </cellStyles>
  <dxfs count="0"/>
  <tableStyles count="0" defaultTableStyle="TableStyleMedium2" defaultPivotStyle="PivotStyleLight16"/>
  <colors>
    <mruColors>
      <color rgb="FFCCCCFF"/>
      <color rgb="FFFFC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84"/>
  <sheetViews>
    <sheetView view="pageBreakPreview" topLeftCell="A147" zoomScaleNormal="100" zoomScaleSheetLayoutView="100" workbookViewId="0">
      <selection activeCell="D189" sqref="D189"/>
    </sheetView>
  </sheetViews>
  <sheetFormatPr defaultRowHeight="12.75" x14ac:dyDescent="0.2"/>
  <cols>
    <col min="1" max="3" width="2.7109375" style="10" customWidth="1"/>
    <col min="4" max="4" width="29.42578125" style="10" customWidth="1"/>
    <col min="5" max="5" width="2.7109375" style="47" customWidth="1"/>
    <col min="6" max="6" width="2.7109375" style="10" customWidth="1"/>
    <col min="7" max="7" width="2.7109375" style="64" customWidth="1"/>
    <col min="8" max="8" width="7.7109375" style="90" customWidth="1"/>
    <col min="9" max="9" width="8.5703125" style="10" customWidth="1"/>
    <col min="10" max="10" width="7.42578125" style="10" customWidth="1"/>
    <col min="11" max="11" width="6.140625" style="10" customWidth="1"/>
    <col min="12" max="12" width="6.7109375" style="10" customWidth="1"/>
    <col min="13" max="13" width="8.140625" style="10" customWidth="1"/>
    <col min="14" max="14" width="7.5703125" style="10" customWidth="1"/>
    <col min="15" max="15" width="23.5703125" style="10" customWidth="1"/>
    <col min="16" max="17" width="3.7109375" style="10" customWidth="1"/>
    <col min="18" max="18" width="3.85546875" style="10" customWidth="1"/>
    <col min="19" max="16384" width="9.140625" style="5"/>
  </cols>
  <sheetData>
    <row r="1" spans="1:22" ht="15.75" x14ac:dyDescent="0.2">
      <c r="O1" s="2592" t="s">
        <v>220</v>
      </c>
      <c r="P1" s="2593"/>
      <c r="Q1" s="2593"/>
      <c r="R1" s="2593"/>
    </row>
    <row r="2" spans="1:22" ht="15.75" x14ac:dyDescent="0.2">
      <c r="A2" s="2350" t="s">
        <v>202</v>
      </c>
      <c r="B2" s="2350"/>
      <c r="C2" s="2350"/>
      <c r="D2" s="2350"/>
      <c r="E2" s="2350"/>
      <c r="F2" s="2350"/>
      <c r="G2" s="2350"/>
      <c r="H2" s="2350"/>
      <c r="I2" s="2350"/>
      <c r="J2" s="2350"/>
      <c r="K2" s="2350"/>
      <c r="L2" s="2350"/>
      <c r="M2" s="2350"/>
      <c r="N2" s="2350"/>
      <c r="O2" s="2350"/>
      <c r="P2" s="2350"/>
      <c r="Q2" s="2350"/>
      <c r="R2" s="2350"/>
    </row>
    <row r="3" spans="1:22" ht="15.75" x14ac:dyDescent="0.2">
      <c r="A3" s="2351" t="s">
        <v>37</v>
      </c>
      <c r="B3" s="2351"/>
      <c r="C3" s="2351"/>
      <c r="D3" s="2351"/>
      <c r="E3" s="2351"/>
      <c r="F3" s="2351"/>
      <c r="G3" s="2351"/>
      <c r="H3" s="2351"/>
      <c r="I3" s="2351"/>
      <c r="J3" s="2351"/>
      <c r="K3" s="2351"/>
      <c r="L3" s="2351"/>
      <c r="M3" s="2351"/>
      <c r="N3" s="2351"/>
      <c r="O3" s="2351"/>
      <c r="P3" s="2351"/>
      <c r="Q3" s="2351"/>
      <c r="R3" s="2351"/>
    </row>
    <row r="4" spans="1:22" ht="15.75" x14ac:dyDescent="0.2">
      <c r="A4" s="2352" t="s">
        <v>23</v>
      </c>
      <c r="B4" s="2352"/>
      <c r="C4" s="2352"/>
      <c r="D4" s="2352"/>
      <c r="E4" s="2352"/>
      <c r="F4" s="2352"/>
      <c r="G4" s="2352"/>
      <c r="H4" s="2352"/>
      <c r="I4" s="2352"/>
      <c r="J4" s="2352"/>
      <c r="K4" s="2352"/>
      <c r="L4" s="2352"/>
      <c r="M4" s="2352"/>
      <c r="N4" s="2352"/>
      <c r="O4" s="2352"/>
      <c r="P4" s="2352"/>
      <c r="Q4" s="2352"/>
      <c r="R4" s="2352"/>
      <c r="S4" s="1"/>
      <c r="T4" s="1"/>
      <c r="U4" s="1"/>
      <c r="V4" s="1"/>
    </row>
    <row r="5" spans="1:22" ht="13.5" thickBot="1" x14ac:dyDescent="0.25">
      <c r="P5" s="2353" t="s">
        <v>0</v>
      </c>
      <c r="Q5" s="2353"/>
      <c r="R5" s="2353"/>
    </row>
    <row r="6" spans="1:22" ht="21.75" customHeight="1" x14ac:dyDescent="0.2">
      <c r="A6" s="2354" t="s">
        <v>24</v>
      </c>
      <c r="B6" s="2357" t="s">
        <v>1</v>
      </c>
      <c r="C6" s="2357" t="s">
        <v>2</v>
      </c>
      <c r="D6" s="2360" t="s">
        <v>16</v>
      </c>
      <c r="E6" s="2363" t="s">
        <v>3</v>
      </c>
      <c r="F6" s="2394" t="s">
        <v>189</v>
      </c>
      <c r="G6" s="2397" t="s">
        <v>4</v>
      </c>
      <c r="H6" s="2400" t="s">
        <v>5</v>
      </c>
      <c r="I6" s="2385" t="s">
        <v>141</v>
      </c>
      <c r="J6" s="2386"/>
      <c r="K6" s="2386"/>
      <c r="L6" s="2387"/>
      <c r="M6" s="2388" t="s">
        <v>33</v>
      </c>
      <c r="N6" s="2388" t="s">
        <v>142</v>
      </c>
      <c r="O6" s="2391" t="s">
        <v>15</v>
      </c>
      <c r="P6" s="2392"/>
      <c r="Q6" s="2392"/>
      <c r="R6" s="2393"/>
    </row>
    <row r="7" spans="1:22" ht="11.25" customHeight="1" x14ac:dyDescent="0.2">
      <c r="A7" s="2355"/>
      <c r="B7" s="2358"/>
      <c r="C7" s="2358"/>
      <c r="D7" s="2361"/>
      <c r="E7" s="2364"/>
      <c r="F7" s="2395"/>
      <c r="G7" s="2398"/>
      <c r="H7" s="2401"/>
      <c r="I7" s="2366" t="s">
        <v>6</v>
      </c>
      <c r="J7" s="2367" t="s">
        <v>7</v>
      </c>
      <c r="K7" s="2368"/>
      <c r="L7" s="2369" t="s">
        <v>22</v>
      </c>
      <c r="M7" s="2389"/>
      <c r="N7" s="2389"/>
      <c r="O7" s="2371" t="s">
        <v>16</v>
      </c>
      <c r="P7" s="2367" t="s">
        <v>8</v>
      </c>
      <c r="Q7" s="2373"/>
      <c r="R7" s="2374"/>
    </row>
    <row r="8" spans="1:22" ht="70.5" customHeight="1" thickBot="1" x14ac:dyDescent="0.25">
      <c r="A8" s="2356"/>
      <c r="B8" s="2359"/>
      <c r="C8" s="2359"/>
      <c r="D8" s="2362"/>
      <c r="E8" s="2365"/>
      <c r="F8" s="2396"/>
      <c r="G8" s="2399"/>
      <c r="H8" s="2402"/>
      <c r="I8" s="2356"/>
      <c r="J8" s="7" t="s">
        <v>6</v>
      </c>
      <c r="K8" s="6" t="s">
        <v>17</v>
      </c>
      <c r="L8" s="2370"/>
      <c r="M8" s="2390"/>
      <c r="N8" s="2390"/>
      <c r="O8" s="2372"/>
      <c r="P8" s="8" t="s">
        <v>34</v>
      </c>
      <c r="Q8" s="8" t="s">
        <v>35</v>
      </c>
      <c r="R8" s="9" t="s">
        <v>143</v>
      </c>
    </row>
    <row r="9" spans="1:22" s="30" customFormat="1" x14ac:dyDescent="0.2">
      <c r="A9" s="2382" t="s">
        <v>135</v>
      </c>
      <c r="B9" s="2383"/>
      <c r="C9" s="2383"/>
      <c r="D9" s="2383"/>
      <c r="E9" s="2383"/>
      <c r="F9" s="2383"/>
      <c r="G9" s="2383"/>
      <c r="H9" s="2383"/>
      <c r="I9" s="2383"/>
      <c r="J9" s="2383"/>
      <c r="K9" s="2383"/>
      <c r="L9" s="2383"/>
      <c r="M9" s="2383"/>
      <c r="N9" s="2383"/>
      <c r="O9" s="2383"/>
      <c r="P9" s="2383"/>
      <c r="Q9" s="2383"/>
      <c r="R9" s="2384"/>
    </row>
    <row r="10" spans="1:22" s="30" customFormat="1" x14ac:dyDescent="0.2">
      <c r="A10" s="2403" t="s">
        <v>85</v>
      </c>
      <c r="B10" s="2404"/>
      <c r="C10" s="2404"/>
      <c r="D10" s="2404"/>
      <c r="E10" s="2404"/>
      <c r="F10" s="2404"/>
      <c r="G10" s="2404"/>
      <c r="H10" s="2404"/>
      <c r="I10" s="2404"/>
      <c r="J10" s="2404"/>
      <c r="K10" s="2404"/>
      <c r="L10" s="2404"/>
      <c r="M10" s="2404"/>
      <c r="N10" s="2404"/>
      <c r="O10" s="2404"/>
      <c r="P10" s="2404"/>
      <c r="Q10" s="2404"/>
      <c r="R10" s="2405"/>
    </row>
    <row r="11" spans="1:22" ht="15" customHeight="1" x14ac:dyDescent="0.2">
      <c r="A11" s="97" t="s">
        <v>9</v>
      </c>
      <c r="B11" s="2406" t="s">
        <v>136</v>
      </c>
      <c r="C11" s="2407"/>
      <c r="D11" s="2407"/>
      <c r="E11" s="2407"/>
      <c r="F11" s="2407"/>
      <c r="G11" s="2407"/>
      <c r="H11" s="2407"/>
      <c r="I11" s="2407"/>
      <c r="J11" s="2407"/>
      <c r="K11" s="2407"/>
      <c r="L11" s="2407"/>
      <c r="M11" s="2407"/>
      <c r="N11" s="2407"/>
      <c r="O11" s="2407"/>
      <c r="P11" s="2407"/>
      <c r="Q11" s="2407"/>
      <c r="R11" s="2408"/>
    </row>
    <row r="12" spans="1:22" x14ac:dyDescent="0.2">
      <c r="A12" s="95" t="s">
        <v>9</v>
      </c>
      <c r="B12" s="96" t="s">
        <v>9</v>
      </c>
      <c r="C12" s="2409" t="s">
        <v>70</v>
      </c>
      <c r="D12" s="2410"/>
      <c r="E12" s="2410"/>
      <c r="F12" s="2410"/>
      <c r="G12" s="2410"/>
      <c r="H12" s="2410"/>
      <c r="I12" s="2410"/>
      <c r="J12" s="2410"/>
      <c r="K12" s="2410"/>
      <c r="L12" s="2410"/>
      <c r="M12" s="2410"/>
      <c r="N12" s="2410"/>
      <c r="O12" s="2410"/>
      <c r="P12" s="2410"/>
      <c r="Q12" s="2410"/>
      <c r="R12" s="2411"/>
    </row>
    <row r="13" spans="1:22" ht="12.75" customHeight="1" x14ac:dyDescent="0.2">
      <c r="A13" s="2412" t="s">
        <v>9</v>
      </c>
      <c r="B13" s="2413" t="s">
        <v>9</v>
      </c>
      <c r="C13" s="2414" t="s">
        <v>9</v>
      </c>
      <c r="D13" s="2415" t="s">
        <v>112</v>
      </c>
      <c r="E13" s="2416"/>
      <c r="F13" s="2417" t="s">
        <v>44</v>
      </c>
      <c r="G13" s="2381" t="s">
        <v>40</v>
      </c>
      <c r="H13" s="134" t="s">
        <v>36</v>
      </c>
      <c r="I13" s="316">
        <f>J13+L13</f>
        <v>979.7</v>
      </c>
      <c r="J13" s="219">
        <f>949.7-99.9</f>
        <v>849.8</v>
      </c>
      <c r="K13" s="219"/>
      <c r="L13" s="243">
        <f>30+99.9</f>
        <v>129.9</v>
      </c>
      <c r="M13" s="317">
        <v>1841.4</v>
      </c>
      <c r="N13" s="45">
        <v>826.4</v>
      </c>
      <c r="O13" s="2418"/>
      <c r="P13" s="2346"/>
      <c r="Q13" s="2346"/>
      <c r="R13" s="2348"/>
    </row>
    <row r="14" spans="1:22" ht="25.5" customHeight="1" x14ac:dyDescent="0.2">
      <c r="A14" s="2412"/>
      <c r="B14" s="2413"/>
      <c r="C14" s="2414"/>
      <c r="D14" s="2415"/>
      <c r="E14" s="2416"/>
      <c r="F14" s="2417"/>
      <c r="G14" s="2381"/>
      <c r="H14" s="134"/>
      <c r="I14" s="316"/>
      <c r="J14" s="219"/>
      <c r="K14" s="219"/>
      <c r="L14" s="243"/>
      <c r="M14" s="81"/>
      <c r="N14" s="69"/>
      <c r="O14" s="2419"/>
      <c r="P14" s="2347"/>
      <c r="Q14" s="2347"/>
      <c r="R14" s="2349"/>
    </row>
    <row r="15" spans="1:22" ht="12.75" customHeight="1" x14ac:dyDescent="0.2">
      <c r="A15" s="2412"/>
      <c r="B15" s="2413"/>
      <c r="C15" s="2414"/>
      <c r="D15" s="2437" t="s">
        <v>46</v>
      </c>
      <c r="E15" s="2378"/>
      <c r="F15" s="2427"/>
      <c r="G15" s="2429"/>
      <c r="H15" s="134"/>
      <c r="I15" s="318"/>
      <c r="J15" s="219"/>
      <c r="K15" s="219"/>
      <c r="L15" s="243"/>
      <c r="M15" s="317"/>
      <c r="N15" s="45"/>
      <c r="O15" s="2431" t="s">
        <v>97</v>
      </c>
      <c r="P15" s="112">
        <v>3.5</v>
      </c>
      <c r="Q15" s="112">
        <v>3.4</v>
      </c>
      <c r="R15" s="113">
        <v>3.5</v>
      </c>
    </row>
    <row r="16" spans="1:22" ht="14.25" customHeight="1" x14ac:dyDescent="0.2">
      <c r="A16" s="2412"/>
      <c r="B16" s="2413"/>
      <c r="C16" s="2414"/>
      <c r="D16" s="2438"/>
      <c r="E16" s="2379"/>
      <c r="F16" s="2428"/>
      <c r="G16" s="2430"/>
      <c r="H16" s="319"/>
      <c r="I16" s="320"/>
      <c r="J16" s="321"/>
      <c r="K16" s="321"/>
      <c r="L16" s="322"/>
      <c r="M16" s="323"/>
      <c r="N16" s="324"/>
      <c r="O16" s="2419"/>
      <c r="P16" s="59"/>
      <c r="Q16" s="59"/>
      <c r="R16" s="143"/>
      <c r="S16" s="14"/>
      <c r="U16" s="13"/>
    </row>
    <row r="17" spans="1:28" x14ac:dyDescent="0.2">
      <c r="A17" s="2412"/>
      <c r="B17" s="2413"/>
      <c r="C17" s="2414"/>
      <c r="D17" s="2432" t="s">
        <v>47</v>
      </c>
      <c r="E17" s="2376"/>
      <c r="F17" s="2380"/>
      <c r="G17" s="2381"/>
      <c r="H17" s="312"/>
      <c r="I17" s="318"/>
      <c r="J17" s="219"/>
      <c r="K17" s="219"/>
      <c r="L17" s="243"/>
      <c r="M17" s="325"/>
      <c r="N17" s="326"/>
      <c r="O17" s="2433" t="s">
        <v>49</v>
      </c>
      <c r="P17" s="593">
        <v>5</v>
      </c>
      <c r="Q17" s="593">
        <v>5</v>
      </c>
      <c r="R17" s="594">
        <v>5</v>
      </c>
    </row>
    <row r="18" spans="1:28" x14ac:dyDescent="0.2">
      <c r="A18" s="2412"/>
      <c r="B18" s="2413"/>
      <c r="C18" s="2414"/>
      <c r="D18" s="2432"/>
      <c r="E18" s="2376"/>
      <c r="F18" s="2380"/>
      <c r="G18" s="2381"/>
      <c r="H18" s="319"/>
      <c r="I18" s="320"/>
      <c r="J18" s="321"/>
      <c r="K18" s="321"/>
      <c r="L18" s="322"/>
      <c r="M18" s="323"/>
      <c r="N18" s="324"/>
      <c r="O18" s="2434"/>
      <c r="P18" s="593"/>
      <c r="Q18" s="593"/>
      <c r="R18" s="594"/>
    </row>
    <row r="19" spans="1:28" x14ac:dyDescent="0.2">
      <c r="A19" s="2412"/>
      <c r="B19" s="2413"/>
      <c r="C19" s="2414"/>
      <c r="D19" s="2437" t="s">
        <v>48</v>
      </c>
      <c r="E19" s="2375"/>
      <c r="F19" s="2435"/>
      <c r="G19" s="2429"/>
      <c r="H19" s="312"/>
      <c r="I19" s="318"/>
      <c r="J19" s="219"/>
      <c r="K19" s="219"/>
      <c r="L19" s="243"/>
      <c r="M19" s="325"/>
      <c r="N19" s="326"/>
      <c r="O19" s="2433" t="s">
        <v>113</v>
      </c>
      <c r="P19" s="509">
        <v>4</v>
      </c>
      <c r="Q19" s="509">
        <v>4</v>
      </c>
      <c r="R19" s="508">
        <v>4</v>
      </c>
    </row>
    <row r="20" spans="1:28" x14ac:dyDescent="0.2">
      <c r="A20" s="2412"/>
      <c r="B20" s="2413"/>
      <c r="C20" s="2414"/>
      <c r="D20" s="2432"/>
      <c r="E20" s="2376"/>
      <c r="F20" s="2380"/>
      <c r="G20" s="2381"/>
      <c r="H20" s="312"/>
      <c r="I20" s="318"/>
      <c r="J20" s="219"/>
      <c r="K20" s="219"/>
      <c r="L20" s="243"/>
      <c r="M20" s="325"/>
      <c r="N20" s="326"/>
      <c r="O20" s="2436"/>
      <c r="P20" s="593"/>
      <c r="Q20" s="593"/>
      <c r="R20" s="594"/>
    </row>
    <row r="21" spans="1:28" ht="25.5" x14ac:dyDescent="0.2">
      <c r="A21" s="2412"/>
      <c r="B21" s="2413"/>
      <c r="C21" s="2414"/>
      <c r="D21" s="2432"/>
      <c r="E21" s="2376"/>
      <c r="F21" s="2380"/>
      <c r="G21" s="2381"/>
      <c r="H21" s="312"/>
      <c r="I21" s="318"/>
      <c r="J21" s="219"/>
      <c r="K21" s="219"/>
      <c r="L21" s="243"/>
      <c r="M21" s="325"/>
      <c r="N21" s="326"/>
      <c r="O21" s="580" t="s">
        <v>147</v>
      </c>
      <c r="P21" s="593">
        <v>20</v>
      </c>
      <c r="Q21" s="593"/>
      <c r="R21" s="594"/>
    </row>
    <row r="22" spans="1:28" x14ac:dyDescent="0.2">
      <c r="A22" s="2412"/>
      <c r="B22" s="2413"/>
      <c r="C22" s="2414"/>
      <c r="D22" s="2432"/>
      <c r="E22" s="2376"/>
      <c r="F22" s="2380"/>
      <c r="G22" s="2381"/>
      <c r="H22" s="312"/>
      <c r="I22" s="318"/>
      <c r="J22" s="219"/>
      <c r="K22" s="219"/>
      <c r="L22" s="243"/>
      <c r="M22" s="325"/>
      <c r="N22" s="326"/>
      <c r="O22" s="17" t="s">
        <v>140</v>
      </c>
      <c r="P22" s="593">
        <v>1</v>
      </c>
      <c r="Q22" s="593">
        <v>1</v>
      </c>
      <c r="R22" s="594">
        <v>1</v>
      </c>
    </row>
    <row r="23" spans="1:28" x14ac:dyDescent="0.2">
      <c r="A23" s="2412"/>
      <c r="B23" s="2413"/>
      <c r="C23" s="2414"/>
      <c r="D23" s="2432"/>
      <c r="E23" s="2376"/>
      <c r="F23" s="2380"/>
      <c r="G23" s="2381"/>
      <c r="H23" s="312"/>
      <c r="I23" s="318"/>
      <c r="J23" s="219"/>
      <c r="K23" s="219"/>
      <c r="L23" s="243"/>
      <c r="M23" s="313"/>
      <c r="N23" s="314"/>
      <c r="O23" s="17" t="s">
        <v>50</v>
      </c>
      <c r="P23" s="593">
        <v>44</v>
      </c>
      <c r="Q23" s="593">
        <v>30</v>
      </c>
      <c r="R23" s="594">
        <v>30</v>
      </c>
    </row>
    <row r="24" spans="1:28" x14ac:dyDescent="0.2">
      <c r="A24" s="2412"/>
      <c r="B24" s="2413"/>
      <c r="C24" s="2414"/>
      <c r="D24" s="2432"/>
      <c r="E24" s="2376"/>
      <c r="F24" s="2380"/>
      <c r="G24" s="2381"/>
      <c r="H24" s="312"/>
      <c r="I24" s="318"/>
      <c r="J24" s="219"/>
      <c r="K24" s="219"/>
      <c r="L24" s="243"/>
      <c r="M24" s="313"/>
      <c r="N24" s="314"/>
      <c r="O24" s="17" t="s">
        <v>51</v>
      </c>
      <c r="P24" s="593">
        <v>8</v>
      </c>
      <c r="Q24" s="593">
        <v>10</v>
      </c>
      <c r="R24" s="594">
        <v>10</v>
      </c>
    </row>
    <row r="25" spans="1:28" ht="13.5" customHeight="1" x14ac:dyDescent="0.2">
      <c r="A25" s="2412"/>
      <c r="B25" s="2413"/>
      <c r="C25" s="2414"/>
      <c r="D25" s="2432"/>
      <c r="E25" s="2377"/>
      <c r="F25" s="2380"/>
      <c r="G25" s="2381"/>
      <c r="H25" s="319"/>
      <c r="I25" s="320"/>
      <c r="J25" s="321"/>
      <c r="K25" s="321"/>
      <c r="L25" s="322"/>
      <c r="M25" s="323"/>
      <c r="N25" s="324"/>
      <c r="O25" s="61" t="s">
        <v>52</v>
      </c>
      <c r="P25" s="600">
        <v>28</v>
      </c>
      <c r="Q25" s="600">
        <v>30</v>
      </c>
      <c r="R25" s="601">
        <v>30</v>
      </c>
    </row>
    <row r="26" spans="1:28" ht="25.5" x14ac:dyDescent="0.2">
      <c r="A26" s="94"/>
      <c r="B26" s="582"/>
      <c r="C26" s="586"/>
      <c r="D26" s="2420" t="s">
        <v>201</v>
      </c>
      <c r="E26" s="2375" t="s">
        <v>171</v>
      </c>
      <c r="F26" s="599"/>
      <c r="G26" s="84"/>
      <c r="H26" s="327"/>
      <c r="I26" s="318"/>
      <c r="J26" s="219"/>
      <c r="K26" s="321"/>
      <c r="L26" s="322"/>
      <c r="M26" s="313"/>
      <c r="N26" s="324"/>
      <c r="O26" s="206" t="s">
        <v>186</v>
      </c>
      <c r="P26" s="207">
        <v>1</v>
      </c>
      <c r="Q26" s="199">
        <v>1</v>
      </c>
      <c r="R26" s="85"/>
      <c r="AA26" s="14"/>
      <c r="AB26" s="14"/>
    </row>
    <row r="27" spans="1:28" ht="14.25" customHeight="1" thickBot="1" x14ac:dyDescent="0.25">
      <c r="A27" s="98"/>
      <c r="B27" s="584"/>
      <c r="C27" s="587"/>
      <c r="D27" s="2421"/>
      <c r="E27" s="2422"/>
      <c r="F27" s="590"/>
      <c r="G27" s="92"/>
      <c r="H27" s="602"/>
      <c r="I27" s="603"/>
      <c r="J27" s="343"/>
      <c r="K27" s="565"/>
      <c r="L27" s="569"/>
      <c r="M27" s="604"/>
      <c r="N27" s="570"/>
      <c r="O27" s="18" t="s">
        <v>187</v>
      </c>
      <c r="P27" s="605">
        <v>100</v>
      </c>
      <c r="Q27" s="86">
        <v>100</v>
      </c>
      <c r="R27" s="87"/>
      <c r="AA27" s="14"/>
      <c r="AB27" s="14"/>
    </row>
    <row r="28" spans="1:28" x14ac:dyDescent="0.2">
      <c r="A28" s="363"/>
      <c r="B28" s="583"/>
      <c r="C28" s="585"/>
      <c r="D28" s="2423" t="s">
        <v>190</v>
      </c>
      <c r="E28" s="2425" t="s">
        <v>171</v>
      </c>
      <c r="F28" s="589"/>
      <c r="G28" s="91"/>
      <c r="H28" s="571" t="s">
        <v>94</v>
      </c>
      <c r="I28" s="266">
        <f>J28</f>
        <v>150</v>
      </c>
      <c r="J28" s="268">
        <v>150</v>
      </c>
      <c r="K28" s="572"/>
      <c r="L28" s="573"/>
      <c r="M28" s="606">
        <v>100</v>
      </c>
      <c r="N28" s="607"/>
      <c r="O28" s="608" t="s">
        <v>163</v>
      </c>
      <c r="P28" s="609">
        <v>1</v>
      </c>
      <c r="Q28" s="592"/>
      <c r="R28" s="574"/>
      <c r="S28" s="141"/>
      <c r="AA28" s="14"/>
      <c r="AB28" s="14"/>
    </row>
    <row r="29" spans="1:28" x14ac:dyDescent="0.2">
      <c r="A29" s="94"/>
      <c r="B29" s="582"/>
      <c r="C29" s="586"/>
      <c r="D29" s="2424"/>
      <c r="E29" s="2426"/>
      <c r="F29" s="581"/>
      <c r="G29" s="84"/>
      <c r="H29" s="411"/>
      <c r="I29" s="412"/>
      <c r="J29" s="408"/>
      <c r="K29" s="408"/>
      <c r="L29" s="409"/>
      <c r="M29" s="413"/>
      <c r="N29" s="410"/>
      <c r="O29" s="77" t="s">
        <v>162</v>
      </c>
      <c r="P29" s="198">
        <v>50</v>
      </c>
      <c r="Q29" s="600">
        <v>50</v>
      </c>
      <c r="R29" s="116"/>
      <c r="AA29" s="14"/>
      <c r="AB29" s="14"/>
    </row>
    <row r="30" spans="1:28" ht="21.75" customHeight="1" x14ac:dyDescent="0.2">
      <c r="A30" s="94"/>
      <c r="B30" s="582"/>
      <c r="C30" s="586"/>
      <c r="D30" s="2340" t="s">
        <v>210</v>
      </c>
      <c r="E30" s="2344" t="s">
        <v>212</v>
      </c>
      <c r="F30" s="538"/>
      <c r="G30" s="539" t="s">
        <v>90</v>
      </c>
      <c r="H30" s="540" t="s">
        <v>36</v>
      </c>
      <c r="I30" s="541">
        <f>J30</f>
        <v>200</v>
      </c>
      <c r="J30" s="377">
        <v>200</v>
      </c>
      <c r="K30" s="542"/>
      <c r="L30" s="543"/>
      <c r="M30" s="544"/>
      <c r="N30" s="545"/>
      <c r="O30" s="2342" t="s">
        <v>211</v>
      </c>
      <c r="P30" s="551">
        <v>0.33</v>
      </c>
      <c r="Q30" s="546"/>
      <c r="R30" s="85"/>
      <c r="AA30" s="14"/>
      <c r="AB30" s="14"/>
    </row>
    <row r="31" spans="1:28" ht="16.5" customHeight="1" x14ac:dyDescent="0.2">
      <c r="A31" s="94"/>
      <c r="B31" s="582"/>
      <c r="C31" s="586"/>
      <c r="D31" s="2341"/>
      <c r="E31" s="2345"/>
      <c r="F31" s="547"/>
      <c r="G31" s="539"/>
      <c r="H31" s="548"/>
      <c r="I31" s="549"/>
      <c r="J31" s="542"/>
      <c r="K31" s="542"/>
      <c r="L31" s="543"/>
      <c r="M31" s="544"/>
      <c r="N31" s="545"/>
      <c r="O31" s="2343"/>
      <c r="P31" s="552"/>
      <c r="Q31" s="546"/>
      <c r="R31" s="85"/>
      <c r="AA31" s="14"/>
      <c r="AB31" s="14"/>
    </row>
    <row r="32" spans="1:28" ht="30.75" customHeight="1" thickBot="1" x14ac:dyDescent="0.25">
      <c r="A32" s="578"/>
      <c r="B32" s="584"/>
      <c r="C32" s="587"/>
      <c r="D32" s="579"/>
      <c r="E32" s="588"/>
      <c r="F32" s="590"/>
      <c r="G32" s="575"/>
      <c r="H32" s="277" t="s">
        <v>10</v>
      </c>
      <c r="I32" s="536" t="s">
        <v>213</v>
      </c>
      <c r="J32" s="550" t="s">
        <v>214</v>
      </c>
      <c r="K32" s="237">
        <f>K13</f>
        <v>0</v>
      </c>
      <c r="L32" s="238">
        <f>L13</f>
        <v>129.9</v>
      </c>
      <c r="M32" s="242">
        <f>M13+M28</f>
        <v>1941.4</v>
      </c>
      <c r="N32" s="236">
        <f>N13</f>
        <v>826.4</v>
      </c>
      <c r="O32" s="331"/>
      <c r="P32" s="553"/>
      <c r="Q32" s="86"/>
      <c r="R32" s="87"/>
      <c r="AA32" s="14"/>
      <c r="AB32" s="14"/>
    </row>
    <row r="33" spans="1:18" x14ac:dyDescent="0.2">
      <c r="A33" s="2412" t="s">
        <v>9</v>
      </c>
      <c r="B33" s="2413" t="s">
        <v>9</v>
      </c>
      <c r="C33" s="2414" t="s">
        <v>11</v>
      </c>
      <c r="D33" s="2415" t="s">
        <v>114</v>
      </c>
      <c r="E33" s="2376"/>
      <c r="F33" s="2380" t="s">
        <v>54</v>
      </c>
      <c r="G33" s="2381" t="s">
        <v>40</v>
      </c>
      <c r="H33" s="16" t="s">
        <v>36</v>
      </c>
      <c r="I33" s="246">
        <f>J33+L33</f>
        <v>6410.1</v>
      </c>
      <c r="J33" s="219">
        <v>6405.6</v>
      </c>
      <c r="K33" s="219"/>
      <c r="L33" s="220">
        <v>4.5</v>
      </c>
      <c r="M33" s="338">
        <f>7481+130</f>
        <v>7611</v>
      </c>
      <c r="N33" s="106">
        <f>7481+130</f>
        <v>7611</v>
      </c>
      <c r="O33" s="330"/>
      <c r="P33" s="598"/>
      <c r="Q33" s="598"/>
      <c r="R33" s="596"/>
    </row>
    <row r="34" spans="1:18" x14ac:dyDescent="0.2">
      <c r="A34" s="2412"/>
      <c r="B34" s="2413"/>
      <c r="C34" s="2414"/>
      <c r="D34" s="2448"/>
      <c r="E34" s="2376"/>
      <c r="F34" s="2380"/>
      <c r="G34" s="2381"/>
      <c r="H34" s="332" t="s">
        <v>61</v>
      </c>
      <c r="I34" s="246">
        <f>J34+L34</f>
        <v>3.5</v>
      </c>
      <c r="J34" s="219">
        <v>3.5</v>
      </c>
      <c r="K34" s="219"/>
      <c r="L34" s="220"/>
      <c r="M34" s="326">
        <v>3.5</v>
      </c>
      <c r="N34" s="337">
        <v>3.5</v>
      </c>
      <c r="O34" s="17"/>
      <c r="P34" s="598"/>
      <c r="Q34" s="598"/>
      <c r="R34" s="596"/>
    </row>
    <row r="35" spans="1:18" ht="18" customHeight="1" x14ac:dyDescent="0.2">
      <c r="A35" s="2412"/>
      <c r="B35" s="2413"/>
      <c r="C35" s="2414"/>
      <c r="D35" s="2445" t="s">
        <v>191</v>
      </c>
      <c r="E35" s="2375"/>
      <c r="F35" s="2435" t="s">
        <v>41</v>
      </c>
      <c r="G35" s="2429"/>
      <c r="H35" s="16"/>
      <c r="I35" s="246"/>
      <c r="J35" s="219"/>
      <c r="K35" s="219"/>
      <c r="L35" s="220"/>
      <c r="M35" s="45"/>
      <c r="N35" s="106"/>
      <c r="O35" s="60" t="s">
        <v>148</v>
      </c>
      <c r="P35" s="597">
        <v>3.7</v>
      </c>
      <c r="Q35" s="597">
        <v>3.7</v>
      </c>
      <c r="R35" s="595">
        <v>3.7</v>
      </c>
    </row>
    <row r="36" spans="1:18" ht="18.75" customHeight="1" x14ac:dyDescent="0.2">
      <c r="A36" s="2412"/>
      <c r="B36" s="2413"/>
      <c r="C36" s="2414"/>
      <c r="D36" s="2444"/>
      <c r="E36" s="2376"/>
      <c r="F36" s="2380"/>
      <c r="G36" s="2381"/>
      <c r="H36" s="332"/>
      <c r="I36" s="246"/>
      <c r="J36" s="219"/>
      <c r="K36" s="219"/>
      <c r="L36" s="220"/>
      <c r="M36" s="69"/>
      <c r="N36" s="103"/>
      <c r="O36" s="17" t="s">
        <v>193</v>
      </c>
      <c r="P36" s="598">
        <v>2.5</v>
      </c>
      <c r="Q36" s="598">
        <v>2.5</v>
      </c>
      <c r="R36" s="596">
        <v>2.5</v>
      </c>
    </row>
    <row r="37" spans="1:18" x14ac:dyDescent="0.2">
      <c r="A37" s="2412"/>
      <c r="B37" s="2413"/>
      <c r="C37" s="2414"/>
      <c r="D37" s="2444"/>
      <c r="E37" s="2376"/>
      <c r="F37" s="2380"/>
      <c r="G37" s="2381"/>
      <c r="H37" s="332"/>
      <c r="I37" s="246"/>
      <c r="J37" s="219"/>
      <c r="K37" s="219"/>
      <c r="L37" s="220"/>
      <c r="M37" s="35"/>
      <c r="N37" s="175"/>
      <c r="O37" s="2436" t="s">
        <v>98</v>
      </c>
      <c r="P37" s="2440">
        <v>20</v>
      </c>
      <c r="Q37" s="2440">
        <v>20</v>
      </c>
      <c r="R37" s="2442">
        <v>20</v>
      </c>
    </row>
    <row r="38" spans="1:18" x14ac:dyDescent="0.2">
      <c r="A38" s="2412"/>
      <c r="B38" s="2413"/>
      <c r="C38" s="2414"/>
      <c r="D38" s="2446"/>
      <c r="E38" s="2377"/>
      <c r="F38" s="2447"/>
      <c r="G38" s="2430"/>
      <c r="H38" s="334"/>
      <c r="I38" s="335"/>
      <c r="J38" s="321"/>
      <c r="K38" s="321"/>
      <c r="L38" s="336"/>
      <c r="M38" s="324"/>
      <c r="N38" s="329"/>
      <c r="O38" s="2439"/>
      <c r="P38" s="2441"/>
      <c r="Q38" s="2441"/>
      <c r="R38" s="2443"/>
    </row>
    <row r="39" spans="1:18" ht="18" customHeight="1" x14ac:dyDescent="0.2">
      <c r="A39" s="2412"/>
      <c r="B39" s="2413"/>
      <c r="C39" s="2414"/>
      <c r="D39" s="2444" t="s">
        <v>56</v>
      </c>
      <c r="E39" s="2376"/>
      <c r="F39" s="2380"/>
      <c r="G39" s="2381"/>
      <c r="H39" s="332"/>
      <c r="I39" s="246"/>
      <c r="J39" s="219"/>
      <c r="K39" s="219"/>
      <c r="L39" s="220"/>
      <c r="M39" s="326"/>
      <c r="N39" s="337"/>
      <c r="O39" s="580" t="s">
        <v>58</v>
      </c>
      <c r="P39" s="593">
        <v>44</v>
      </c>
      <c r="Q39" s="593">
        <v>44</v>
      </c>
      <c r="R39" s="594">
        <v>44</v>
      </c>
    </row>
    <row r="40" spans="1:18" x14ac:dyDescent="0.2">
      <c r="A40" s="2412"/>
      <c r="B40" s="2413"/>
      <c r="C40" s="2414"/>
      <c r="D40" s="2444"/>
      <c r="E40" s="2376"/>
      <c r="F40" s="2380"/>
      <c r="G40" s="2381"/>
      <c r="H40" s="332"/>
      <c r="I40" s="246"/>
      <c r="J40" s="219"/>
      <c r="K40" s="219"/>
      <c r="L40" s="220"/>
      <c r="M40" s="314"/>
      <c r="N40" s="328"/>
      <c r="O40" s="2436" t="s">
        <v>194</v>
      </c>
      <c r="P40" s="2440">
        <v>387</v>
      </c>
      <c r="Q40" s="2440">
        <v>387</v>
      </c>
      <c r="R40" s="2442">
        <v>387</v>
      </c>
    </row>
    <row r="41" spans="1:18" x14ac:dyDescent="0.2">
      <c r="A41" s="2412"/>
      <c r="B41" s="2413"/>
      <c r="C41" s="2414"/>
      <c r="D41" s="2444"/>
      <c r="E41" s="2376"/>
      <c r="F41" s="2380"/>
      <c r="G41" s="2381"/>
      <c r="H41" s="407"/>
      <c r="I41" s="414"/>
      <c r="J41" s="408"/>
      <c r="K41" s="408"/>
      <c r="L41" s="415"/>
      <c r="M41" s="410"/>
      <c r="N41" s="416"/>
      <c r="O41" s="2436"/>
      <c r="P41" s="2441"/>
      <c r="Q41" s="2441"/>
      <c r="R41" s="2443"/>
    </row>
    <row r="42" spans="1:18" ht="27.75" customHeight="1" x14ac:dyDescent="0.2">
      <c r="A42" s="577"/>
      <c r="B42" s="582"/>
      <c r="C42" s="586"/>
      <c r="D42" s="2445" t="s">
        <v>99</v>
      </c>
      <c r="E42" s="2375"/>
      <c r="F42" s="2435"/>
      <c r="G42" s="2429"/>
      <c r="H42" s="16" t="s">
        <v>36</v>
      </c>
      <c r="I42" s="246">
        <f>J42+L42</f>
        <v>114.5</v>
      </c>
      <c r="J42" s="219">
        <v>114.5</v>
      </c>
      <c r="K42" s="219"/>
      <c r="L42" s="220"/>
      <c r="M42" s="45"/>
      <c r="N42" s="106"/>
      <c r="O42" s="114" t="s">
        <v>149</v>
      </c>
      <c r="P42" s="115">
        <v>2.5</v>
      </c>
      <c r="Q42" s="67">
        <v>3</v>
      </c>
      <c r="R42" s="68">
        <v>3</v>
      </c>
    </row>
    <row r="43" spans="1:18" ht="18.75" customHeight="1" x14ac:dyDescent="0.2">
      <c r="A43" s="577"/>
      <c r="B43" s="582"/>
      <c r="C43" s="586"/>
      <c r="D43" s="2444"/>
      <c r="E43" s="2376"/>
      <c r="F43" s="2380"/>
      <c r="G43" s="2381"/>
      <c r="H43" s="145" t="s">
        <v>181</v>
      </c>
      <c r="I43" s="215">
        <f>J43+L43</f>
        <v>15</v>
      </c>
      <c r="J43" s="216">
        <v>15</v>
      </c>
      <c r="K43" s="216"/>
      <c r="L43" s="217"/>
      <c r="M43" s="65"/>
      <c r="N43" s="105"/>
      <c r="O43" s="2433" t="s">
        <v>101</v>
      </c>
      <c r="P43" s="333">
        <v>1</v>
      </c>
      <c r="Q43" s="509">
        <v>1</v>
      </c>
      <c r="R43" s="508">
        <v>1</v>
      </c>
    </row>
    <row r="44" spans="1:18" ht="19.5" customHeight="1" thickBot="1" x14ac:dyDescent="0.25">
      <c r="A44" s="94"/>
      <c r="B44" s="582"/>
      <c r="C44" s="586"/>
      <c r="D44" s="2444"/>
      <c r="E44" s="2376"/>
      <c r="F44" s="2380"/>
      <c r="G44" s="2381"/>
      <c r="H44" s="279" t="s">
        <v>10</v>
      </c>
      <c r="I44" s="226">
        <f>I42+I34+I33+I43</f>
        <v>6543.1</v>
      </c>
      <c r="J44" s="226">
        <f>J42+J34+J33+J43</f>
        <v>6538.6</v>
      </c>
      <c r="K44" s="226">
        <f>K42+K34+K33</f>
        <v>0</v>
      </c>
      <c r="L44" s="275">
        <f>L42+L34+L33</f>
        <v>4.5</v>
      </c>
      <c r="M44" s="276">
        <f>M42+M34+M33</f>
        <v>7614.5</v>
      </c>
      <c r="N44" s="226">
        <f>N42+N34+N33</f>
        <v>7614.5</v>
      </c>
      <c r="O44" s="2449"/>
      <c r="P44" s="591"/>
      <c r="Q44" s="593"/>
      <c r="R44" s="594"/>
    </row>
    <row r="45" spans="1:18" ht="12.75" customHeight="1" x14ac:dyDescent="0.2">
      <c r="A45" s="2457" t="s">
        <v>9</v>
      </c>
      <c r="B45" s="2458" t="s">
        <v>9</v>
      </c>
      <c r="C45" s="2459" t="s">
        <v>38</v>
      </c>
      <c r="D45" s="2460" t="s">
        <v>115</v>
      </c>
      <c r="E45" s="2462" t="s">
        <v>170</v>
      </c>
      <c r="F45" s="2450" t="s">
        <v>41</v>
      </c>
      <c r="G45" s="2451" t="s">
        <v>40</v>
      </c>
      <c r="H45" s="15" t="s">
        <v>36</v>
      </c>
      <c r="I45" s="228">
        <f>J45+L45</f>
        <v>1355.2</v>
      </c>
      <c r="J45" s="228">
        <f>1292.2+10</f>
        <v>1302.2</v>
      </c>
      <c r="K45" s="228">
        <v>710.7</v>
      </c>
      <c r="L45" s="381">
        <f>63-10</f>
        <v>53</v>
      </c>
      <c r="M45" s="383">
        <v>1592.1</v>
      </c>
      <c r="N45" s="341">
        <v>1146.0999999999999</v>
      </c>
      <c r="O45" s="576"/>
      <c r="P45" s="126"/>
      <c r="Q45" s="126"/>
      <c r="R45" s="37"/>
    </row>
    <row r="46" spans="1:18" x14ac:dyDescent="0.2">
      <c r="A46" s="2412"/>
      <c r="B46" s="2413"/>
      <c r="C46" s="2414"/>
      <c r="D46" s="2461"/>
      <c r="E46" s="2376"/>
      <c r="F46" s="2380"/>
      <c r="G46" s="2381"/>
      <c r="H46" s="16" t="s">
        <v>61</v>
      </c>
      <c r="I46" s="246">
        <f>J46+L46</f>
        <v>116.2</v>
      </c>
      <c r="J46" s="246">
        <v>116.2</v>
      </c>
      <c r="K46" s="246">
        <v>31.7</v>
      </c>
      <c r="L46" s="376">
        <f>L51+L53+L56</f>
        <v>0</v>
      </c>
      <c r="M46" s="314">
        <v>115.8</v>
      </c>
      <c r="N46" s="328">
        <v>115.8</v>
      </c>
      <c r="O46" s="580"/>
      <c r="P46" s="598"/>
      <c r="Q46" s="598"/>
      <c r="R46" s="596"/>
    </row>
    <row r="47" spans="1:18" ht="21" customHeight="1" x14ac:dyDescent="0.2">
      <c r="A47" s="2412"/>
      <c r="B47" s="2413"/>
      <c r="C47" s="2414"/>
      <c r="D47" s="2445" t="s">
        <v>164</v>
      </c>
      <c r="E47" s="2463"/>
      <c r="F47" s="2380"/>
      <c r="G47" s="2381"/>
      <c r="H47" s="16"/>
      <c r="I47" s="246"/>
      <c r="J47" s="219"/>
      <c r="K47" s="219"/>
      <c r="L47" s="220"/>
      <c r="M47" s="45"/>
      <c r="N47" s="106"/>
      <c r="O47" s="60" t="s">
        <v>86</v>
      </c>
      <c r="P47" s="597">
        <v>0.2</v>
      </c>
      <c r="Q47" s="597">
        <v>0.2</v>
      </c>
      <c r="R47" s="595">
        <v>0.2</v>
      </c>
    </row>
    <row r="48" spans="1:18" ht="14.25" customHeight="1" x14ac:dyDescent="0.2">
      <c r="A48" s="2412"/>
      <c r="B48" s="2413"/>
      <c r="C48" s="2414"/>
      <c r="D48" s="2444"/>
      <c r="E48" s="2463"/>
      <c r="F48" s="2380"/>
      <c r="G48" s="2381"/>
      <c r="H48" s="16"/>
      <c r="I48" s="246"/>
      <c r="J48" s="219"/>
      <c r="K48" s="219"/>
      <c r="L48" s="220"/>
      <c r="M48" s="45"/>
      <c r="N48" s="106"/>
      <c r="O48" s="2436" t="s">
        <v>87</v>
      </c>
      <c r="P48" s="598">
        <v>0.1</v>
      </c>
      <c r="Q48" s="598">
        <v>0.1</v>
      </c>
      <c r="R48" s="596">
        <v>0.1</v>
      </c>
    </row>
    <row r="49" spans="1:21" ht="29.25" customHeight="1" thickBot="1" x14ac:dyDescent="0.25">
      <c r="A49" s="2452"/>
      <c r="B49" s="2453"/>
      <c r="C49" s="2454"/>
      <c r="D49" s="2455"/>
      <c r="E49" s="2464"/>
      <c r="F49" s="2456"/>
      <c r="G49" s="2465"/>
      <c r="H49" s="564"/>
      <c r="I49" s="270"/>
      <c r="J49" s="565"/>
      <c r="K49" s="565"/>
      <c r="L49" s="566"/>
      <c r="M49" s="567"/>
      <c r="N49" s="568"/>
      <c r="O49" s="2466"/>
      <c r="P49" s="507"/>
      <c r="Q49" s="507"/>
      <c r="R49" s="506"/>
    </row>
    <row r="50" spans="1:21" ht="12.75" customHeight="1" x14ac:dyDescent="0.2">
      <c r="A50" s="2457"/>
      <c r="B50" s="2458"/>
      <c r="C50" s="2459"/>
      <c r="D50" s="2467" t="s">
        <v>59</v>
      </c>
      <c r="E50" s="2462"/>
      <c r="F50" s="2450"/>
      <c r="G50" s="2451"/>
      <c r="H50" s="339"/>
      <c r="I50" s="340"/>
      <c r="J50" s="268"/>
      <c r="K50" s="268"/>
      <c r="L50" s="269"/>
      <c r="M50" s="338"/>
      <c r="N50" s="563"/>
      <c r="O50" s="2470" t="s">
        <v>60</v>
      </c>
      <c r="P50" s="493">
        <v>3</v>
      </c>
      <c r="Q50" s="493">
        <v>3</v>
      </c>
      <c r="R50" s="495">
        <v>3</v>
      </c>
    </row>
    <row r="51" spans="1:21" x14ac:dyDescent="0.2">
      <c r="A51" s="2412"/>
      <c r="B51" s="2413"/>
      <c r="C51" s="2414"/>
      <c r="D51" s="2444"/>
      <c r="E51" s="2376"/>
      <c r="F51" s="2380"/>
      <c r="G51" s="2381"/>
      <c r="H51" s="16"/>
      <c r="I51" s="246"/>
      <c r="J51" s="219"/>
      <c r="K51" s="219"/>
      <c r="L51" s="220"/>
      <c r="M51" s="45"/>
      <c r="N51" s="106"/>
      <c r="O51" s="2436"/>
      <c r="P51" s="494"/>
      <c r="Q51" s="494"/>
      <c r="R51" s="496"/>
    </row>
    <row r="52" spans="1:21" x14ac:dyDescent="0.2">
      <c r="A52" s="2412"/>
      <c r="B52" s="2413"/>
      <c r="C52" s="2414"/>
      <c r="D52" s="2445" t="s">
        <v>144</v>
      </c>
      <c r="E52" s="2376"/>
      <c r="F52" s="2380"/>
      <c r="G52" s="2381"/>
      <c r="H52" s="16"/>
      <c r="I52" s="246"/>
      <c r="J52" s="219"/>
      <c r="K52" s="219"/>
      <c r="L52" s="220"/>
      <c r="M52" s="45"/>
      <c r="N52" s="106"/>
      <c r="O52" s="2433" t="s">
        <v>195</v>
      </c>
      <c r="P52" s="509">
        <v>2</v>
      </c>
      <c r="Q52" s="509">
        <v>2</v>
      </c>
      <c r="R52" s="508">
        <v>2</v>
      </c>
    </row>
    <row r="53" spans="1:21" x14ac:dyDescent="0.2">
      <c r="A53" s="2412"/>
      <c r="B53" s="2413"/>
      <c r="C53" s="2414"/>
      <c r="D53" s="2446"/>
      <c r="E53" s="2377"/>
      <c r="F53" s="2447"/>
      <c r="G53" s="2430"/>
      <c r="H53" s="145"/>
      <c r="I53" s="215"/>
      <c r="J53" s="216"/>
      <c r="K53" s="216"/>
      <c r="L53" s="217"/>
      <c r="M53" s="65"/>
      <c r="N53" s="105"/>
      <c r="O53" s="2439"/>
      <c r="P53" s="503"/>
      <c r="Q53" s="503"/>
      <c r="R53" s="504"/>
    </row>
    <row r="54" spans="1:21" x14ac:dyDescent="0.2">
      <c r="A54" s="477"/>
      <c r="B54" s="488"/>
      <c r="C54" s="491"/>
      <c r="D54" s="2445" t="s">
        <v>205</v>
      </c>
      <c r="E54" s="501"/>
      <c r="F54" s="502" t="s">
        <v>38</v>
      </c>
      <c r="G54" s="479"/>
      <c r="H54" s="12"/>
      <c r="I54" s="359"/>
      <c r="J54" s="224"/>
      <c r="K54" s="224"/>
      <c r="L54" s="225"/>
      <c r="M54" s="356"/>
      <c r="N54" s="357"/>
      <c r="O54" s="2433" t="s">
        <v>63</v>
      </c>
      <c r="P54" s="498">
        <v>15.5</v>
      </c>
      <c r="Q54" s="498">
        <v>15.5</v>
      </c>
      <c r="R54" s="497">
        <v>15.5</v>
      </c>
    </row>
    <row r="55" spans="1:21" x14ac:dyDescent="0.2">
      <c r="A55" s="477"/>
      <c r="B55" s="488"/>
      <c r="C55" s="491"/>
      <c r="D55" s="2468"/>
      <c r="E55" s="492"/>
      <c r="F55" s="484"/>
      <c r="G55" s="474"/>
      <c r="H55" s="16"/>
      <c r="I55" s="316"/>
      <c r="J55" s="219"/>
      <c r="K55" s="219"/>
      <c r="L55" s="220"/>
      <c r="M55" s="45"/>
      <c r="N55" s="106"/>
      <c r="O55" s="2436"/>
      <c r="P55" s="494"/>
      <c r="Q55" s="494"/>
      <c r="R55" s="496"/>
      <c r="U55" s="88"/>
    </row>
    <row r="56" spans="1:21" ht="25.5" x14ac:dyDescent="0.2">
      <c r="A56" s="477"/>
      <c r="B56" s="488"/>
      <c r="C56" s="491"/>
      <c r="D56" s="2469"/>
      <c r="E56" s="500"/>
      <c r="F56" s="485"/>
      <c r="G56" s="486"/>
      <c r="H56" s="145"/>
      <c r="I56" s="231"/>
      <c r="J56" s="216"/>
      <c r="K56" s="216"/>
      <c r="L56" s="217"/>
      <c r="M56" s="36"/>
      <c r="N56" s="382"/>
      <c r="O56" s="66" t="s">
        <v>62</v>
      </c>
      <c r="P56" s="67">
        <v>102</v>
      </c>
      <c r="Q56" s="67">
        <v>102</v>
      </c>
      <c r="R56" s="68">
        <v>102</v>
      </c>
      <c r="U56" s="88"/>
    </row>
    <row r="57" spans="1:21" ht="25.5" x14ac:dyDescent="0.2">
      <c r="A57" s="477"/>
      <c r="B57" s="488"/>
      <c r="C57" s="491"/>
      <c r="D57" s="489" t="s">
        <v>160</v>
      </c>
      <c r="E57" s="492"/>
      <c r="F57" s="484"/>
      <c r="G57" s="474"/>
      <c r="H57" s="16"/>
      <c r="I57" s="316"/>
      <c r="J57" s="219"/>
      <c r="K57" s="219"/>
      <c r="L57" s="220"/>
      <c r="M57" s="35"/>
      <c r="N57" s="175"/>
      <c r="O57" s="487" t="s">
        <v>152</v>
      </c>
      <c r="P57" s="503">
        <v>1</v>
      </c>
      <c r="Q57" s="503"/>
      <c r="R57" s="504"/>
    </row>
    <row r="58" spans="1:21" x14ac:dyDescent="0.2">
      <c r="A58" s="294"/>
      <c r="B58" s="308"/>
      <c r="C58" s="315"/>
      <c r="D58" s="118" t="s">
        <v>153</v>
      </c>
      <c r="E58" s="296"/>
      <c r="F58" s="298"/>
      <c r="G58" s="292"/>
      <c r="H58" s="16"/>
      <c r="I58" s="316"/>
      <c r="J58" s="219"/>
      <c r="K58" s="219"/>
      <c r="L58" s="220"/>
      <c r="M58" s="35"/>
      <c r="N58" s="175"/>
      <c r="O58" s="66" t="s">
        <v>151</v>
      </c>
      <c r="P58" s="67">
        <v>1</v>
      </c>
      <c r="Q58" s="67"/>
      <c r="R58" s="68"/>
    </row>
    <row r="59" spans="1:21" ht="14.25" customHeight="1" x14ac:dyDescent="0.2">
      <c r="A59" s="294"/>
      <c r="B59" s="308"/>
      <c r="C59" s="315"/>
      <c r="D59" s="133" t="s">
        <v>156</v>
      </c>
      <c r="E59" s="296"/>
      <c r="F59" s="298"/>
      <c r="G59" s="292"/>
      <c r="H59" s="332"/>
      <c r="I59" s="316"/>
      <c r="J59" s="219"/>
      <c r="K59" s="219"/>
      <c r="L59" s="220"/>
      <c r="M59" s="35"/>
      <c r="N59" s="175"/>
      <c r="O59" s="2433" t="s">
        <v>204</v>
      </c>
      <c r="P59" s="306"/>
      <c r="Q59" s="306">
        <v>10</v>
      </c>
      <c r="R59" s="302">
        <v>90</v>
      </c>
    </row>
    <row r="60" spans="1:21" ht="15" customHeight="1" x14ac:dyDescent="0.2">
      <c r="A60" s="294"/>
      <c r="B60" s="308"/>
      <c r="C60" s="315"/>
      <c r="D60" s="2444"/>
      <c r="E60" s="296"/>
      <c r="F60" s="298"/>
      <c r="G60" s="292"/>
      <c r="H60" s="145"/>
      <c r="I60" s="231"/>
      <c r="J60" s="216"/>
      <c r="K60" s="216"/>
      <c r="L60" s="217"/>
      <c r="M60" s="36"/>
      <c r="N60" s="382"/>
      <c r="O60" s="2439"/>
      <c r="P60" s="305"/>
      <c r="Q60" s="305"/>
      <c r="R60" s="301"/>
    </row>
    <row r="61" spans="1:21" ht="27" customHeight="1" thickBot="1" x14ac:dyDescent="0.25">
      <c r="A61" s="295"/>
      <c r="B61" s="309"/>
      <c r="C61" s="342"/>
      <c r="D61" s="2455"/>
      <c r="E61" s="297"/>
      <c r="F61" s="299"/>
      <c r="G61" s="293"/>
      <c r="H61" s="280" t="s">
        <v>10</v>
      </c>
      <c r="I61" s="285">
        <f t="shared" ref="I61:N61" si="0">I45+I46</f>
        <v>1471.4</v>
      </c>
      <c r="J61" s="237">
        <f t="shared" si="0"/>
        <v>1418.4</v>
      </c>
      <c r="K61" s="237">
        <f t="shared" si="0"/>
        <v>742.4</v>
      </c>
      <c r="L61" s="247">
        <f t="shared" si="0"/>
        <v>53</v>
      </c>
      <c r="M61" s="278">
        <f t="shared" si="0"/>
        <v>1707.9</v>
      </c>
      <c r="N61" s="247">
        <f t="shared" si="0"/>
        <v>1261.9000000000001</v>
      </c>
      <c r="O61" s="310"/>
      <c r="P61" s="142"/>
      <c r="Q61" s="142"/>
      <c r="R61" s="34"/>
    </row>
    <row r="62" spans="1:21" ht="15" customHeight="1" x14ac:dyDescent="0.2">
      <c r="A62" s="2457" t="s">
        <v>9</v>
      </c>
      <c r="B62" s="2458" t="s">
        <v>9</v>
      </c>
      <c r="C62" s="2459" t="s">
        <v>53</v>
      </c>
      <c r="D62" s="2460" t="s">
        <v>116</v>
      </c>
      <c r="E62" s="2462"/>
      <c r="F62" s="2450" t="s">
        <v>41</v>
      </c>
      <c r="G62" s="2451" t="s">
        <v>40</v>
      </c>
      <c r="H62" s="339" t="s">
        <v>36</v>
      </c>
      <c r="I62" s="340">
        <f>J62</f>
        <v>6017.6</v>
      </c>
      <c r="J62" s="340">
        <v>6017.6</v>
      </c>
      <c r="K62" s="340">
        <f>K64+K67</f>
        <v>0</v>
      </c>
      <c r="L62" s="345">
        <f>L64+L67</f>
        <v>0</v>
      </c>
      <c r="M62" s="344">
        <v>7827.6</v>
      </c>
      <c r="N62" s="346">
        <v>8062</v>
      </c>
      <c r="O62" s="2470"/>
      <c r="P62" s="2471"/>
      <c r="Q62" s="2471"/>
      <c r="R62" s="2472"/>
    </row>
    <row r="63" spans="1:21" x14ac:dyDescent="0.2">
      <c r="A63" s="2412"/>
      <c r="B63" s="2413"/>
      <c r="C63" s="2414"/>
      <c r="D63" s="2461"/>
      <c r="E63" s="2376"/>
      <c r="F63" s="2380"/>
      <c r="G63" s="2381"/>
      <c r="H63" s="16"/>
      <c r="I63" s="246"/>
      <c r="J63" s="219"/>
      <c r="K63" s="219"/>
      <c r="L63" s="220"/>
      <c r="M63" s="45"/>
      <c r="N63" s="106"/>
      <c r="O63" s="2436"/>
      <c r="P63" s="2440"/>
      <c r="Q63" s="2440"/>
      <c r="R63" s="2442"/>
    </row>
    <row r="64" spans="1:21" ht="12.75" customHeight="1" x14ac:dyDescent="0.2">
      <c r="A64" s="2412"/>
      <c r="B64" s="2413"/>
      <c r="C64" s="2414"/>
      <c r="D64" s="2445" t="s">
        <v>65</v>
      </c>
      <c r="E64" s="2376"/>
      <c r="F64" s="2380"/>
      <c r="G64" s="2381"/>
      <c r="H64" s="16"/>
      <c r="I64" s="246"/>
      <c r="J64" s="219"/>
      <c r="K64" s="219"/>
      <c r="L64" s="220"/>
      <c r="M64" s="45"/>
      <c r="N64" s="106"/>
      <c r="O64" s="2433" t="s">
        <v>100</v>
      </c>
      <c r="P64" s="2476">
        <v>7.7</v>
      </c>
      <c r="Q64" s="2476">
        <v>7.8</v>
      </c>
      <c r="R64" s="2473">
        <v>7.8</v>
      </c>
    </row>
    <row r="65" spans="1:19" x14ac:dyDescent="0.2">
      <c r="A65" s="2412"/>
      <c r="B65" s="2413"/>
      <c r="C65" s="2414"/>
      <c r="D65" s="2444"/>
      <c r="E65" s="2376"/>
      <c r="F65" s="2380"/>
      <c r="G65" s="2381"/>
      <c r="H65" s="16"/>
      <c r="I65" s="246"/>
      <c r="J65" s="219"/>
      <c r="K65" s="219"/>
      <c r="L65" s="220"/>
      <c r="M65" s="45"/>
      <c r="N65" s="106"/>
      <c r="O65" s="2436"/>
      <c r="P65" s="2477"/>
      <c r="Q65" s="2477"/>
      <c r="R65" s="2474"/>
    </row>
    <row r="66" spans="1:19" x14ac:dyDescent="0.2">
      <c r="A66" s="2412"/>
      <c r="B66" s="2413"/>
      <c r="C66" s="2414"/>
      <c r="D66" s="2444"/>
      <c r="E66" s="2376"/>
      <c r="F66" s="2380"/>
      <c r="G66" s="2381"/>
      <c r="H66" s="347"/>
      <c r="I66" s="335"/>
      <c r="J66" s="321"/>
      <c r="K66" s="321"/>
      <c r="L66" s="336"/>
      <c r="M66" s="348"/>
      <c r="N66" s="349"/>
      <c r="O66" s="61"/>
      <c r="P66" s="503"/>
      <c r="Q66" s="503"/>
      <c r="R66" s="504"/>
    </row>
    <row r="67" spans="1:19" ht="12.75" customHeight="1" x14ac:dyDescent="0.2">
      <c r="A67" s="2412"/>
      <c r="B67" s="2413"/>
      <c r="C67" s="2414"/>
      <c r="D67" s="2445" t="s">
        <v>64</v>
      </c>
      <c r="E67" s="2475" t="s">
        <v>184</v>
      </c>
      <c r="F67" s="2380"/>
      <c r="G67" s="2381"/>
      <c r="H67" s="16"/>
      <c r="I67" s="246"/>
      <c r="J67" s="219"/>
      <c r="K67" s="219"/>
      <c r="L67" s="220"/>
      <c r="M67" s="45"/>
      <c r="N67" s="106"/>
      <c r="O67" s="2436" t="s">
        <v>196</v>
      </c>
      <c r="P67" s="2478">
        <v>14.2</v>
      </c>
      <c r="Q67" s="2478">
        <v>14.4</v>
      </c>
      <c r="R67" s="2479">
        <v>14.6</v>
      </c>
    </row>
    <row r="68" spans="1:19" x14ac:dyDescent="0.2">
      <c r="A68" s="2412"/>
      <c r="B68" s="2413"/>
      <c r="C68" s="2414"/>
      <c r="D68" s="2444"/>
      <c r="E68" s="2475"/>
      <c r="F68" s="2380"/>
      <c r="G68" s="2381"/>
      <c r="H68" s="16"/>
      <c r="I68" s="246"/>
      <c r="J68" s="219"/>
      <c r="K68" s="219"/>
      <c r="L68" s="220"/>
      <c r="M68" s="45"/>
      <c r="N68" s="106"/>
      <c r="O68" s="2436"/>
      <c r="P68" s="2478"/>
      <c r="Q68" s="2478"/>
      <c r="R68" s="2479"/>
    </row>
    <row r="69" spans="1:19" ht="17.25" customHeight="1" x14ac:dyDescent="0.2">
      <c r="A69" s="2412"/>
      <c r="B69" s="2413"/>
      <c r="C69" s="2414"/>
      <c r="D69" s="2444"/>
      <c r="E69" s="2475"/>
      <c r="F69" s="2380"/>
      <c r="G69" s="2381"/>
      <c r="H69" s="16"/>
      <c r="I69" s="246"/>
      <c r="J69" s="219"/>
      <c r="K69" s="219"/>
      <c r="L69" s="220"/>
      <c r="M69" s="35"/>
      <c r="N69" s="175"/>
      <c r="O69" s="17" t="s">
        <v>145</v>
      </c>
      <c r="P69" s="107">
        <v>420</v>
      </c>
      <c r="Q69" s="107">
        <v>0</v>
      </c>
      <c r="R69" s="108">
        <v>0</v>
      </c>
    </row>
    <row r="70" spans="1:19" x14ac:dyDescent="0.2">
      <c r="A70" s="2412"/>
      <c r="B70" s="2413"/>
      <c r="C70" s="2414"/>
      <c r="D70" s="2446"/>
      <c r="E70" s="2475"/>
      <c r="F70" s="2380"/>
      <c r="G70" s="2381"/>
      <c r="H70" s="347"/>
      <c r="I70" s="335"/>
      <c r="J70" s="321"/>
      <c r="K70" s="321"/>
      <c r="L70" s="336"/>
      <c r="M70" s="348"/>
      <c r="N70" s="349"/>
      <c r="O70" s="61" t="s">
        <v>197</v>
      </c>
      <c r="P70" s="503">
        <v>89</v>
      </c>
      <c r="Q70" s="503">
        <v>100</v>
      </c>
      <c r="R70" s="504">
        <v>100</v>
      </c>
    </row>
    <row r="71" spans="1:19" x14ac:dyDescent="0.2">
      <c r="A71" s="2412"/>
      <c r="B71" s="2413"/>
      <c r="C71" s="2414"/>
      <c r="D71" s="2444" t="s">
        <v>66</v>
      </c>
      <c r="E71" s="2376"/>
      <c r="F71" s="2380"/>
      <c r="G71" s="2381"/>
      <c r="H71" s="16"/>
      <c r="I71" s="246"/>
      <c r="J71" s="219"/>
      <c r="K71" s="219"/>
      <c r="L71" s="220"/>
      <c r="M71" s="45"/>
      <c r="N71" s="106"/>
      <c r="O71" s="60" t="s">
        <v>102</v>
      </c>
      <c r="P71" s="509"/>
      <c r="Q71" s="509">
        <v>27</v>
      </c>
      <c r="R71" s="508"/>
    </row>
    <row r="72" spans="1:19" x14ac:dyDescent="0.2">
      <c r="A72" s="2412"/>
      <c r="B72" s="2413"/>
      <c r="C72" s="2414"/>
      <c r="D72" s="2446"/>
      <c r="E72" s="2376"/>
      <c r="F72" s="2380"/>
      <c r="G72" s="2381"/>
      <c r="H72" s="347"/>
      <c r="I72" s="335"/>
      <c r="J72" s="321"/>
      <c r="K72" s="321"/>
      <c r="L72" s="336"/>
      <c r="M72" s="348"/>
      <c r="N72" s="349"/>
      <c r="O72" s="61"/>
      <c r="P72" s="503"/>
      <c r="Q72" s="503"/>
      <c r="R72" s="504"/>
    </row>
    <row r="73" spans="1:19" x14ac:dyDescent="0.2">
      <c r="A73" s="2412"/>
      <c r="B73" s="2413"/>
      <c r="C73" s="2414"/>
      <c r="D73" s="2444" t="s">
        <v>67</v>
      </c>
      <c r="E73" s="2376"/>
      <c r="F73" s="2380"/>
      <c r="G73" s="2381"/>
      <c r="H73" s="12" t="s">
        <v>94</v>
      </c>
      <c r="I73" s="218">
        <f>J73</f>
        <v>2038</v>
      </c>
      <c r="J73" s="224">
        <v>2038</v>
      </c>
      <c r="K73" s="224"/>
      <c r="L73" s="225"/>
      <c r="M73" s="356"/>
      <c r="N73" s="357"/>
      <c r="O73" s="17" t="s">
        <v>68</v>
      </c>
      <c r="P73" s="494"/>
      <c r="Q73" s="494">
        <v>94</v>
      </c>
      <c r="R73" s="496"/>
    </row>
    <row r="74" spans="1:19" ht="18" customHeight="1" thickBot="1" x14ac:dyDescent="0.25">
      <c r="A74" s="2452"/>
      <c r="B74" s="2453"/>
      <c r="C74" s="2454"/>
      <c r="D74" s="2455"/>
      <c r="E74" s="2480"/>
      <c r="F74" s="2456"/>
      <c r="G74" s="2465"/>
      <c r="H74" s="564"/>
      <c r="I74" s="270"/>
      <c r="J74" s="565"/>
      <c r="K74" s="565"/>
      <c r="L74" s="566"/>
      <c r="M74" s="567"/>
      <c r="N74" s="568"/>
      <c r="O74" s="18"/>
      <c r="P74" s="507"/>
      <c r="Q74" s="507"/>
      <c r="R74" s="506"/>
    </row>
    <row r="75" spans="1:19" ht="25.5" customHeight="1" x14ac:dyDescent="0.2">
      <c r="A75" s="294"/>
      <c r="B75" s="308"/>
      <c r="C75" s="315"/>
      <c r="D75" s="489" t="s">
        <v>132</v>
      </c>
      <c r="E75" s="296"/>
      <c r="F75" s="298"/>
      <c r="G75" s="292"/>
      <c r="H75" s="16"/>
      <c r="I75" s="246"/>
      <c r="J75" s="219"/>
      <c r="K75" s="219"/>
      <c r="L75" s="220"/>
      <c r="M75" s="45"/>
      <c r="N75" s="106"/>
      <c r="O75" s="61" t="s">
        <v>117</v>
      </c>
      <c r="P75" s="503"/>
      <c r="Q75" s="503">
        <v>33</v>
      </c>
      <c r="R75" s="504">
        <v>33</v>
      </c>
    </row>
    <row r="76" spans="1:19" ht="17.25" customHeight="1" x14ac:dyDescent="0.2">
      <c r="A76" s="2412"/>
      <c r="B76" s="2413"/>
      <c r="C76" s="2414"/>
      <c r="D76" s="2444" t="s">
        <v>133</v>
      </c>
      <c r="E76" s="2376"/>
      <c r="F76" s="2380"/>
      <c r="G76" s="2381"/>
      <c r="H76" s="145"/>
      <c r="I76" s="215"/>
      <c r="J76" s="216"/>
      <c r="K76" s="216"/>
      <c r="L76" s="217"/>
      <c r="M76" s="65"/>
      <c r="N76" s="105"/>
      <c r="O76" s="2436" t="s">
        <v>69</v>
      </c>
      <c r="P76" s="307"/>
      <c r="Q76" s="307">
        <v>9</v>
      </c>
      <c r="R76" s="303">
        <v>7</v>
      </c>
    </row>
    <row r="77" spans="1:19" ht="24.75" customHeight="1" thickBot="1" x14ac:dyDescent="0.25">
      <c r="A77" s="2452"/>
      <c r="B77" s="2453"/>
      <c r="C77" s="2454"/>
      <c r="D77" s="2455"/>
      <c r="E77" s="2480"/>
      <c r="F77" s="2456"/>
      <c r="G77" s="2465"/>
      <c r="H77" s="280" t="s">
        <v>10</v>
      </c>
      <c r="I77" s="242">
        <f>I62+I73</f>
        <v>8055.6</v>
      </c>
      <c r="J77" s="237">
        <f>J62+J73</f>
        <v>8055.6</v>
      </c>
      <c r="K77" s="237">
        <f>SUM(K76:K76)</f>
        <v>0</v>
      </c>
      <c r="L77" s="241">
        <f>SUM(L76:L76)</f>
        <v>0</v>
      </c>
      <c r="M77" s="278">
        <f>M62</f>
        <v>7827.6</v>
      </c>
      <c r="N77" s="245">
        <f>N62</f>
        <v>8062</v>
      </c>
      <c r="O77" s="2466"/>
      <c r="P77" s="142"/>
      <c r="Q77" s="142"/>
      <c r="R77" s="34"/>
    </row>
    <row r="78" spans="1:19" ht="19.5" customHeight="1" x14ac:dyDescent="0.2">
      <c r="A78" s="2457" t="s">
        <v>9</v>
      </c>
      <c r="B78" s="2458" t="s">
        <v>9</v>
      </c>
      <c r="C78" s="2459" t="s">
        <v>54</v>
      </c>
      <c r="D78" s="2481" t="s">
        <v>167</v>
      </c>
      <c r="E78" s="2462"/>
      <c r="F78" s="2450" t="s">
        <v>38</v>
      </c>
      <c r="G78" s="2487" t="s">
        <v>95</v>
      </c>
      <c r="H78" s="15" t="s">
        <v>36</v>
      </c>
      <c r="I78" s="239">
        <f>J78+L78</f>
        <v>610.4</v>
      </c>
      <c r="J78" s="229">
        <v>610.4</v>
      </c>
      <c r="K78" s="229"/>
      <c r="L78" s="240"/>
      <c r="M78" s="46">
        <f>50+577</f>
        <v>627</v>
      </c>
      <c r="N78" s="46">
        <f>50+577</f>
        <v>627</v>
      </c>
      <c r="O78" s="2470" t="s">
        <v>103</v>
      </c>
      <c r="P78" s="304">
        <f>57+15</f>
        <v>72</v>
      </c>
      <c r="Q78" s="304">
        <f>15+57</f>
        <v>72</v>
      </c>
      <c r="R78" s="300">
        <f>15+57</f>
        <v>72</v>
      </c>
    </row>
    <row r="79" spans="1:19" ht="21" customHeight="1" x14ac:dyDescent="0.2">
      <c r="A79" s="2412"/>
      <c r="B79" s="2413"/>
      <c r="C79" s="2414"/>
      <c r="D79" s="2482"/>
      <c r="E79" s="2376"/>
      <c r="F79" s="2380"/>
      <c r="G79" s="2488"/>
      <c r="H79" s="25"/>
      <c r="I79" s="233">
        <f>J79+L79</f>
        <v>0</v>
      </c>
      <c r="J79" s="219"/>
      <c r="K79" s="219"/>
      <c r="L79" s="243"/>
      <c r="M79" s="69"/>
      <c r="N79" s="69"/>
      <c r="O79" s="2436"/>
      <c r="P79" s="307"/>
      <c r="Q79" s="307"/>
      <c r="R79" s="303"/>
    </row>
    <row r="80" spans="1:19" ht="16.5" customHeight="1" x14ac:dyDescent="0.2">
      <c r="A80" s="2412"/>
      <c r="B80" s="2413"/>
      <c r="C80" s="2414"/>
      <c r="D80" s="2482"/>
      <c r="E80" s="2376"/>
      <c r="F80" s="2380"/>
      <c r="G80" s="2488"/>
      <c r="H80" s="16"/>
      <c r="I80" s="231">
        <f>J80+L80</f>
        <v>0</v>
      </c>
      <c r="J80" s="224"/>
      <c r="K80" s="224"/>
      <c r="L80" s="244"/>
      <c r="M80" s="23"/>
      <c r="N80" s="23"/>
      <c r="O80" s="17"/>
      <c r="P80" s="307"/>
      <c r="Q80" s="307"/>
      <c r="R80" s="303"/>
      <c r="S80" s="48"/>
    </row>
    <row r="81" spans="1:21" ht="22.5" customHeight="1" thickBot="1" x14ac:dyDescent="0.25">
      <c r="A81" s="2452"/>
      <c r="B81" s="2453"/>
      <c r="C81" s="2454"/>
      <c r="D81" s="2483"/>
      <c r="E81" s="2480"/>
      <c r="F81" s="2456"/>
      <c r="G81" s="2489"/>
      <c r="H81" s="280" t="s">
        <v>10</v>
      </c>
      <c r="I81" s="236">
        <f t="shared" ref="I81:N81" si="1">SUM(I78:I80)</f>
        <v>610.4</v>
      </c>
      <c r="J81" s="242">
        <f t="shared" si="1"/>
        <v>610.4</v>
      </c>
      <c r="K81" s="242">
        <f t="shared" si="1"/>
        <v>0</v>
      </c>
      <c r="L81" s="245">
        <f t="shared" si="1"/>
        <v>0</v>
      </c>
      <c r="M81" s="278">
        <f t="shared" si="1"/>
        <v>627</v>
      </c>
      <c r="N81" s="278">
        <f t="shared" si="1"/>
        <v>627</v>
      </c>
      <c r="O81" s="18"/>
      <c r="P81" s="142"/>
      <c r="Q81" s="142"/>
      <c r="R81" s="34"/>
    </row>
    <row r="82" spans="1:21" ht="16.5" customHeight="1" x14ac:dyDescent="0.2">
      <c r="A82" s="2457" t="s">
        <v>9</v>
      </c>
      <c r="B82" s="2458" t="s">
        <v>9</v>
      </c>
      <c r="C82" s="2459" t="s">
        <v>41</v>
      </c>
      <c r="D82" s="2490" t="s">
        <v>154</v>
      </c>
      <c r="E82" s="2493" t="s">
        <v>91</v>
      </c>
      <c r="F82" s="2450" t="s">
        <v>54</v>
      </c>
      <c r="G82" s="209" t="s">
        <v>90</v>
      </c>
      <c r="H82" s="15" t="s">
        <v>36</v>
      </c>
      <c r="I82" s="228">
        <f>J82+L82</f>
        <v>3.5</v>
      </c>
      <c r="J82" s="229">
        <f>1.9+1.6</f>
        <v>3.5</v>
      </c>
      <c r="K82" s="229"/>
      <c r="L82" s="230"/>
      <c r="M82" s="46"/>
      <c r="N82" s="109"/>
      <c r="O82" s="2470" t="s">
        <v>111</v>
      </c>
      <c r="P82" s="2484">
        <v>12</v>
      </c>
      <c r="Q82" s="2471"/>
      <c r="R82" s="2472"/>
    </row>
    <row r="83" spans="1:21" ht="16.5" customHeight="1" x14ac:dyDescent="0.2">
      <c r="A83" s="2412"/>
      <c r="B83" s="2413"/>
      <c r="C83" s="2414"/>
      <c r="D83" s="2491"/>
      <c r="E83" s="2494"/>
      <c r="F83" s="2380"/>
      <c r="G83" s="208"/>
      <c r="H83" s="25" t="s">
        <v>88</v>
      </c>
      <c r="I83" s="221">
        <f>J83+L83</f>
        <v>598.79999999999995</v>
      </c>
      <c r="J83" s="219"/>
      <c r="K83" s="219"/>
      <c r="L83" s="220">
        <v>598.79999999999995</v>
      </c>
      <c r="M83" s="69"/>
      <c r="N83" s="103"/>
      <c r="O83" s="2436"/>
      <c r="P83" s="2485"/>
      <c r="Q83" s="2440"/>
      <c r="R83" s="2442"/>
    </row>
    <row r="84" spans="1:21" ht="17.25" customHeight="1" x14ac:dyDescent="0.2">
      <c r="A84" s="2412"/>
      <c r="B84" s="2413"/>
      <c r="C84" s="2414"/>
      <c r="D84" s="2491"/>
      <c r="E84" s="49"/>
      <c r="F84" s="2380"/>
      <c r="G84" s="213" t="s">
        <v>203</v>
      </c>
      <c r="H84" s="25" t="s">
        <v>92</v>
      </c>
      <c r="I84" s="215">
        <f>J84+L84</f>
        <v>0</v>
      </c>
      <c r="J84" s="224"/>
      <c r="K84" s="224"/>
      <c r="L84" s="225"/>
      <c r="M84" s="23"/>
      <c r="N84" s="104"/>
      <c r="O84" s="2436"/>
      <c r="P84" s="63"/>
      <c r="Q84" s="63"/>
      <c r="R84" s="405"/>
    </row>
    <row r="85" spans="1:21" ht="20.25" customHeight="1" x14ac:dyDescent="0.2">
      <c r="A85" s="2412"/>
      <c r="B85" s="2413"/>
      <c r="C85" s="2414"/>
      <c r="D85" s="2491"/>
      <c r="E85" s="49"/>
      <c r="F85" s="2380"/>
      <c r="G85" s="208"/>
      <c r="H85" s="25" t="s">
        <v>36</v>
      </c>
      <c r="I85" s="221">
        <f>J85+L85</f>
        <v>0.5</v>
      </c>
      <c r="J85" s="222">
        <v>0.5</v>
      </c>
      <c r="K85" s="222">
        <v>0.3</v>
      </c>
      <c r="L85" s="223"/>
      <c r="M85" s="123"/>
      <c r="N85" s="174"/>
      <c r="O85" s="2486"/>
      <c r="P85" s="406"/>
      <c r="Q85" s="406"/>
      <c r="R85" s="405"/>
    </row>
    <row r="86" spans="1:21" ht="14.25" customHeight="1" x14ac:dyDescent="0.2">
      <c r="A86" s="2412"/>
      <c r="B86" s="2413"/>
      <c r="C86" s="2414"/>
      <c r="D86" s="2491"/>
      <c r="E86" s="49"/>
      <c r="F86" s="2380"/>
      <c r="G86" s="208"/>
      <c r="H86" s="16" t="s">
        <v>36</v>
      </c>
      <c r="I86" s="246"/>
      <c r="J86" s="219"/>
      <c r="K86" s="219"/>
      <c r="L86" s="220"/>
      <c r="M86" s="35"/>
      <c r="N86" s="175"/>
      <c r="O86" s="2486"/>
      <c r="P86" s="63"/>
      <c r="Q86" s="63"/>
      <c r="R86" s="405"/>
    </row>
    <row r="87" spans="1:21" ht="21.75" customHeight="1" thickBot="1" x14ac:dyDescent="0.25">
      <c r="A87" s="2452"/>
      <c r="B87" s="2453"/>
      <c r="C87" s="2454"/>
      <c r="D87" s="2492"/>
      <c r="E87" s="50"/>
      <c r="F87" s="2456"/>
      <c r="G87" s="210"/>
      <c r="H87" s="280" t="s">
        <v>10</v>
      </c>
      <c r="I87" s="242">
        <f>SUM(I82:I86)</f>
        <v>602.79999999999995</v>
      </c>
      <c r="J87" s="242">
        <f>SUM(J82:J86)</f>
        <v>4</v>
      </c>
      <c r="K87" s="242">
        <f>SUM(K82:K86)</f>
        <v>0.3</v>
      </c>
      <c r="L87" s="247">
        <f>SUM(L82:L86)</f>
        <v>598.79999999999995</v>
      </c>
      <c r="M87" s="278">
        <f>M86</f>
        <v>0</v>
      </c>
      <c r="N87" s="242">
        <f>SUM(N82:N86)</f>
        <v>0</v>
      </c>
      <c r="O87" s="2495"/>
      <c r="P87" s="142"/>
      <c r="Q87" s="142"/>
      <c r="R87" s="34"/>
    </row>
    <row r="88" spans="1:21" ht="12.75" customHeight="1" x14ac:dyDescent="0.2">
      <c r="A88" s="2457" t="s">
        <v>9</v>
      </c>
      <c r="B88" s="2458" t="s">
        <v>9</v>
      </c>
      <c r="C88" s="2459" t="s">
        <v>55</v>
      </c>
      <c r="D88" s="2467" t="s">
        <v>129</v>
      </c>
      <c r="E88" s="2462"/>
      <c r="F88" s="2450" t="s">
        <v>54</v>
      </c>
      <c r="G88" s="2451" t="s">
        <v>40</v>
      </c>
      <c r="H88" s="15" t="s">
        <v>36</v>
      </c>
      <c r="I88" s="239">
        <f>J88+L88</f>
        <v>150</v>
      </c>
      <c r="J88" s="229">
        <v>150</v>
      </c>
      <c r="K88" s="229"/>
      <c r="L88" s="230"/>
      <c r="M88" s="46"/>
      <c r="N88" s="46"/>
      <c r="O88" s="214" t="s">
        <v>57</v>
      </c>
      <c r="P88" s="212">
        <v>4</v>
      </c>
      <c r="Q88" s="212"/>
      <c r="R88" s="211"/>
    </row>
    <row r="89" spans="1:21" x14ac:dyDescent="0.2">
      <c r="A89" s="2412"/>
      <c r="B89" s="2413"/>
      <c r="C89" s="2414"/>
      <c r="D89" s="2444"/>
      <c r="E89" s="2376"/>
      <c r="F89" s="2380"/>
      <c r="G89" s="2381"/>
      <c r="H89" s="117"/>
      <c r="I89" s="233"/>
      <c r="J89" s="222"/>
      <c r="K89" s="222"/>
      <c r="L89" s="223"/>
      <c r="M89" s="51"/>
      <c r="N89" s="51"/>
      <c r="O89" s="17"/>
      <c r="P89" s="212"/>
      <c r="Q89" s="212"/>
      <c r="R89" s="211"/>
    </row>
    <row r="90" spans="1:21" ht="13.5" thickBot="1" x14ac:dyDescent="0.25">
      <c r="A90" s="2452"/>
      <c r="B90" s="2453"/>
      <c r="C90" s="2454"/>
      <c r="D90" s="2455"/>
      <c r="E90" s="2480"/>
      <c r="F90" s="2456"/>
      <c r="G90" s="210"/>
      <c r="H90" s="280" t="s">
        <v>10</v>
      </c>
      <c r="I90" s="242">
        <f t="shared" ref="I90:N90" si="2">SUM(I88:I89)</f>
        <v>150</v>
      </c>
      <c r="J90" s="237">
        <f t="shared" si="2"/>
        <v>150</v>
      </c>
      <c r="K90" s="237">
        <f t="shared" si="2"/>
        <v>0</v>
      </c>
      <c r="L90" s="237">
        <f t="shared" si="2"/>
        <v>0</v>
      </c>
      <c r="M90" s="278">
        <f t="shared" si="2"/>
        <v>0</v>
      </c>
      <c r="N90" s="278">
        <f t="shared" si="2"/>
        <v>0</v>
      </c>
      <c r="O90" s="18"/>
      <c r="P90" s="142"/>
      <c r="Q90" s="142"/>
      <c r="R90" s="34"/>
    </row>
    <row r="91" spans="1:21" ht="21" customHeight="1" x14ac:dyDescent="0.2">
      <c r="A91" s="2457" t="s">
        <v>9</v>
      </c>
      <c r="B91" s="2458" t="s">
        <v>9</v>
      </c>
      <c r="C91" s="2500" t="s">
        <v>44</v>
      </c>
      <c r="D91" s="2490" t="s">
        <v>188</v>
      </c>
      <c r="E91" s="2503" t="s">
        <v>169</v>
      </c>
      <c r="F91" s="2506" t="s">
        <v>53</v>
      </c>
      <c r="G91" s="2451" t="s">
        <v>90</v>
      </c>
      <c r="H91" s="339" t="s">
        <v>92</v>
      </c>
      <c r="I91" s="228">
        <f>J91+L91</f>
        <v>445</v>
      </c>
      <c r="J91" s="268"/>
      <c r="K91" s="268"/>
      <c r="L91" s="269">
        <v>445</v>
      </c>
      <c r="M91" s="311">
        <v>49.5</v>
      </c>
      <c r="N91" s="109"/>
      <c r="O91" s="2496" t="s">
        <v>200</v>
      </c>
      <c r="P91" s="146">
        <v>50</v>
      </c>
      <c r="Q91" s="146">
        <v>50</v>
      </c>
      <c r="R91" s="147"/>
    </row>
    <row r="92" spans="1:21" ht="18" customHeight="1" x14ac:dyDescent="0.2">
      <c r="A92" s="2412"/>
      <c r="B92" s="2413"/>
      <c r="C92" s="2501"/>
      <c r="D92" s="2491"/>
      <c r="E92" s="2504"/>
      <c r="F92" s="2417"/>
      <c r="G92" s="2381"/>
      <c r="H92" s="12" t="s">
        <v>36</v>
      </c>
      <c r="I92" s="215">
        <f>L92</f>
        <v>0.1</v>
      </c>
      <c r="J92" s="224"/>
      <c r="K92" s="224"/>
      <c r="L92" s="225">
        <v>0.1</v>
      </c>
      <c r="M92" s="83"/>
      <c r="N92" s="55"/>
      <c r="O92" s="2418"/>
      <c r="P92" s="75"/>
      <c r="Q92" s="75"/>
      <c r="R92" s="76"/>
    </row>
    <row r="93" spans="1:21" ht="27" customHeight="1" x14ac:dyDescent="0.2">
      <c r="A93" s="2412"/>
      <c r="B93" s="2413"/>
      <c r="C93" s="2501"/>
      <c r="D93" s="2491"/>
      <c r="E93" s="2504"/>
      <c r="F93" s="2417"/>
      <c r="G93" s="2381"/>
      <c r="H93" s="12" t="s">
        <v>93</v>
      </c>
      <c r="I93" s="215">
        <f>J93+L93</f>
        <v>93.4</v>
      </c>
      <c r="J93" s="224"/>
      <c r="K93" s="224"/>
      <c r="L93" s="225">
        <v>93.4</v>
      </c>
      <c r="M93" s="83">
        <v>10.4</v>
      </c>
      <c r="N93" s="103"/>
      <c r="O93" s="2419"/>
      <c r="P93" s="78"/>
      <c r="Q93" s="78"/>
      <c r="R93" s="148"/>
    </row>
    <row r="94" spans="1:21" ht="29.25" thickBot="1" x14ac:dyDescent="0.25">
      <c r="A94" s="2452"/>
      <c r="B94" s="2453"/>
      <c r="C94" s="2502"/>
      <c r="D94" s="2492"/>
      <c r="E94" s="2505"/>
      <c r="F94" s="2507"/>
      <c r="G94" s="2465"/>
      <c r="H94" s="280" t="s">
        <v>10</v>
      </c>
      <c r="I94" s="242">
        <f t="shared" ref="I94:N94" si="3">SUM(I91:I93)</f>
        <v>538.5</v>
      </c>
      <c r="J94" s="242">
        <f t="shared" si="3"/>
        <v>0</v>
      </c>
      <c r="K94" s="242">
        <f t="shared" si="3"/>
        <v>0</v>
      </c>
      <c r="L94" s="247">
        <f t="shared" si="3"/>
        <v>538.5</v>
      </c>
      <c r="M94" s="278">
        <f>SUM(M91:M93)</f>
        <v>59.9</v>
      </c>
      <c r="N94" s="242">
        <f t="shared" si="3"/>
        <v>0</v>
      </c>
      <c r="O94" s="136" t="s">
        <v>199</v>
      </c>
      <c r="P94" s="481">
        <v>50</v>
      </c>
      <c r="Q94" s="481">
        <v>50</v>
      </c>
      <c r="R94" s="483"/>
      <c r="S94" s="14"/>
      <c r="U94" s="13"/>
    </row>
    <row r="95" spans="1:21" ht="18" customHeight="1" x14ac:dyDescent="0.2">
      <c r="A95" s="363" t="s">
        <v>9</v>
      </c>
      <c r="B95" s="422" t="s">
        <v>9</v>
      </c>
      <c r="C95" s="425" t="s">
        <v>161</v>
      </c>
      <c r="D95" s="2490" t="s">
        <v>179</v>
      </c>
      <c r="E95" s="426"/>
      <c r="F95" s="186"/>
      <c r="G95" s="190"/>
      <c r="H95" s="455" t="s">
        <v>36</v>
      </c>
      <c r="I95" s="248">
        <f>J95+L95</f>
        <v>69.2</v>
      </c>
      <c r="J95" s="249">
        <v>19.2</v>
      </c>
      <c r="K95" s="249"/>
      <c r="L95" s="250">
        <v>50</v>
      </c>
      <c r="M95" s="201">
        <v>150</v>
      </c>
      <c r="N95" s="201"/>
      <c r="O95" s="2498" t="s">
        <v>177</v>
      </c>
      <c r="P95" s="184">
        <f>P98+P99+P100+P101+P102+P106</f>
        <v>4</v>
      </c>
      <c r="Q95" s="428">
        <v>2</v>
      </c>
      <c r="R95" s="430"/>
    </row>
    <row r="96" spans="1:21" ht="22.5" customHeight="1" x14ac:dyDescent="0.2">
      <c r="A96" s="94"/>
      <c r="B96" s="423"/>
      <c r="C96" s="424"/>
      <c r="D96" s="2497"/>
      <c r="E96" s="432"/>
      <c r="F96" s="196"/>
      <c r="G96" s="197"/>
      <c r="H96" s="456" t="s">
        <v>88</v>
      </c>
      <c r="I96" s="251"/>
      <c r="J96" s="252"/>
      <c r="K96" s="252"/>
      <c r="L96" s="253"/>
      <c r="M96" s="202">
        <v>227.3</v>
      </c>
      <c r="N96" s="202">
        <v>243.3</v>
      </c>
      <c r="O96" s="2499"/>
      <c r="P96" s="183"/>
      <c r="Q96" s="429"/>
      <c r="R96" s="431"/>
    </row>
    <row r="97" spans="1:21" ht="25.5" x14ac:dyDescent="0.2">
      <c r="A97" s="94"/>
      <c r="B97" s="423"/>
      <c r="C97" s="424"/>
      <c r="D97" s="350" t="s">
        <v>178</v>
      </c>
      <c r="E97" s="427"/>
      <c r="F97" s="187" t="s">
        <v>41</v>
      </c>
      <c r="G97" s="191" t="s">
        <v>90</v>
      </c>
      <c r="H97" s="456" t="s">
        <v>92</v>
      </c>
      <c r="I97" s="251">
        <f>J97</f>
        <v>108.4</v>
      </c>
      <c r="J97" s="252">
        <v>108.4</v>
      </c>
      <c r="K97" s="252"/>
      <c r="L97" s="253"/>
      <c r="M97" s="202">
        <v>2802.7</v>
      </c>
      <c r="N97" s="202">
        <v>2999.4</v>
      </c>
      <c r="O97" s="194"/>
      <c r="P97" s="183"/>
      <c r="Q97" s="429"/>
      <c r="R97" s="431"/>
    </row>
    <row r="98" spans="1:21" ht="30" customHeight="1" x14ac:dyDescent="0.2">
      <c r="A98" s="364"/>
      <c r="B98" s="440"/>
      <c r="C98" s="360"/>
      <c r="D98" s="195" t="s">
        <v>172</v>
      </c>
      <c r="E98" s="435" t="s">
        <v>182</v>
      </c>
      <c r="F98" s="189"/>
      <c r="G98" s="193"/>
      <c r="H98" s="457"/>
      <c r="I98" s="436"/>
      <c r="J98" s="437"/>
      <c r="K98" s="437"/>
      <c r="L98" s="438"/>
      <c r="M98" s="439"/>
      <c r="N98" s="439"/>
      <c r="O98" s="130" t="s">
        <v>176</v>
      </c>
      <c r="P98" s="131">
        <v>1</v>
      </c>
      <c r="Q98" s="131"/>
      <c r="R98" s="127"/>
    </row>
    <row r="99" spans="1:21" ht="41.25" customHeight="1" x14ac:dyDescent="0.2">
      <c r="A99" s="361"/>
      <c r="B99" s="362"/>
      <c r="C99" s="360"/>
      <c r="D99" s="433" t="s">
        <v>173</v>
      </c>
      <c r="E99" s="434" t="s">
        <v>182</v>
      </c>
      <c r="F99" s="188"/>
      <c r="G99" s="192"/>
      <c r="H99" s="458"/>
      <c r="I99" s="254"/>
      <c r="J99" s="255"/>
      <c r="K99" s="255"/>
      <c r="L99" s="256"/>
      <c r="M99" s="203"/>
      <c r="N99" s="203"/>
      <c r="O99" s="179" t="s">
        <v>176</v>
      </c>
      <c r="P99" s="178">
        <v>1</v>
      </c>
      <c r="Q99" s="178"/>
      <c r="R99" s="132"/>
    </row>
    <row r="100" spans="1:21" ht="38.25" x14ac:dyDescent="0.2">
      <c r="A100" s="361"/>
      <c r="B100" s="362"/>
      <c r="C100" s="360"/>
      <c r="D100" s="195" t="s">
        <v>174</v>
      </c>
      <c r="E100" s="200" t="s">
        <v>183</v>
      </c>
      <c r="F100" s="188"/>
      <c r="G100" s="192"/>
      <c r="H100" s="458"/>
      <c r="I100" s="254"/>
      <c r="J100" s="255"/>
      <c r="K100" s="255"/>
      <c r="L100" s="256"/>
      <c r="M100" s="203"/>
      <c r="N100" s="203"/>
      <c r="O100" s="180" t="s">
        <v>176</v>
      </c>
      <c r="P100" s="181">
        <v>1</v>
      </c>
      <c r="Q100" s="181"/>
      <c r="R100" s="182"/>
    </row>
    <row r="101" spans="1:21" ht="38.25" x14ac:dyDescent="0.2">
      <c r="A101" s="361"/>
      <c r="B101" s="362"/>
      <c r="C101" s="360"/>
      <c r="D101" s="195" t="s">
        <v>175</v>
      </c>
      <c r="E101" s="185"/>
      <c r="F101" s="189"/>
      <c r="G101" s="193"/>
      <c r="H101" s="459"/>
      <c r="I101" s="352"/>
      <c r="J101" s="353"/>
      <c r="K101" s="353"/>
      <c r="L101" s="354"/>
      <c r="M101" s="463"/>
      <c r="N101" s="355"/>
      <c r="O101" s="130" t="s">
        <v>176</v>
      </c>
      <c r="P101" s="178">
        <v>1</v>
      </c>
      <c r="Q101" s="178"/>
      <c r="R101" s="132"/>
    </row>
    <row r="102" spans="1:21" ht="12.75" customHeight="1" x14ac:dyDescent="0.2">
      <c r="A102" s="2412"/>
      <c r="B102" s="2512"/>
      <c r="C102" s="2501"/>
      <c r="D102" s="2513" t="s">
        <v>165</v>
      </c>
      <c r="E102" s="2494" t="s">
        <v>91</v>
      </c>
      <c r="F102" s="2417" t="s">
        <v>53</v>
      </c>
      <c r="G102" s="2381" t="s">
        <v>90</v>
      </c>
      <c r="H102" s="460"/>
      <c r="I102" s="359"/>
      <c r="J102" s="224"/>
      <c r="K102" s="224"/>
      <c r="L102" s="244"/>
      <c r="M102" s="357"/>
      <c r="N102" s="357"/>
      <c r="O102" s="2508" t="s">
        <v>159</v>
      </c>
      <c r="P102" s="54"/>
      <c r="Q102" s="53">
        <v>1</v>
      </c>
      <c r="R102" s="173"/>
      <c r="U102" s="13"/>
    </row>
    <row r="103" spans="1:21" x14ac:dyDescent="0.2">
      <c r="A103" s="2412"/>
      <c r="B103" s="2512"/>
      <c r="C103" s="2501"/>
      <c r="D103" s="2513"/>
      <c r="E103" s="2494"/>
      <c r="F103" s="2417"/>
      <c r="G103" s="2381"/>
      <c r="H103" s="461"/>
      <c r="I103" s="316"/>
      <c r="J103" s="219"/>
      <c r="K103" s="219"/>
      <c r="L103" s="243"/>
      <c r="M103" s="106"/>
      <c r="N103" s="106"/>
      <c r="O103" s="2509"/>
      <c r="P103" s="128"/>
      <c r="Q103" s="129"/>
      <c r="R103" s="132"/>
      <c r="U103" s="13"/>
    </row>
    <row r="104" spans="1:21" x14ac:dyDescent="0.2">
      <c r="A104" s="2412"/>
      <c r="B104" s="2512"/>
      <c r="C104" s="2501"/>
      <c r="D104" s="2513"/>
      <c r="E104" s="2494"/>
      <c r="F104" s="2417"/>
      <c r="G104" s="2381"/>
      <c r="H104" s="461"/>
      <c r="I104" s="316"/>
      <c r="J104" s="219"/>
      <c r="K104" s="219"/>
      <c r="L104" s="243"/>
      <c r="M104" s="106"/>
      <c r="N104" s="106"/>
      <c r="O104" s="2510"/>
      <c r="P104" s="128"/>
      <c r="Q104" s="129"/>
      <c r="R104" s="132"/>
      <c r="U104" s="13"/>
    </row>
    <row r="105" spans="1:21" ht="24.75" customHeight="1" x14ac:dyDescent="0.2">
      <c r="A105" s="2412"/>
      <c r="B105" s="2512"/>
      <c r="C105" s="2501"/>
      <c r="D105" s="2514"/>
      <c r="E105" s="2515"/>
      <c r="F105" s="2428"/>
      <c r="G105" s="2430"/>
      <c r="H105" s="462"/>
      <c r="I105" s="464"/>
      <c r="J105" s="335"/>
      <c r="K105" s="335"/>
      <c r="L105" s="465"/>
      <c r="M105" s="349"/>
      <c r="N105" s="349"/>
      <c r="O105" s="2511"/>
      <c r="P105" s="59"/>
      <c r="Q105" s="59"/>
      <c r="R105" s="143"/>
      <c r="U105" s="13"/>
    </row>
    <row r="106" spans="1:21" ht="12.75" customHeight="1" x14ac:dyDescent="0.2">
      <c r="A106" s="2412"/>
      <c r="B106" s="2413"/>
      <c r="C106" s="2501"/>
      <c r="D106" s="2444" t="s">
        <v>192</v>
      </c>
      <c r="E106" s="2494" t="s">
        <v>91</v>
      </c>
      <c r="F106" s="2380" t="s">
        <v>44</v>
      </c>
      <c r="G106" s="2381" t="s">
        <v>90</v>
      </c>
      <c r="H106" s="358"/>
      <c r="I106" s="359"/>
      <c r="J106" s="224"/>
      <c r="K106" s="224"/>
      <c r="L106" s="244"/>
      <c r="M106" s="357"/>
      <c r="N106" s="357"/>
      <c r="O106" s="2531" t="s">
        <v>155</v>
      </c>
      <c r="P106" s="212"/>
      <c r="Q106" s="212">
        <v>1</v>
      </c>
      <c r="R106" s="211"/>
    </row>
    <row r="107" spans="1:21" x14ac:dyDescent="0.2">
      <c r="A107" s="2412"/>
      <c r="B107" s="2413"/>
      <c r="C107" s="2501"/>
      <c r="D107" s="2444"/>
      <c r="E107" s="2494"/>
      <c r="F107" s="2380"/>
      <c r="G107" s="2381"/>
      <c r="H107" s="135"/>
      <c r="I107" s="316"/>
      <c r="J107" s="219"/>
      <c r="K107" s="219"/>
      <c r="L107" s="243"/>
      <c r="M107" s="106"/>
      <c r="N107" s="106"/>
      <c r="O107" s="2449"/>
      <c r="P107" s="212"/>
      <c r="Q107" s="212"/>
      <c r="R107" s="211"/>
    </row>
    <row r="108" spans="1:21" x14ac:dyDescent="0.2">
      <c r="A108" s="2412"/>
      <c r="B108" s="2413"/>
      <c r="C108" s="2501"/>
      <c r="D108" s="2444"/>
      <c r="E108" s="2494"/>
      <c r="F108" s="2380"/>
      <c r="G108" s="2381"/>
      <c r="H108" s="135"/>
      <c r="I108" s="231"/>
      <c r="J108" s="219"/>
      <c r="K108" s="219"/>
      <c r="L108" s="243"/>
      <c r="M108" s="175"/>
      <c r="N108" s="175"/>
      <c r="O108" s="2436"/>
      <c r="P108" s="212"/>
      <c r="Q108" s="212"/>
      <c r="R108" s="211"/>
    </row>
    <row r="109" spans="1:21" ht="15" customHeight="1" thickBot="1" x14ac:dyDescent="0.25">
      <c r="A109" s="2412"/>
      <c r="B109" s="2413"/>
      <c r="C109" s="2501"/>
      <c r="D109" s="2444"/>
      <c r="E109" s="2494"/>
      <c r="F109" s="2380"/>
      <c r="G109" s="2381"/>
      <c r="H109" s="272" t="s">
        <v>10</v>
      </c>
      <c r="I109" s="273">
        <f>I97+I95</f>
        <v>177.6</v>
      </c>
      <c r="J109" s="227">
        <f>J97+J95</f>
        <v>127.6</v>
      </c>
      <c r="K109" s="227">
        <f>K97+K95</f>
        <v>0</v>
      </c>
      <c r="L109" s="274">
        <f>L97+L95</f>
        <v>50</v>
      </c>
      <c r="M109" s="226">
        <f>M95+M96+M97</f>
        <v>3180</v>
      </c>
      <c r="N109" s="273">
        <f>N95+N96+N97</f>
        <v>3242.7</v>
      </c>
      <c r="O109" s="2436"/>
      <c r="P109" s="494"/>
      <c r="Q109" s="494"/>
      <c r="R109" s="496"/>
    </row>
    <row r="110" spans="1:21" ht="30.75" customHeight="1" thickBot="1" x14ac:dyDescent="0.25">
      <c r="A110" s="93" t="s">
        <v>9</v>
      </c>
      <c r="B110" s="11" t="s">
        <v>9</v>
      </c>
      <c r="C110" s="2516" t="s">
        <v>12</v>
      </c>
      <c r="D110" s="2516"/>
      <c r="E110" s="2516"/>
      <c r="F110" s="2516"/>
      <c r="G110" s="2516"/>
      <c r="H110" s="2516"/>
      <c r="I110" s="537" t="s">
        <v>215</v>
      </c>
      <c r="J110" s="554" t="s">
        <v>216</v>
      </c>
      <c r="K110" s="466">
        <f>K109+K94+K90+K87+K81+K77+K61+K44+K32</f>
        <v>742.7</v>
      </c>
      <c r="L110" s="467">
        <f>L109+L94+L90+L87+L81+L77+L61+L44+L32</f>
        <v>1374.7</v>
      </c>
      <c r="M110" s="24">
        <f>M109+M94+M90+M87+M81+M77+M61+M44+M32</f>
        <v>22958.3</v>
      </c>
      <c r="N110" s="176">
        <f>N109+N94+N90+N87+N81+N77+N61+N44+N32</f>
        <v>21634.5</v>
      </c>
      <c r="O110" s="469"/>
      <c r="P110" s="470"/>
      <c r="Q110" s="470"/>
      <c r="R110" s="471"/>
    </row>
    <row r="111" spans="1:21" ht="16.5" customHeight="1" thickBot="1" x14ac:dyDescent="0.25">
      <c r="A111" s="93" t="s">
        <v>9</v>
      </c>
      <c r="B111" s="11" t="s">
        <v>11</v>
      </c>
      <c r="C111" s="2517" t="s">
        <v>71</v>
      </c>
      <c r="D111" s="2518"/>
      <c r="E111" s="2518"/>
      <c r="F111" s="2518"/>
      <c r="G111" s="2518"/>
      <c r="H111" s="2518"/>
      <c r="I111" s="2518"/>
      <c r="J111" s="2518"/>
      <c r="K111" s="2518"/>
      <c r="L111" s="2518"/>
      <c r="M111" s="2518"/>
      <c r="N111" s="2518"/>
      <c r="O111" s="2518"/>
      <c r="P111" s="2518"/>
      <c r="Q111" s="2518"/>
      <c r="R111" s="2519"/>
    </row>
    <row r="112" spans="1:21" ht="16.5" customHeight="1" x14ac:dyDescent="0.2">
      <c r="A112" s="2457" t="s">
        <v>9</v>
      </c>
      <c r="B112" s="2520" t="s">
        <v>11</v>
      </c>
      <c r="C112" s="2523" t="s">
        <v>9</v>
      </c>
      <c r="D112" s="2526" t="s">
        <v>108</v>
      </c>
      <c r="E112" s="2528"/>
      <c r="F112" s="2506" t="s">
        <v>54</v>
      </c>
      <c r="G112" s="2451" t="s">
        <v>40</v>
      </c>
      <c r="H112" s="19" t="s">
        <v>36</v>
      </c>
      <c r="I112" s="239">
        <f>J112+L112</f>
        <v>513.5</v>
      </c>
      <c r="J112" s="229">
        <v>513.5</v>
      </c>
      <c r="K112" s="229"/>
      <c r="L112" s="230"/>
      <c r="M112" s="41">
        <v>582</v>
      </c>
      <c r="N112" s="41">
        <v>582</v>
      </c>
      <c r="O112" s="2470" t="s">
        <v>74</v>
      </c>
      <c r="P112" s="480">
        <v>18</v>
      </c>
      <c r="Q112" s="480">
        <v>18</v>
      </c>
      <c r="R112" s="482">
        <v>18</v>
      </c>
      <c r="U112" s="13"/>
    </row>
    <row r="113" spans="1:24" ht="15.75" customHeight="1" x14ac:dyDescent="0.2">
      <c r="A113" s="2412"/>
      <c r="B113" s="2521"/>
      <c r="C113" s="2524"/>
      <c r="D113" s="2513"/>
      <c r="E113" s="2529"/>
      <c r="F113" s="2417"/>
      <c r="G113" s="2381"/>
      <c r="H113" s="26"/>
      <c r="I113" s="233">
        <f>J113+L113</f>
        <v>0</v>
      </c>
      <c r="J113" s="219"/>
      <c r="K113" s="219"/>
      <c r="L113" s="220"/>
      <c r="M113" s="69"/>
      <c r="N113" s="69"/>
      <c r="O113" s="2436"/>
      <c r="P113" s="31"/>
      <c r="Q113" s="31"/>
      <c r="R113" s="144"/>
      <c r="U113" s="13"/>
    </row>
    <row r="114" spans="1:24" ht="14.25" customHeight="1" x14ac:dyDescent="0.2">
      <c r="A114" s="2412"/>
      <c r="B114" s="2521"/>
      <c r="C114" s="2524"/>
      <c r="D114" s="2513"/>
      <c r="E114" s="2529"/>
      <c r="F114" s="2417"/>
      <c r="G114" s="2381"/>
      <c r="H114" s="20"/>
      <c r="I114" s="215">
        <f>J114+L114</f>
        <v>0</v>
      </c>
      <c r="J114" s="224"/>
      <c r="K114" s="224"/>
      <c r="L114" s="225"/>
      <c r="M114" s="23"/>
      <c r="N114" s="23"/>
      <c r="O114" s="2436"/>
      <c r="P114" s="31"/>
      <c r="Q114" s="31"/>
      <c r="R114" s="144"/>
      <c r="U114" s="13"/>
    </row>
    <row r="115" spans="1:24" ht="21.75" customHeight="1" thickBot="1" x14ac:dyDescent="0.25">
      <c r="A115" s="2452"/>
      <c r="B115" s="2522"/>
      <c r="C115" s="2525"/>
      <c r="D115" s="2527"/>
      <c r="E115" s="2530"/>
      <c r="F115" s="2507"/>
      <c r="G115" s="2465"/>
      <c r="H115" s="280" t="s">
        <v>10</v>
      </c>
      <c r="I115" s="242">
        <f t="shared" ref="I115:N115" si="4">SUM(I112:I114)</f>
        <v>513.5</v>
      </c>
      <c r="J115" s="237">
        <f t="shared" si="4"/>
        <v>513.5</v>
      </c>
      <c r="K115" s="237">
        <f t="shared" si="4"/>
        <v>0</v>
      </c>
      <c r="L115" s="237">
        <f t="shared" si="4"/>
        <v>0</v>
      </c>
      <c r="M115" s="278">
        <f t="shared" si="4"/>
        <v>582</v>
      </c>
      <c r="N115" s="278">
        <f t="shared" si="4"/>
        <v>582</v>
      </c>
      <c r="O115" s="18"/>
      <c r="P115" s="481"/>
      <c r="Q115" s="481"/>
      <c r="R115" s="483"/>
      <c r="U115" s="13"/>
    </row>
    <row r="116" spans="1:24" ht="12.75" customHeight="1" x14ac:dyDescent="0.2">
      <c r="A116" s="2457" t="s">
        <v>9</v>
      </c>
      <c r="B116" s="2520" t="s">
        <v>11</v>
      </c>
      <c r="C116" s="2523" t="s">
        <v>11</v>
      </c>
      <c r="D116" s="2526" t="s">
        <v>75</v>
      </c>
      <c r="E116" s="2528"/>
      <c r="F116" s="2506" t="s">
        <v>54</v>
      </c>
      <c r="G116" s="2451" t="s">
        <v>40</v>
      </c>
      <c r="H116" s="19" t="s">
        <v>36</v>
      </c>
      <c r="I116" s="239">
        <f>J116+L116</f>
        <v>5</v>
      </c>
      <c r="J116" s="229">
        <v>5</v>
      </c>
      <c r="K116" s="229"/>
      <c r="L116" s="230"/>
      <c r="M116" s="41">
        <v>5</v>
      </c>
      <c r="N116" s="41">
        <v>5</v>
      </c>
      <c r="O116" s="2470" t="s">
        <v>105</v>
      </c>
      <c r="P116" s="480">
        <v>3</v>
      </c>
      <c r="Q116" s="480">
        <v>3</v>
      </c>
      <c r="R116" s="482">
        <v>3</v>
      </c>
      <c r="U116" s="13"/>
    </row>
    <row r="117" spans="1:24" ht="12.75" customHeight="1" x14ac:dyDescent="0.2">
      <c r="A117" s="2412"/>
      <c r="B117" s="2521"/>
      <c r="C117" s="2524"/>
      <c r="D117" s="2513"/>
      <c r="E117" s="2529"/>
      <c r="F117" s="2417"/>
      <c r="G117" s="2381"/>
      <c r="H117" s="20"/>
      <c r="I117" s="246"/>
      <c r="J117" s="219"/>
      <c r="K117" s="219"/>
      <c r="L117" s="220"/>
      <c r="M117" s="45"/>
      <c r="N117" s="45"/>
      <c r="O117" s="2436"/>
      <c r="P117" s="31"/>
      <c r="Q117" s="31"/>
      <c r="R117" s="144"/>
      <c r="U117" s="13"/>
    </row>
    <row r="118" spans="1:24" ht="13.5" thickBot="1" x14ac:dyDescent="0.25">
      <c r="A118" s="2452"/>
      <c r="B118" s="2522"/>
      <c r="C118" s="2525"/>
      <c r="D118" s="2527"/>
      <c r="E118" s="2530"/>
      <c r="F118" s="2507"/>
      <c r="G118" s="2465"/>
      <c r="H118" s="280" t="s">
        <v>10</v>
      </c>
      <c r="I118" s="242">
        <f t="shared" ref="I118:N118" si="5">SUM(I116:I116)</f>
        <v>5</v>
      </c>
      <c r="J118" s="237">
        <f t="shared" si="5"/>
        <v>5</v>
      </c>
      <c r="K118" s="237">
        <f t="shared" si="5"/>
        <v>0</v>
      </c>
      <c r="L118" s="237">
        <f t="shared" si="5"/>
        <v>0</v>
      </c>
      <c r="M118" s="278">
        <f t="shared" si="5"/>
        <v>5</v>
      </c>
      <c r="N118" s="278">
        <f t="shared" si="5"/>
        <v>5</v>
      </c>
      <c r="O118" s="2532"/>
      <c r="P118" s="481"/>
      <c r="Q118" s="481"/>
      <c r="R118" s="483"/>
      <c r="U118" s="13"/>
    </row>
    <row r="119" spans="1:24" ht="12.75" customHeight="1" x14ac:dyDescent="0.2">
      <c r="A119" s="2457" t="s">
        <v>9</v>
      </c>
      <c r="B119" s="2520" t="s">
        <v>11</v>
      </c>
      <c r="C119" s="2523" t="s">
        <v>38</v>
      </c>
      <c r="D119" s="2526" t="s">
        <v>104</v>
      </c>
      <c r="E119" s="2528"/>
      <c r="F119" s="2506" t="s">
        <v>54</v>
      </c>
      <c r="G119" s="2451" t="s">
        <v>40</v>
      </c>
      <c r="H119" s="417" t="s">
        <v>36</v>
      </c>
      <c r="I119" s="418">
        <f>J119+L119</f>
        <v>90</v>
      </c>
      <c r="J119" s="419">
        <v>90</v>
      </c>
      <c r="K119" s="419"/>
      <c r="L119" s="269"/>
      <c r="M119" s="338">
        <v>46</v>
      </c>
      <c r="N119" s="338">
        <v>46</v>
      </c>
      <c r="O119" s="2470" t="s">
        <v>76</v>
      </c>
      <c r="P119" s="480">
        <v>350</v>
      </c>
      <c r="Q119" s="480">
        <v>350</v>
      </c>
      <c r="R119" s="482">
        <v>350</v>
      </c>
      <c r="U119" s="13"/>
    </row>
    <row r="120" spans="1:24" ht="15.75" customHeight="1" x14ac:dyDescent="0.2">
      <c r="A120" s="2412"/>
      <c r="B120" s="2521"/>
      <c r="C120" s="2524"/>
      <c r="D120" s="2513"/>
      <c r="E120" s="2529"/>
      <c r="F120" s="2417"/>
      <c r="G120" s="2381"/>
      <c r="H120" s="20"/>
      <c r="I120" s="318"/>
      <c r="J120" s="259"/>
      <c r="K120" s="259"/>
      <c r="L120" s="220"/>
      <c r="M120" s="69"/>
      <c r="N120" s="69"/>
      <c r="O120" s="2436"/>
      <c r="P120" s="31"/>
      <c r="Q120" s="31"/>
      <c r="R120" s="144"/>
      <c r="U120" s="13"/>
    </row>
    <row r="121" spans="1:24" x14ac:dyDescent="0.2">
      <c r="A121" s="2412"/>
      <c r="B121" s="2521"/>
      <c r="C121" s="2524"/>
      <c r="D121" s="2513"/>
      <c r="E121" s="2529"/>
      <c r="F121" s="2417"/>
      <c r="G121" s="2381"/>
      <c r="H121" s="20"/>
      <c r="I121" s="318"/>
      <c r="J121" s="259"/>
      <c r="K121" s="259"/>
      <c r="L121" s="220"/>
      <c r="M121" s="69"/>
      <c r="N121" s="69"/>
      <c r="O121" s="2436" t="s">
        <v>77</v>
      </c>
      <c r="P121" s="31">
        <v>30</v>
      </c>
      <c r="Q121" s="31">
        <v>30</v>
      </c>
      <c r="R121" s="144">
        <v>30</v>
      </c>
      <c r="U121" s="13"/>
    </row>
    <row r="122" spans="1:24" ht="35.25" customHeight="1" x14ac:dyDescent="0.2">
      <c r="A122" s="2412"/>
      <c r="B122" s="2521"/>
      <c r="C122" s="2524"/>
      <c r="D122" s="2513"/>
      <c r="E122" s="2529"/>
      <c r="F122" s="2417"/>
      <c r="G122" s="2381"/>
      <c r="H122" s="20"/>
      <c r="I122" s="260"/>
      <c r="J122" s="259"/>
      <c r="K122" s="259"/>
      <c r="L122" s="220"/>
      <c r="M122" s="35"/>
      <c r="N122" s="35"/>
      <c r="O122" s="2436"/>
      <c r="P122" s="31"/>
      <c r="Q122" s="31"/>
      <c r="R122" s="144"/>
      <c r="U122" s="13"/>
    </row>
    <row r="123" spans="1:24" ht="17.25" customHeight="1" thickBot="1" x14ac:dyDescent="0.25">
      <c r="A123" s="2452"/>
      <c r="B123" s="2522"/>
      <c r="C123" s="2525"/>
      <c r="D123" s="2527"/>
      <c r="E123" s="2530"/>
      <c r="F123" s="2507"/>
      <c r="G123" s="2465"/>
      <c r="H123" s="280" t="s">
        <v>10</v>
      </c>
      <c r="I123" s="261">
        <f t="shared" ref="I123:N123" si="6">SUM(I119:I122)</f>
        <v>90</v>
      </c>
      <c r="J123" s="262">
        <f t="shared" si="6"/>
        <v>90</v>
      </c>
      <c r="K123" s="262">
        <f t="shared" si="6"/>
        <v>0</v>
      </c>
      <c r="L123" s="237">
        <f t="shared" si="6"/>
        <v>0</v>
      </c>
      <c r="M123" s="278">
        <f t="shared" si="6"/>
        <v>46</v>
      </c>
      <c r="N123" s="278">
        <f t="shared" si="6"/>
        <v>46</v>
      </c>
      <c r="O123" s="18" t="s">
        <v>139</v>
      </c>
      <c r="P123" s="481">
        <v>30</v>
      </c>
      <c r="Q123" s="481">
        <v>30</v>
      </c>
      <c r="R123" s="483">
        <v>30</v>
      </c>
      <c r="U123" s="13"/>
    </row>
    <row r="124" spans="1:24" ht="12.75" customHeight="1" x14ac:dyDescent="0.2">
      <c r="A124" s="2457" t="s">
        <v>9</v>
      </c>
      <c r="B124" s="2520" t="s">
        <v>11</v>
      </c>
      <c r="C124" s="2523" t="s">
        <v>53</v>
      </c>
      <c r="D124" s="2526" t="s">
        <v>80</v>
      </c>
      <c r="E124" s="2528"/>
      <c r="F124" s="2506" t="s">
        <v>54</v>
      </c>
      <c r="G124" s="2451" t="s">
        <v>40</v>
      </c>
      <c r="H124" s="19" t="s">
        <v>36</v>
      </c>
      <c r="I124" s="257">
        <f>J124+L124</f>
        <v>6</v>
      </c>
      <c r="J124" s="258">
        <v>6</v>
      </c>
      <c r="K124" s="258"/>
      <c r="L124" s="230"/>
      <c r="M124" s="41">
        <v>6</v>
      </c>
      <c r="N124" s="41">
        <v>6</v>
      </c>
      <c r="O124" s="2470" t="s">
        <v>81</v>
      </c>
      <c r="P124" s="480">
        <v>20</v>
      </c>
      <c r="Q124" s="480">
        <v>20</v>
      </c>
      <c r="R124" s="482">
        <v>20</v>
      </c>
      <c r="U124" s="13"/>
    </row>
    <row r="125" spans="1:24" x14ac:dyDescent="0.2">
      <c r="A125" s="2412"/>
      <c r="B125" s="2521"/>
      <c r="C125" s="2524"/>
      <c r="D125" s="2513"/>
      <c r="E125" s="2529"/>
      <c r="F125" s="2417"/>
      <c r="G125" s="2381"/>
      <c r="H125" s="26"/>
      <c r="I125" s="235">
        <f>J125+L125</f>
        <v>0</v>
      </c>
      <c r="J125" s="259"/>
      <c r="K125" s="259"/>
      <c r="L125" s="220"/>
      <c r="M125" s="69"/>
      <c r="N125" s="69"/>
      <c r="O125" s="2436"/>
      <c r="P125" s="31"/>
      <c r="Q125" s="31"/>
      <c r="R125" s="144"/>
      <c r="U125" s="13"/>
    </row>
    <row r="126" spans="1:24" ht="13.5" thickBot="1" x14ac:dyDescent="0.25">
      <c r="A126" s="2452"/>
      <c r="B126" s="2522"/>
      <c r="C126" s="2525"/>
      <c r="D126" s="2527"/>
      <c r="E126" s="2530"/>
      <c r="F126" s="2507"/>
      <c r="G126" s="2465"/>
      <c r="H126" s="280" t="s">
        <v>10</v>
      </c>
      <c r="I126" s="261">
        <f t="shared" ref="I126:N126" si="7">SUM(I124:I125)</f>
        <v>6</v>
      </c>
      <c r="J126" s="262">
        <f t="shared" si="7"/>
        <v>6</v>
      </c>
      <c r="K126" s="262">
        <f t="shared" si="7"/>
        <v>0</v>
      </c>
      <c r="L126" s="237">
        <f t="shared" si="7"/>
        <v>0</v>
      </c>
      <c r="M126" s="278">
        <f t="shared" si="7"/>
        <v>6</v>
      </c>
      <c r="N126" s="278">
        <f t="shared" si="7"/>
        <v>6</v>
      </c>
      <c r="O126" s="18"/>
      <c r="P126" s="481"/>
      <c r="Q126" s="481"/>
      <c r="R126" s="483"/>
      <c r="U126" s="13"/>
    </row>
    <row r="127" spans="1:24" ht="41.25" customHeight="1" x14ac:dyDescent="0.2">
      <c r="A127" s="2457" t="s">
        <v>9</v>
      </c>
      <c r="B127" s="2520" t="s">
        <v>11</v>
      </c>
      <c r="C127" s="2523" t="s">
        <v>54</v>
      </c>
      <c r="D127" s="2536" t="s">
        <v>89</v>
      </c>
      <c r="E127" s="2493" t="s">
        <v>91</v>
      </c>
      <c r="F127" s="2506" t="s">
        <v>41</v>
      </c>
      <c r="G127" s="2451" t="s">
        <v>90</v>
      </c>
      <c r="H127" s="281" t="s">
        <v>36</v>
      </c>
      <c r="I127" s="257">
        <f>J127+L127</f>
        <v>75.2</v>
      </c>
      <c r="J127" s="258"/>
      <c r="K127" s="258"/>
      <c r="L127" s="230">
        <v>75.2</v>
      </c>
      <c r="M127" s="46"/>
      <c r="N127" s="46"/>
      <c r="O127" s="2470" t="s">
        <v>138</v>
      </c>
      <c r="P127" s="2534"/>
      <c r="Q127" s="480"/>
      <c r="R127" s="482"/>
      <c r="U127" s="13"/>
      <c r="V127" s="14"/>
      <c r="W127" s="14"/>
      <c r="X127" s="14"/>
    </row>
    <row r="128" spans="1:24" ht="27.75" customHeight="1" x14ac:dyDescent="0.2">
      <c r="A128" s="2412"/>
      <c r="B128" s="2521"/>
      <c r="C128" s="2524"/>
      <c r="D128" s="2537"/>
      <c r="E128" s="2494"/>
      <c r="F128" s="2417"/>
      <c r="G128" s="2381"/>
      <c r="H128" s="282" t="s">
        <v>130</v>
      </c>
      <c r="I128" s="235">
        <f>J128+L128</f>
        <v>400</v>
      </c>
      <c r="J128" s="259"/>
      <c r="K128" s="259"/>
      <c r="L128" s="220">
        <v>400</v>
      </c>
      <c r="M128" s="69"/>
      <c r="N128" s="69"/>
      <c r="O128" s="2436"/>
      <c r="P128" s="2535"/>
      <c r="Q128" s="31"/>
      <c r="R128" s="144"/>
      <c r="U128" s="13"/>
      <c r="V128" s="14"/>
      <c r="W128" s="14"/>
      <c r="X128" s="14"/>
    </row>
    <row r="129" spans="1:32" ht="39.75" customHeight="1" thickBot="1" x14ac:dyDescent="0.25">
      <c r="A129" s="2452"/>
      <c r="B129" s="2522"/>
      <c r="C129" s="2525"/>
      <c r="D129" s="2538"/>
      <c r="E129" s="2533"/>
      <c r="F129" s="2507"/>
      <c r="G129" s="2465"/>
      <c r="H129" s="280" t="s">
        <v>10</v>
      </c>
      <c r="I129" s="261">
        <f t="shared" ref="I129:N129" si="8">SUM(I127:I128)</f>
        <v>475.2</v>
      </c>
      <c r="J129" s="262">
        <f t="shared" si="8"/>
        <v>0</v>
      </c>
      <c r="K129" s="262">
        <f t="shared" si="8"/>
        <v>0</v>
      </c>
      <c r="L129" s="237">
        <f t="shared" si="8"/>
        <v>475.2</v>
      </c>
      <c r="M129" s="278">
        <f t="shared" si="8"/>
        <v>0</v>
      </c>
      <c r="N129" s="278">
        <f t="shared" si="8"/>
        <v>0</v>
      </c>
      <c r="O129" s="2466"/>
      <c r="P129" s="420">
        <v>100</v>
      </c>
      <c r="Q129" s="481"/>
      <c r="R129" s="483"/>
      <c r="U129" s="13"/>
      <c r="V129" s="14"/>
      <c r="W129" s="14"/>
      <c r="X129" s="14"/>
    </row>
    <row r="130" spans="1:32" x14ac:dyDescent="0.2">
      <c r="A130" s="2457" t="s">
        <v>9</v>
      </c>
      <c r="B130" s="2520" t="s">
        <v>11</v>
      </c>
      <c r="C130" s="2523" t="s">
        <v>41</v>
      </c>
      <c r="D130" s="2539" t="s">
        <v>96</v>
      </c>
      <c r="E130" s="2528"/>
      <c r="F130" s="2506" t="s">
        <v>54</v>
      </c>
      <c r="G130" s="2451" t="s">
        <v>40</v>
      </c>
      <c r="H130" s="281" t="s">
        <v>36</v>
      </c>
      <c r="I130" s="239">
        <f>J130+L130</f>
        <v>100.3</v>
      </c>
      <c r="J130" s="229">
        <v>100.3</v>
      </c>
      <c r="K130" s="229"/>
      <c r="L130" s="230"/>
      <c r="M130" s="41">
        <v>100</v>
      </c>
      <c r="N130" s="41"/>
      <c r="O130" s="475" t="s">
        <v>78</v>
      </c>
      <c r="P130" s="480"/>
      <c r="Q130" s="480">
        <v>1</v>
      </c>
      <c r="R130" s="482"/>
      <c r="U130" s="13"/>
      <c r="V130" s="14"/>
      <c r="W130" s="14"/>
      <c r="X130" s="14"/>
    </row>
    <row r="131" spans="1:32" x14ac:dyDescent="0.2">
      <c r="A131" s="2412"/>
      <c r="B131" s="2521"/>
      <c r="C131" s="2524"/>
      <c r="D131" s="2540"/>
      <c r="E131" s="2529"/>
      <c r="F131" s="2417"/>
      <c r="G131" s="2381"/>
      <c r="H131" s="282"/>
      <c r="I131" s="233">
        <f>J131+L131</f>
        <v>0</v>
      </c>
      <c r="J131" s="219"/>
      <c r="K131" s="219"/>
      <c r="L131" s="220"/>
      <c r="M131" s="69"/>
      <c r="N131" s="69"/>
      <c r="O131" s="17"/>
      <c r="P131" s="31"/>
      <c r="Q131" s="31"/>
      <c r="R131" s="144"/>
      <c r="U131" s="13"/>
      <c r="V131" s="14"/>
      <c r="W131" s="14"/>
      <c r="X131" s="14"/>
    </row>
    <row r="132" spans="1:32" ht="13.5" thickBot="1" x14ac:dyDescent="0.25">
      <c r="A132" s="2452"/>
      <c r="B132" s="2522"/>
      <c r="C132" s="2525"/>
      <c r="D132" s="2541"/>
      <c r="E132" s="2530"/>
      <c r="F132" s="2507"/>
      <c r="G132" s="2465"/>
      <c r="H132" s="280" t="s">
        <v>10</v>
      </c>
      <c r="I132" s="242">
        <f t="shared" ref="I132:N132" si="9">SUM(I130:I131)</f>
        <v>100.3</v>
      </c>
      <c r="J132" s="237">
        <f t="shared" si="9"/>
        <v>100.3</v>
      </c>
      <c r="K132" s="237">
        <f t="shared" si="9"/>
        <v>0</v>
      </c>
      <c r="L132" s="237">
        <f t="shared" si="9"/>
        <v>0</v>
      </c>
      <c r="M132" s="278">
        <f t="shared" si="9"/>
        <v>100</v>
      </c>
      <c r="N132" s="278">
        <f t="shared" si="9"/>
        <v>0</v>
      </c>
      <c r="O132" s="18"/>
      <c r="P132" s="481"/>
      <c r="Q132" s="481"/>
      <c r="R132" s="483"/>
      <c r="U132" s="13"/>
      <c r="V132" s="14"/>
      <c r="W132" s="14"/>
      <c r="X132" s="14"/>
    </row>
    <row r="133" spans="1:32" x14ac:dyDescent="0.2">
      <c r="A133" s="2457" t="s">
        <v>9</v>
      </c>
      <c r="B133" s="2520" t="s">
        <v>11</v>
      </c>
      <c r="C133" s="2523" t="s">
        <v>55</v>
      </c>
      <c r="D133" s="2539" t="s">
        <v>107</v>
      </c>
      <c r="E133" s="2528"/>
      <c r="F133" s="2506" t="s">
        <v>54</v>
      </c>
      <c r="G133" s="2451" t="s">
        <v>40</v>
      </c>
      <c r="H133" s="19" t="s">
        <v>36</v>
      </c>
      <c r="I133" s="239">
        <f>J133+L133</f>
        <v>20</v>
      </c>
      <c r="J133" s="229">
        <v>20</v>
      </c>
      <c r="K133" s="229"/>
      <c r="L133" s="230"/>
      <c r="M133" s="41"/>
      <c r="N133" s="41"/>
      <c r="O133" s="475" t="s">
        <v>79</v>
      </c>
      <c r="P133" s="480">
        <v>150</v>
      </c>
      <c r="Q133" s="480"/>
      <c r="R133" s="482"/>
      <c r="U133" s="13"/>
    </row>
    <row r="134" spans="1:32" x14ac:dyDescent="0.2">
      <c r="A134" s="2412"/>
      <c r="B134" s="2521"/>
      <c r="C134" s="2524"/>
      <c r="D134" s="2540"/>
      <c r="E134" s="2529"/>
      <c r="F134" s="2417"/>
      <c r="G134" s="2381"/>
      <c r="H134" s="26"/>
      <c r="I134" s="233">
        <f>J134+L134</f>
        <v>0</v>
      </c>
      <c r="J134" s="219"/>
      <c r="K134" s="219"/>
      <c r="L134" s="220"/>
      <c r="M134" s="69"/>
      <c r="N134" s="69"/>
      <c r="O134" s="17"/>
      <c r="P134" s="31"/>
      <c r="Q134" s="31"/>
      <c r="R134" s="144"/>
      <c r="U134" s="13"/>
    </row>
    <row r="135" spans="1:32" ht="13.5" thickBot="1" x14ac:dyDescent="0.25">
      <c r="A135" s="2452"/>
      <c r="B135" s="2522"/>
      <c r="C135" s="2525"/>
      <c r="D135" s="2541"/>
      <c r="E135" s="2530"/>
      <c r="F135" s="2507"/>
      <c r="G135" s="2465"/>
      <c r="H135" s="280" t="s">
        <v>10</v>
      </c>
      <c r="I135" s="242">
        <f t="shared" ref="I135:N135" si="10">SUM(I133:I134)</f>
        <v>20</v>
      </c>
      <c r="J135" s="237">
        <f t="shared" si="10"/>
        <v>20</v>
      </c>
      <c r="K135" s="237">
        <f t="shared" si="10"/>
        <v>0</v>
      </c>
      <c r="L135" s="237">
        <f t="shared" si="10"/>
        <v>0</v>
      </c>
      <c r="M135" s="278">
        <f t="shared" si="10"/>
        <v>0</v>
      </c>
      <c r="N135" s="278">
        <f t="shared" si="10"/>
        <v>0</v>
      </c>
      <c r="O135" s="18"/>
      <c r="P135" s="481"/>
      <c r="Q135" s="481"/>
      <c r="R135" s="483"/>
      <c r="U135" s="13"/>
    </row>
    <row r="136" spans="1:32" ht="13.5" thickBot="1" x14ac:dyDescent="0.25">
      <c r="A136" s="99" t="s">
        <v>9</v>
      </c>
      <c r="B136" s="11" t="s">
        <v>11</v>
      </c>
      <c r="C136" s="2516" t="s">
        <v>12</v>
      </c>
      <c r="D136" s="2516"/>
      <c r="E136" s="2516"/>
      <c r="F136" s="2516"/>
      <c r="G136" s="2516"/>
      <c r="H136" s="2542"/>
      <c r="I136" s="24">
        <f t="shared" ref="I136:N136" si="11">SUM(I129,I126,I135,I132,I123,I118,I115)</f>
        <v>1210</v>
      </c>
      <c r="J136" s="24">
        <f t="shared" si="11"/>
        <v>734.8</v>
      </c>
      <c r="K136" s="24">
        <f t="shared" si="11"/>
        <v>0</v>
      </c>
      <c r="L136" s="24">
        <f t="shared" si="11"/>
        <v>475.2</v>
      </c>
      <c r="M136" s="24">
        <f t="shared" si="11"/>
        <v>739</v>
      </c>
      <c r="N136" s="24">
        <f t="shared" si="11"/>
        <v>639</v>
      </c>
      <c r="O136" s="2543"/>
      <c r="P136" s="2544"/>
      <c r="Q136" s="2544"/>
      <c r="R136" s="2545"/>
      <c r="V136" s="14"/>
      <c r="W136" s="14"/>
      <c r="X136" s="14"/>
      <c r="Y136" s="14"/>
      <c r="Z136" s="14"/>
      <c r="AA136" s="14"/>
      <c r="AB136" s="14"/>
      <c r="AC136" s="14"/>
      <c r="AD136" s="14"/>
      <c r="AE136" s="14"/>
      <c r="AF136" s="14"/>
    </row>
    <row r="137" spans="1:32" ht="15" customHeight="1" thickBot="1" x14ac:dyDescent="0.25">
      <c r="A137" s="93" t="s">
        <v>9</v>
      </c>
      <c r="B137" s="11" t="s">
        <v>38</v>
      </c>
      <c r="C137" s="2517" t="s">
        <v>72</v>
      </c>
      <c r="D137" s="2518"/>
      <c r="E137" s="2518"/>
      <c r="F137" s="2518"/>
      <c r="G137" s="2518"/>
      <c r="H137" s="2518"/>
      <c r="I137" s="2518"/>
      <c r="J137" s="2518"/>
      <c r="K137" s="2518"/>
      <c r="L137" s="2518"/>
      <c r="M137" s="2518"/>
      <c r="N137" s="2518"/>
      <c r="O137" s="2518"/>
      <c r="P137" s="2518"/>
      <c r="Q137" s="2518"/>
      <c r="R137" s="2519"/>
      <c r="V137" s="14"/>
      <c r="W137" s="14"/>
      <c r="X137" s="14"/>
      <c r="Y137" s="14"/>
      <c r="Z137" s="14"/>
      <c r="AA137" s="14"/>
      <c r="AB137" s="14"/>
      <c r="AC137" s="14"/>
      <c r="AD137" s="14"/>
      <c r="AE137" s="14"/>
      <c r="AF137" s="14"/>
    </row>
    <row r="138" spans="1:32" ht="12.75" customHeight="1" x14ac:dyDescent="0.2">
      <c r="A138" s="2457" t="s">
        <v>9</v>
      </c>
      <c r="B138" s="2520" t="s">
        <v>38</v>
      </c>
      <c r="C138" s="2523" t="s">
        <v>9</v>
      </c>
      <c r="D138" s="2526" t="s">
        <v>82</v>
      </c>
      <c r="E138" s="2546"/>
      <c r="F138" s="2506" t="s">
        <v>54</v>
      </c>
      <c r="G138" s="2487" t="s">
        <v>40</v>
      </c>
      <c r="H138" s="281" t="s">
        <v>36</v>
      </c>
      <c r="I138" s="239">
        <f>J138+L138</f>
        <v>1233.5</v>
      </c>
      <c r="J138" s="229">
        <v>1233.5</v>
      </c>
      <c r="K138" s="229"/>
      <c r="L138" s="230"/>
      <c r="M138" s="46">
        <v>2006.3</v>
      </c>
      <c r="N138" s="46">
        <v>2006.3</v>
      </c>
      <c r="O138" s="2470" t="s">
        <v>198</v>
      </c>
      <c r="P138" s="43">
        <v>3.7</v>
      </c>
      <c r="Q138" s="43">
        <v>3.7</v>
      </c>
      <c r="R138" s="44">
        <v>3.7</v>
      </c>
      <c r="U138" s="13"/>
      <c r="V138" s="14"/>
      <c r="W138" s="14"/>
      <c r="X138" s="14"/>
      <c r="Y138" s="14"/>
      <c r="Z138" s="14"/>
      <c r="AA138" s="14"/>
      <c r="AB138" s="14"/>
      <c r="AC138" s="14"/>
      <c r="AD138" s="14"/>
      <c r="AE138" s="14"/>
      <c r="AF138" s="14"/>
    </row>
    <row r="139" spans="1:32" x14ac:dyDescent="0.2">
      <c r="A139" s="2412"/>
      <c r="B139" s="2521"/>
      <c r="C139" s="2524"/>
      <c r="D139" s="2513"/>
      <c r="E139" s="2416"/>
      <c r="F139" s="2417"/>
      <c r="G139" s="2488"/>
      <c r="H139" s="282"/>
      <c r="I139" s="233">
        <f>J139+L139</f>
        <v>0</v>
      </c>
      <c r="J139" s="219"/>
      <c r="K139" s="219"/>
      <c r="L139" s="220"/>
      <c r="M139" s="69"/>
      <c r="N139" s="69"/>
      <c r="O139" s="2436"/>
      <c r="P139" s="42"/>
      <c r="Q139" s="31"/>
      <c r="R139" s="144"/>
      <c r="U139" s="13"/>
      <c r="V139" s="14"/>
      <c r="W139" s="14"/>
      <c r="X139" s="14"/>
      <c r="Y139" s="14"/>
      <c r="Z139" s="14"/>
      <c r="AA139" s="14"/>
      <c r="AB139" s="14"/>
      <c r="AC139" s="14"/>
      <c r="AD139" s="14"/>
      <c r="AE139" s="14"/>
      <c r="AF139" s="14"/>
    </row>
    <row r="140" spans="1:32" ht="18" customHeight="1" x14ac:dyDescent="0.2">
      <c r="A140" s="2412"/>
      <c r="B140" s="2521"/>
      <c r="C140" s="2524"/>
      <c r="D140" s="2513"/>
      <c r="E140" s="2416"/>
      <c r="F140" s="2417"/>
      <c r="G140" s="2488"/>
      <c r="H140" s="365"/>
      <c r="I140" s="215">
        <f>J140+L140</f>
        <v>0</v>
      </c>
      <c r="J140" s="224"/>
      <c r="K140" s="224"/>
      <c r="L140" s="225"/>
      <c r="M140" s="23"/>
      <c r="N140" s="23"/>
      <c r="O140" s="2436"/>
      <c r="P140" s="31"/>
      <c r="Q140" s="31"/>
      <c r="R140" s="144"/>
      <c r="U140" s="13"/>
      <c r="V140" s="14"/>
      <c r="W140" s="14"/>
      <c r="X140" s="14"/>
      <c r="Y140" s="14"/>
      <c r="Z140" s="14"/>
      <c r="AA140" s="14"/>
      <c r="AB140" s="14"/>
      <c r="AC140" s="14"/>
      <c r="AD140" s="14"/>
      <c r="AE140" s="14"/>
      <c r="AF140" s="14"/>
    </row>
    <row r="141" spans="1:32" ht="22.5" customHeight="1" thickBot="1" x14ac:dyDescent="0.25">
      <c r="A141" s="2452"/>
      <c r="B141" s="2522"/>
      <c r="C141" s="2525"/>
      <c r="D141" s="2527"/>
      <c r="E141" s="2547"/>
      <c r="F141" s="2507"/>
      <c r="G141" s="2489"/>
      <c r="H141" s="280" t="s">
        <v>10</v>
      </c>
      <c r="I141" s="242">
        <f t="shared" ref="I141:N141" si="12">SUM(I138:I140)</f>
        <v>1233.5</v>
      </c>
      <c r="J141" s="237">
        <f t="shared" si="12"/>
        <v>1233.5</v>
      </c>
      <c r="K141" s="237">
        <f t="shared" si="12"/>
        <v>0</v>
      </c>
      <c r="L141" s="237">
        <f t="shared" si="12"/>
        <v>0</v>
      </c>
      <c r="M141" s="278">
        <f t="shared" si="12"/>
        <v>2006.3</v>
      </c>
      <c r="N141" s="278">
        <f t="shared" si="12"/>
        <v>2006.3</v>
      </c>
      <c r="O141" s="2466"/>
      <c r="P141" s="481"/>
      <c r="Q141" s="481"/>
      <c r="R141" s="483"/>
      <c r="U141" s="13"/>
      <c r="V141" s="14"/>
      <c r="W141" s="14"/>
      <c r="X141" s="14"/>
      <c r="Y141" s="14"/>
      <c r="Z141" s="14"/>
      <c r="AA141" s="14"/>
      <c r="AB141" s="14"/>
      <c r="AC141" s="14"/>
      <c r="AD141" s="14"/>
      <c r="AE141" s="14"/>
      <c r="AF141" s="14"/>
    </row>
    <row r="142" spans="1:32" ht="12.75" customHeight="1" x14ac:dyDescent="0.2">
      <c r="A142" s="2457" t="s">
        <v>9</v>
      </c>
      <c r="B142" s="2520" t="s">
        <v>38</v>
      </c>
      <c r="C142" s="2523" t="s">
        <v>11</v>
      </c>
      <c r="D142" s="2526" t="s">
        <v>39</v>
      </c>
      <c r="E142" s="2546"/>
      <c r="F142" s="2506" t="s">
        <v>41</v>
      </c>
      <c r="G142" s="2487" t="s">
        <v>40</v>
      </c>
      <c r="H142" s="281" t="s">
        <v>36</v>
      </c>
      <c r="I142" s="239">
        <f>J142+L142</f>
        <v>0</v>
      </c>
      <c r="J142" s="229"/>
      <c r="K142" s="229"/>
      <c r="L142" s="230"/>
      <c r="M142" s="46"/>
      <c r="N142" s="46"/>
      <c r="O142" s="2470" t="s">
        <v>106</v>
      </c>
      <c r="P142" s="480"/>
      <c r="Q142" s="480" t="s">
        <v>42</v>
      </c>
      <c r="R142" s="482" t="s">
        <v>42</v>
      </c>
      <c r="U142" s="13"/>
      <c r="V142" s="14"/>
      <c r="W142" s="14"/>
      <c r="X142" s="14"/>
      <c r="Y142" s="14"/>
      <c r="Z142" s="14"/>
      <c r="AA142" s="14"/>
      <c r="AB142" s="14"/>
      <c r="AC142" s="14"/>
      <c r="AD142" s="14"/>
      <c r="AE142" s="14"/>
      <c r="AF142" s="14"/>
    </row>
    <row r="143" spans="1:32" x14ac:dyDescent="0.2">
      <c r="A143" s="2412"/>
      <c r="B143" s="2521"/>
      <c r="C143" s="2524"/>
      <c r="D143" s="2513"/>
      <c r="E143" s="2416"/>
      <c r="F143" s="2417"/>
      <c r="G143" s="2488"/>
      <c r="H143" s="282"/>
      <c r="I143" s="233">
        <f>J143+L143</f>
        <v>0</v>
      </c>
      <c r="J143" s="219">
        <v>0</v>
      </c>
      <c r="K143" s="219"/>
      <c r="L143" s="220"/>
      <c r="M143" s="69"/>
      <c r="N143" s="69"/>
      <c r="O143" s="2436"/>
      <c r="P143" s="31"/>
      <c r="Q143" s="31"/>
      <c r="R143" s="144"/>
      <c r="U143" s="13"/>
      <c r="V143" s="14"/>
      <c r="W143" s="14"/>
      <c r="X143" s="14"/>
      <c r="Y143" s="14"/>
      <c r="Z143" s="14"/>
      <c r="AA143" s="14"/>
      <c r="AB143" s="14"/>
      <c r="AC143" s="14"/>
      <c r="AD143" s="14"/>
      <c r="AE143" s="14"/>
      <c r="AF143" s="14"/>
    </row>
    <row r="144" spans="1:32" ht="13.5" thickBot="1" x14ac:dyDescent="0.25">
      <c r="A144" s="2452"/>
      <c r="B144" s="2522"/>
      <c r="C144" s="2525"/>
      <c r="D144" s="2527"/>
      <c r="E144" s="2547"/>
      <c r="F144" s="2507"/>
      <c r="G144" s="2489"/>
      <c r="H144" s="280" t="s">
        <v>10</v>
      </c>
      <c r="I144" s="242">
        <f t="shared" ref="I144:N144" si="13">SUM(I142:I143)</f>
        <v>0</v>
      </c>
      <c r="J144" s="237">
        <f t="shared" si="13"/>
        <v>0</v>
      </c>
      <c r="K144" s="237">
        <f t="shared" si="13"/>
        <v>0</v>
      </c>
      <c r="L144" s="237">
        <f t="shared" si="13"/>
        <v>0</v>
      </c>
      <c r="M144" s="278">
        <f t="shared" si="13"/>
        <v>0</v>
      </c>
      <c r="N144" s="278">
        <f t="shared" si="13"/>
        <v>0</v>
      </c>
      <c r="O144" s="18"/>
      <c r="P144" s="481"/>
      <c r="Q144" s="481"/>
      <c r="R144" s="483"/>
      <c r="U144" s="13"/>
      <c r="V144" s="14"/>
      <c r="W144" s="14"/>
      <c r="X144" s="14"/>
      <c r="Y144" s="14"/>
      <c r="Z144" s="14"/>
      <c r="AA144" s="14"/>
      <c r="AB144" s="14"/>
      <c r="AC144" s="14"/>
      <c r="AD144" s="14"/>
      <c r="AE144" s="14"/>
      <c r="AF144" s="14"/>
    </row>
    <row r="145" spans="1:32" ht="12.75" customHeight="1" x14ac:dyDescent="0.2">
      <c r="A145" s="2457" t="s">
        <v>9</v>
      </c>
      <c r="B145" s="2520" t="s">
        <v>38</v>
      </c>
      <c r="C145" s="2523" t="s">
        <v>38</v>
      </c>
      <c r="D145" s="2526" t="s">
        <v>43</v>
      </c>
      <c r="E145" s="2546"/>
      <c r="F145" s="2506" t="s">
        <v>44</v>
      </c>
      <c r="G145" s="2487" t="s">
        <v>40</v>
      </c>
      <c r="H145" s="281" t="s">
        <v>36</v>
      </c>
      <c r="I145" s="239">
        <f>J145+L145</f>
        <v>0</v>
      </c>
      <c r="J145" s="229"/>
      <c r="K145" s="229"/>
      <c r="L145" s="230"/>
      <c r="M145" s="46">
        <v>62</v>
      </c>
      <c r="N145" s="46">
        <v>62</v>
      </c>
      <c r="O145" s="2470" t="s">
        <v>45</v>
      </c>
      <c r="P145" s="480"/>
      <c r="Q145" s="480">
        <v>13</v>
      </c>
      <c r="R145" s="482">
        <v>13</v>
      </c>
      <c r="U145" s="13"/>
      <c r="V145" s="14"/>
      <c r="W145" s="14"/>
      <c r="X145" s="14"/>
      <c r="Y145" s="14"/>
      <c r="Z145" s="14"/>
      <c r="AA145" s="14"/>
      <c r="AB145" s="14"/>
      <c r="AC145" s="14"/>
      <c r="AD145" s="14"/>
      <c r="AE145" s="14"/>
      <c r="AF145" s="14"/>
    </row>
    <row r="146" spans="1:32" x14ac:dyDescent="0.2">
      <c r="A146" s="2412"/>
      <c r="B146" s="2521"/>
      <c r="C146" s="2524"/>
      <c r="D146" s="2513"/>
      <c r="E146" s="2416"/>
      <c r="F146" s="2417"/>
      <c r="G146" s="2488"/>
      <c r="H146" s="282"/>
      <c r="I146" s="233">
        <f>J146+L146</f>
        <v>0</v>
      </c>
      <c r="J146" s="219"/>
      <c r="K146" s="219"/>
      <c r="L146" s="220"/>
      <c r="M146" s="69"/>
      <c r="N146" s="69"/>
      <c r="O146" s="2436"/>
      <c r="P146" s="31"/>
      <c r="Q146" s="31"/>
      <c r="R146" s="144"/>
      <c r="U146" s="13"/>
      <c r="V146" s="14"/>
      <c r="W146" s="14"/>
      <c r="X146" s="14"/>
      <c r="Y146" s="14"/>
      <c r="Z146" s="14"/>
      <c r="AA146" s="14"/>
      <c r="AB146" s="14"/>
      <c r="AC146" s="14"/>
      <c r="AD146" s="14"/>
      <c r="AE146" s="14"/>
      <c r="AF146" s="14"/>
    </row>
    <row r="147" spans="1:32" ht="13.5" thickBot="1" x14ac:dyDescent="0.25">
      <c r="A147" s="2452"/>
      <c r="B147" s="2522"/>
      <c r="C147" s="2525"/>
      <c r="D147" s="2527"/>
      <c r="E147" s="2547"/>
      <c r="F147" s="2507"/>
      <c r="G147" s="2489"/>
      <c r="H147" s="280" t="s">
        <v>10</v>
      </c>
      <c r="I147" s="242">
        <f t="shared" ref="I147:N147" si="14">SUM(I145:I146)</f>
        <v>0</v>
      </c>
      <c r="J147" s="237">
        <f t="shared" si="14"/>
        <v>0</v>
      </c>
      <c r="K147" s="237">
        <f t="shared" si="14"/>
        <v>0</v>
      </c>
      <c r="L147" s="237">
        <f t="shared" si="14"/>
        <v>0</v>
      </c>
      <c r="M147" s="278">
        <f t="shared" si="14"/>
        <v>62</v>
      </c>
      <c r="N147" s="278">
        <f t="shared" si="14"/>
        <v>62</v>
      </c>
      <c r="O147" s="18"/>
      <c r="P147" s="481"/>
      <c r="Q147" s="481"/>
      <c r="R147" s="483"/>
      <c r="U147" s="13"/>
      <c r="V147" s="14"/>
      <c r="W147" s="14"/>
      <c r="X147" s="14"/>
      <c r="Y147" s="14"/>
      <c r="Z147" s="14"/>
      <c r="AA147" s="14"/>
      <c r="AB147" s="14"/>
      <c r="AC147" s="14"/>
      <c r="AD147" s="14"/>
      <c r="AE147" s="14"/>
      <c r="AF147" s="14"/>
    </row>
    <row r="148" spans="1:32" ht="12.75" customHeight="1" x14ac:dyDescent="0.2">
      <c r="A148" s="2457" t="s">
        <v>9</v>
      </c>
      <c r="B148" s="2520" t="s">
        <v>38</v>
      </c>
      <c r="C148" s="2523" t="s">
        <v>53</v>
      </c>
      <c r="D148" s="2467" t="s">
        <v>146</v>
      </c>
      <c r="E148" s="2546"/>
      <c r="F148" s="2555" t="s">
        <v>44</v>
      </c>
      <c r="G148" s="2548" t="s">
        <v>40</v>
      </c>
      <c r="H148" s="366" t="s">
        <v>92</v>
      </c>
      <c r="I148" s="263">
        <f>+J148+L148</f>
        <v>0</v>
      </c>
      <c r="J148" s="264">
        <v>0</v>
      </c>
      <c r="K148" s="264"/>
      <c r="L148" s="265">
        <v>0</v>
      </c>
      <c r="M148" s="111">
        <v>50</v>
      </c>
      <c r="N148" s="110">
        <v>50</v>
      </c>
      <c r="O148" s="2496" t="s">
        <v>150</v>
      </c>
      <c r="P148" s="2551"/>
      <c r="Q148" s="2551"/>
      <c r="R148" s="2553">
        <v>1</v>
      </c>
      <c r="T148" s="13"/>
      <c r="V148" s="14"/>
      <c r="W148" s="14"/>
      <c r="X148" s="14"/>
      <c r="Y148" s="14"/>
      <c r="Z148" s="14"/>
      <c r="AA148" s="14"/>
      <c r="AB148" s="14"/>
      <c r="AC148" s="14"/>
      <c r="AD148" s="14"/>
      <c r="AE148" s="14"/>
      <c r="AF148" s="14"/>
    </row>
    <row r="149" spans="1:32" ht="30" customHeight="1" thickBot="1" x14ac:dyDescent="0.25">
      <c r="A149" s="2452"/>
      <c r="B149" s="2522"/>
      <c r="C149" s="2525"/>
      <c r="D149" s="2455"/>
      <c r="E149" s="2547"/>
      <c r="F149" s="2556"/>
      <c r="G149" s="2549"/>
      <c r="H149" s="280" t="s">
        <v>10</v>
      </c>
      <c r="I149" s="242">
        <f>+L149+J149</f>
        <v>0</v>
      </c>
      <c r="J149" s="242">
        <f>+J148</f>
        <v>0</v>
      </c>
      <c r="K149" s="242"/>
      <c r="L149" s="247">
        <f>+L148</f>
        <v>0</v>
      </c>
      <c r="M149" s="278">
        <f>+M148</f>
        <v>50</v>
      </c>
      <c r="N149" s="242">
        <f>+N148</f>
        <v>50</v>
      </c>
      <c r="O149" s="2550"/>
      <c r="P149" s="2552"/>
      <c r="Q149" s="2552"/>
      <c r="R149" s="2554"/>
      <c r="T149" s="13"/>
      <c r="V149" s="14"/>
      <c r="W149" s="14"/>
      <c r="X149" s="14"/>
      <c r="Y149" s="14"/>
      <c r="Z149" s="14"/>
      <c r="AA149" s="14"/>
      <c r="AB149" s="14"/>
      <c r="AC149" s="14"/>
      <c r="AD149" s="14"/>
      <c r="AE149" s="14"/>
      <c r="AF149" s="14"/>
    </row>
    <row r="150" spans="1:32" ht="13.5" thickBot="1" x14ac:dyDescent="0.25">
      <c r="A150" s="99" t="s">
        <v>9</v>
      </c>
      <c r="B150" s="11" t="s">
        <v>38</v>
      </c>
      <c r="C150" s="2516" t="s">
        <v>12</v>
      </c>
      <c r="D150" s="2516"/>
      <c r="E150" s="2516"/>
      <c r="F150" s="2516"/>
      <c r="G150" s="2516"/>
      <c r="H150" s="2542"/>
      <c r="I150" s="24">
        <f t="shared" ref="I150:N150" si="15">SUM(I147,I144,I141,I149)</f>
        <v>1233.5</v>
      </c>
      <c r="J150" s="24">
        <f t="shared" si="15"/>
        <v>1233.5</v>
      </c>
      <c r="K150" s="24">
        <f t="shared" si="15"/>
        <v>0</v>
      </c>
      <c r="L150" s="24">
        <f t="shared" si="15"/>
        <v>0</v>
      </c>
      <c r="M150" s="24">
        <f t="shared" si="15"/>
        <v>2118.3000000000002</v>
      </c>
      <c r="N150" s="24">
        <f t="shared" si="15"/>
        <v>2118.3000000000002</v>
      </c>
      <c r="O150" s="2543"/>
      <c r="P150" s="2544"/>
      <c r="Q150" s="2544"/>
      <c r="R150" s="2545"/>
      <c r="V150" s="14"/>
      <c r="W150" s="14"/>
      <c r="X150" s="14"/>
      <c r="Y150" s="14"/>
      <c r="Z150" s="14"/>
      <c r="AA150" s="14"/>
      <c r="AB150" s="14"/>
      <c r="AC150" s="14"/>
      <c r="AD150" s="14"/>
      <c r="AE150" s="14"/>
      <c r="AF150" s="14"/>
    </row>
    <row r="151" spans="1:32" ht="13.5" thickBot="1" x14ac:dyDescent="0.25">
      <c r="A151" s="93" t="s">
        <v>9</v>
      </c>
      <c r="B151" s="11" t="s">
        <v>53</v>
      </c>
      <c r="C151" s="2557" t="s">
        <v>73</v>
      </c>
      <c r="D151" s="2558"/>
      <c r="E151" s="2558"/>
      <c r="F151" s="2558"/>
      <c r="G151" s="2558"/>
      <c r="H151" s="2558"/>
      <c r="I151" s="2558"/>
      <c r="J151" s="2558"/>
      <c r="K151" s="2558"/>
      <c r="L151" s="2558"/>
      <c r="M151" s="2558"/>
      <c r="N151" s="2558"/>
      <c r="O151" s="2558"/>
      <c r="P151" s="2558"/>
      <c r="Q151" s="2558"/>
      <c r="R151" s="2559"/>
      <c r="V151" s="14"/>
      <c r="W151" s="14"/>
      <c r="X151" s="14"/>
      <c r="Y151" s="14"/>
      <c r="Z151" s="14"/>
      <c r="AA151" s="14"/>
      <c r="AB151" s="14"/>
      <c r="AC151" s="14"/>
      <c r="AD151" s="14"/>
      <c r="AE151" s="14"/>
      <c r="AF151" s="14"/>
    </row>
    <row r="152" spans="1:32" ht="25.5" x14ac:dyDescent="0.2">
      <c r="A152" s="476" t="s">
        <v>9</v>
      </c>
      <c r="B152" s="478" t="s">
        <v>53</v>
      </c>
      <c r="C152" s="490" t="s">
        <v>9</v>
      </c>
      <c r="D152" s="499" t="s">
        <v>166</v>
      </c>
      <c r="E152" s="505"/>
      <c r="F152" s="472"/>
      <c r="G152" s="473"/>
      <c r="H152" s="72"/>
      <c r="I152" s="266"/>
      <c r="J152" s="267"/>
      <c r="K152" s="268"/>
      <c r="L152" s="351"/>
      <c r="M152" s="370"/>
      <c r="N152" s="370"/>
      <c r="O152" s="73"/>
      <c r="P152" s="74"/>
      <c r="Q152" s="74"/>
      <c r="R152" s="482"/>
      <c r="S152" s="71"/>
      <c r="U152" s="13"/>
    </row>
    <row r="153" spans="1:32" ht="12.75" customHeight="1" x14ac:dyDescent="0.2">
      <c r="A153" s="2412"/>
      <c r="B153" s="2521"/>
      <c r="C153" s="2560"/>
      <c r="D153" s="2562" t="s">
        <v>134</v>
      </c>
      <c r="E153" s="2565" t="s">
        <v>91</v>
      </c>
      <c r="F153" s="2568" t="s">
        <v>54</v>
      </c>
      <c r="G153" s="2574" t="s">
        <v>90</v>
      </c>
      <c r="H153" s="511" t="s">
        <v>36</v>
      </c>
      <c r="I153" s="512">
        <v>200</v>
      </c>
      <c r="J153" s="513"/>
      <c r="K153" s="513"/>
      <c r="L153" s="530">
        <v>200</v>
      </c>
      <c r="M153" s="529">
        <v>100</v>
      </c>
      <c r="N153" s="514"/>
      <c r="O153" s="2577" t="s">
        <v>137</v>
      </c>
      <c r="P153" s="515"/>
      <c r="Q153" s="515"/>
      <c r="R153" s="125"/>
      <c r="U153" s="13"/>
    </row>
    <row r="154" spans="1:32" x14ac:dyDescent="0.2">
      <c r="A154" s="2412"/>
      <c r="B154" s="2521"/>
      <c r="C154" s="2560"/>
      <c r="D154" s="2563"/>
      <c r="E154" s="2566"/>
      <c r="F154" s="2569"/>
      <c r="G154" s="2575"/>
      <c r="H154" s="516"/>
      <c r="I154" s="517"/>
      <c r="J154" s="377"/>
      <c r="K154" s="377"/>
      <c r="L154" s="531"/>
      <c r="M154" s="518"/>
      <c r="N154" s="518"/>
      <c r="O154" s="2578"/>
      <c r="P154" s="519"/>
      <c r="Q154" s="520"/>
      <c r="R154" s="144"/>
      <c r="U154" s="13"/>
    </row>
    <row r="155" spans="1:32" ht="15.75" customHeight="1" thickBot="1" x14ac:dyDescent="0.25">
      <c r="A155" s="2452"/>
      <c r="B155" s="2522"/>
      <c r="C155" s="2561"/>
      <c r="D155" s="2564"/>
      <c r="E155" s="2567"/>
      <c r="F155" s="2570"/>
      <c r="G155" s="2576"/>
      <c r="H155" s="521"/>
      <c r="I155" s="522"/>
      <c r="J155" s="523"/>
      <c r="K155" s="523"/>
      <c r="L155" s="532"/>
      <c r="M155" s="524"/>
      <c r="N155" s="524"/>
      <c r="O155" s="2579"/>
      <c r="P155" s="525">
        <v>50</v>
      </c>
      <c r="Q155" s="526">
        <v>50</v>
      </c>
      <c r="R155" s="483"/>
      <c r="U155" s="13"/>
    </row>
    <row r="156" spans="1:32" ht="12.75" customHeight="1" x14ac:dyDescent="0.2">
      <c r="A156" s="2580"/>
      <c r="B156" s="2582"/>
      <c r="C156" s="2584"/>
      <c r="D156" s="2467" t="s">
        <v>83</v>
      </c>
      <c r="E156" s="2546"/>
      <c r="F156" s="2506" t="s">
        <v>54</v>
      </c>
      <c r="G156" s="2572" t="s">
        <v>40</v>
      </c>
      <c r="H156" s="421" t="s">
        <v>36</v>
      </c>
      <c r="I156" s="266">
        <f>J156+L156</f>
        <v>265.7</v>
      </c>
      <c r="J156" s="268">
        <v>265.7</v>
      </c>
      <c r="K156" s="268"/>
      <c r="L156" s="351"/>
      <c r="M156" s="370">
        <v>266</v>
      </c>
      <c r="N156" s="370">
        <v>266</v>
      </c>
      <c r="O156" s="2470" t="s">
        <v>84</v>
      </c>
      <c r="P156" s="401">
        <v>285</v>
      </c>
      <c r="Q156" s="401">
        <v>285</v>
      </c>
      <c r="R156" s="403">
        <v>285</v>
      </c>
      <c r="W156" s="510"/>
    </row>
    <row r="157" spans="1:32" x14ac:dyDescent="0.2">
      <c r="A157" s="2581"/>
      <c r="B157" s="2583"/>
      <c r="C157" s="2560"/>
      <c r="D157" s="2444"/>
      <c r="E157" s="2416"/>
      <c r="F157" s="2417"/>
      <c r="G157" s="2573"/>
      <c r="H157" s="372"/>
      <c r="I157" s="316"/>
      <c r="J157" s="219"/>
      <c r="K157" s="219"/>
      <c r="L157" s="243"/>
      <c r="M157" s="103"/>
      <c r="N157" s="103"/>
      <c r="O157" s="2436"/>
      <c r="P157" s="31"/>
      <c r="Q157" s="31"/>
      <c r="R157" s="144"/>
    </row>
    <row r="158" spans="1:32" ht="27" customHeight="1" thickBot="1" x14ac:dyDescent="0.25">
      <c r="A158" s="390"/>
      <c r="B158" s="396"/>
      <c r="C158" s="398"/>
      <c r="D158" s="399"/>
      <c r="E158" s="388"/>
      <c r="F158" s="384"/>
      <c r="G158" s="385"/>
      <c r="H158" s="283" t="s">
        <v>10</v>
      </c>
      <c r="I158" s="536" t="s">
        <v>208</v>
      </c>
      <c r="J158" s="528">
        <v>265.7</v>
      </c>
      <c r="K158" s="242">
        <f>K153+K156</f>
        <v>0</v>
      </c>
      <c r="L158" s="530">
        <v>200</v>
      </c>
      <c r="M158" s="535" t="s">
        <v>207</v>
      </c>
      <c r="N158" s="242">
        <f>N153+N156</f>
        <v>266</v>
      </c>
      <c r="O158" s="28"/>
      <c r="P158" s="402"/>
      <c r="Q158" s="33"/>
      <c r="R158" s="404"/>
      <c r="U158" s="13"/>
    </row>
    <row r="159" spans="1:32" ht="16.5" customHeight="1" x14ac:dyDescent="0.2">
      <c r="A159" s="2457" t="s">
        <v>9</v>
      </c>
      <c r="B159" s="2520" t="s">
        <v>53</v>
      </c>
      <c r="C159" s="2585" t="s">
        <v>11</v>
      </c>
      <c r="D159" s="2467" t="s">
        <v>125</v>
      </c>
      <c r="E159" s="2493"/>
      <c r="F159" s="2588" t="s">
        <v>41</v>
      </c>
      <c r="G159" s="2451" t="s">
        <v>40</v>
      </c>
      <c r="H159" s="15" t="s">
        <v>36</v>
      </c>
      <c r="I159" s="239">
        <f>J159+L159</f>
        <v>48.6</v>
      </c>
      <c r="J159" s="229">
        <v>48.6</v>
      </c>
      <c r="K159" s="229"/>
      <c r="L159" s="240"/>
      <c r="M159" s="121">
        <v>44.7</v>
      </c>
      <c r="N159" s="46">
        <v>52.9</v>
      </c>
      <c r="O159" s="386" t="s">
        <v>127</v>
      </c>
      <c r="P159" s="401">
        <v>49</v>
      </c>
      <c r="Q159" s="401">
        <v>50</v>
      </c>
      <c r="R159" s="403">
        <v>49</v>
      </c>
      <c r="U159" s="13"/>
    </row>
    <row r="160" spans="1:32" ht="16.5" customHeight="1" x14ac:dyDescent="0.2">
      <c r="A160" s="2412"/>
      <c r="B160" s="2521"/>
      <c r="C160" s="2586"/>
      <c r="D160" s="2444"/>
      <c r="E160" s="2494"/>
      <c r="F160" s="2589"/>
      <c r="G160" s="2381"/>
      <c r="H160" s="145"/>
      <c r="I160" s="231"/>
      <c r="J160" s="224"/>
      <c r="K160" s="224"/>
      <c r="L160" s="244"/>
      <c r="M160" s="82"/>
      <c r="N160" s="23"/>
      <c r="O160" s="27" t="s">
        <v>126</v>
      </c>
      <c r="P160" s="31">
        <v>12</v>
      </c>
      <c r="Q160" s="32">
        <v>10</v>
      </c>
      <c r="R160" s="144">
        <v>13</v>
      </c>
      <c r="U160" s="13"/>
    </row>
    <row r="161" spans="1:23" ht="13.5" customHeight="1" thickBot="1" x14ac:dyDescent="0.25">
      <c r="A161" s="2452"/>
      <c r="B161" s="2522"/>
      <c r="C161" s="2587"/>
      <c r="D161" s="2455"/>
      <c r="E161" s="2533"/>
      <c r="F161" s="2590"/>
      <c r="G161" s="2465"/>
      <c r="H161" s="283" t="s">
        <v>10</v>
      </c>
      <c r="I161" s="236">
        <f t="shared" ref="I161:N161" si="16">I159</f>
        <v>48.6</v>
      </c>
      <c r="J161" s="242">
        <f t="shared" si="16"/>
        <v>48.6</v>
      </c>
      <c r="K161" s="242">
        <f t="shared" si="16"/>
        <v>0</v>
      </c>
      <c r="L161" s="245">
        <f t="shared" si="16"/>
        <v>0</v>
      </c>
      <c r="M161" s="247">
        <f t="shared" si="16"/>
        <v>44.7</v>
      </c>
      <c r="N161" s="278">
        <f t="shared" si="16"/>
        <v>52.9</v>
      </c>
      <c r="O161" s="28"/>
      <c r="P161" s="402"/>
      <c r="Q161" s="33"/>
      <c r="R161" s="404"/>
      <c r="U161" s="13"/>
      <c r="W161" s="527"/>
    </row>
    <row r="162" spans="1:23" ht="27.75" customHeight="1" thickBot="1" x14ac:dyDescent="0.25">
      <c r="A162" s="390" t="s">
        <v>9</v>
      </c>
      <c r="B162" s="396" t="s">
        <v>53</v>
      </c>
      <c r="C162" s="2571" t="s">
        <v>12</v>
      </c>
      <c r="D162" s="2516"/>
      <c r="E162" s="2516"/>
      <c r="F162" s="2516"/>
      <c r="G162" s="2516"/>
      <c r="H162" s="2542"/>
      <c r="I162" s="537" t="s">
        <v>209</v>
      </c>
      <c r="J162" s="24">
        <f>J161+J158</f>
        <v>314.3</v>
      </c>
      <c r="K162" s="24">
        <f>K161+K158</f>
        <v>0</v>
      </c>
      <c r="L162" s="533">
        <v>200</v>
      </c>
      <c r="M162" s="534" t="s">
        <v>206</v>
      </c>
      <c r="N162" s="24">
        <f>N161+N158</f>
        <v>318.89999999999998</v>
      </c>
      <c r="O162" s="137"/>
      <c r="P162" s="138"/>
      <c r="Q162" s="139"/>
      <c r="R162" s="140"/>
    </row>
    <row r="163" spans="1:23" ht="13.5" thickBot="1" x14ac:dyDescent="0.25">
      <c r="A163" s="93" t="s">
        <v>9</v>
      </c>
      <c r="B163" s="11" t="s">
        <v>109</v>
      </c>
      <c r="C163" s="2557" t="s">
        <v>110</v>
      </c>
      <c r="D163" s="2558"/>
      <c r="E163" s="2558"/>
      <c r="F163" s="2558"/>
      <c r="G163" s="2558"/>
      <c r="H163" s="2558"/>
      <c r="I163" s="2558"/>
      <c r="J163" s="2558"/>
      <c r="K163" s="2558"/>
      <c r="L163" s="2558"/>
      <c r="M163" s="2558"/>
      <c r="N163" s="2558"/>
      <c r="O163" s="2558"/>
      <c r="P163" s="2558"/>
      <c r="Q163" s="2558"/>
      <c r="R163" s="2559"/>
    </row>
    <row r="164" spans="1:23" ht="14.25" customHeight="1" x14ac:dyDescent="0.2">
      <c r="A164" s="100" t="s">
        <v>9</v>
      </c>
      <c r="B164" s="89" t="s">
        <v>54</v>
      </c>
      <c r="C164" s="397" t="s">
        <v>9</v>
      </c>
      <c r="D164" s="119" t="s">
        <v>118</v>
      </c>
      <c r="E164" s="2609"/>
      <c r="F164" s="2612" t="s">
        <v>44</v>
      </c>
      <c r="G164" s="2615">
        <v>6</v>
      </c>
      <c r="H164" s="367" t="s">
        <v>36</v>
      </c>
      <c r="I164" s="340">
        <f>J164+L164</f>
        <v>12686.1</v>
      </c>
      <c r="J164" s="268">
        <v>12686.1</v>
      </c>
      <c r="K164" s="268"/>
      <c r="L164" s="351"/>
      <c r="M164" s="371">
        <v>13019</v>
      </c>
      <c r="N164" s="79">
        <v>13019</v>
      </c>
      <c r="O164" s="400" t="s">
        <v>124</v>
      </c>
      <c r="P164" s="124">
        <v>116</v>
      </c>
      <c r="Q164" s="124">
        <v>116</v>
      </c>
      <c r="R164" s="125">
        <v>116</v>
      </c>
    </row>
    <row r="165" spans="1:23" ht="15" customHeight="1" x14ac:dyDescent="0.2">
      <c r="A165" s="391"/>
      <c r="B165" s="392"/>
      <c r="C165" s="393"/>
      <c r="D165" s="120" t="s">
        <v>120</v>
      </c>
      <c r="E165" s="2610"/>
      <c r="F165" s="2613"/>
      <c r="G165" s="2616"/>
      <c r="H165" s="369"/>
      <c r="I165" s="246"/>
      <c r="J165" s="219"/>
      <c r="K165" s="219"/>
      <c r="L165" s="243"/>
      <c r="M165" s="375"/>
      <c r="N165" s="368"/>
      <c r="O165" s="387"/>
      <c r="P165" s="31"/>
      <c r="Q165" s="31"/>
      <c r="R165" s="144"/>
    </row>
    <row r="166" spans="1:23" ht="16.5" customHeight="1" x14ac:dyDescent="0.2">
      <c r="A166" s="391"/>
      <c r="B166" s="392"/>
      <c r="C166" s="393"/>
      <c r="D166" s="394" t="s">
        <v>121</v>
      </c>
      <c r="E166" s="2610"/>
      <c r="F166" s="2613"/>
      <c r="G166" s="2616"/>
      <c r="H166" s="369"/>
      <c r="I166" s="246"/>
      <c r="J166" s="219"/>
      <c r="K166" s="219"/>
      <c r="L166" s="243"/>
      <c r="M166" s="375"/>
      <c r="N166" s="368"/>
      <c r="O166" s="387"/>
      <c r="P166" s="31"/>
      <c r="Q166" s="31"/>
      <c r="R166" s="144"/>
    </row>
    <row r="167" spans="1:23" ht="15.75" customHeight="1" x14ac:dyDescent="0.2">
      <c r="A167" s="391"/>
      <c r="B167" s="392"/>
      <c r="C167" s="393"/>
      <c r="D167" s="120" t="s">
        <v>122</v>
      </c>
      <c r="E167" s="2610"/>
      <c r="F167" s="2613"/>
      <c r="G167" s="2616"/>
      <c r="H167" s="369"/>
      <c r="I167" s="246"/>
      <c r="J167" s="219"/>
      <c r="K167" s="219"/>
      <c r="L167" s="243"/>
      <c r="M167" s="375"/>
      <c r="N167" s="368"/>
      <c r="O167" s="387"/>
      <c r="P167" s="31"/>
      <c r="Q167" s="31"/>
      <c r="R167" s="144"/>
    </row>
    <row r="168" spans="1:23" s="52" customFormat="1" ht="15.75" customHeight="1" x14ac:dyDescent="0.2">
      <c r="A168" s="389"/>
      <c r="B168" s="395"/>
      <c r="C168" s="70"/>
      <c r="D168" s="120" t="s">
        <v>123</v>
      </c>
      <c r="E168" s="2610"/>
      <c r="F168" s="2613"/>
      <c r="G168" s="2616"/>
      <c r="H168" s="16"/>
      <c r="I168" s="376"/>
      <c r="J168" s="377"/>
      <c r="K168" s="378"/>
      <c r="L168" s="379"/>
      <c r="M168" s="375"/>
      <c r="N168" s="368"/>
      <c r="O168" s="387"/>
      <c r="P168" s="128"/>
      <c r="Q168" s="129"/>
      <c r="R168" s="132"/>
    </row>
    <row r="169" spans="1:23" x14ac:dyDescent="0.2">
      <c r="A169" s="2581"/>
      <c r="B169" s="2583"/>
      <c r="C169" s="2586"/>
      <c r="D169" s="2437" t="s">
        <v>119</v>
      </c>
      <c r="E169" s="2610"/>
      <c r="F169" s="2613"/>
      <c r="G169" s="2616"/>
      <c r="H169" s="372"/>
      <c r="I169" s="215"/>
      <c r="J169" s="216"/>
      <c r="K169" s="216"/>
      <c r="L169" s="232"/>
      <c r="M169" s="373"/>
      <c r="N169" s="374"/>
      <c r="O169" s="387"/>
      <c r="P169" s="31"/>
      <c r="Q169" s="31"/>
      <c r="R169" s="144"/>
    </row>
    <row r="170" spans="1:23" ht="13.5" thickBot="1" x14ac:dyDescent="0.25">
      <c r="A170" s="2620"/>
      <c r="B170" s="2621"/>
      <c r="C170" s="2587"/>
      <c r="D170" s="2622"/>
      <c r="E170" s="2611"/>
      <c r="F170" s="2614"/>
      <c r="G170" s="2617"/>
      <c r="H170" s="283" t="s">
        <v>10</v>
      </c>
      <c r="I170" s="270">
        <f t="shared" ref="I170:N170" si="17">SUM(I164:I169)</f>
        <v>12686.1</v>
      </c>
      <c r="J170" s="270">
        <f>SUM(J164:J169)</f>
        <v>12686.1</v>
      </c>
      <c r="K170" s="270">
        <f t="shared" si="17"/>
        <v>0</v>
      </c>
      <c r="L170" s="271">
        <f t="shared" si="17"/>
        <v>0</v>
      </c>
      <c r="M170" s="284">
        <f>SUM(M164:M169)</f>
        <v>13019</v>
      </c>
      <c r="N170" s="286">
        <f t="shared" si="17"/>
        <v>13019</v>
      </c>
      <c r="O170" s="28"/>
      <c r="P170" s="402"/>
      <c r="Q170" s="33"/>
      <c r="R170" s="404"/>
      <c r="U170" s="13"/>
    </row>
    <row r="171" spans="1:23" ht="12.75" customHeight="1" x14ac:dyDescent="0.2">
      <c r="A171" s="2457" t="s">
        <v>9</v>
      </c>
      <c r="B171" s="2520" t="s">
        <v>54</v>
      </c>
      <c r="C171" s="2585" t="s">
        <v>11</v>
      </c>
      <c r="D171" s="2467" t="s">
        <v>157</v>
      </c>
      <c r="E171" s="2493"/>
      <c r="F171" s="2588" t="s">
        <v>54</v>
      </c>
      <c r="G171" s="2451" t="s">
        <v>90</v>
      </c>
      <c r="H171" s="25" t="s">
        <v>36</v>
      </c>
      <c r="I171" s="233">
        <f>J171+L171</f>
        <v>39.299999999999997</v>
      </c>
      <c r="J171" s="222">
        <v>39.299999999999997</v>
      </c>
      <c r="K171" s="222"/>
      <c r="L171" s="234"/>
      <c r="M171" s="122">
        <v>56.9</v>
      </c>
      <c r="N171" s="51">
        <v>0</v>
      </c>
      <c r="O171" s="2607" t="s">
        <v>158</v>
      </c>
      <c r="P171" s="401">
        <v>1</v>
      </c>
      <c r="Q171" s="401"/>
      <c r="R171" s="403"/>
      <c r="U171" s="13"/>
    </row>
    <row r="172" spans="1:23" x14ac:dyDescent="0.2">
      <c r="A172" s="2412"/>
      <c r="B172" s="2521"/>
      <c r="C172" s="2586"/>
      <c r="D172" s="2444"/>
      <c r="E172" s="2494"/>
      <c r="F172" s="2589"/>
      <c r="G172" s="2381"/>
      <c r="H172" s="145"/>
      <c r="I172" s="231"/>
      <c r="J172" s="224"/>
      <c r="K172" s="224"/>
      <c r="L172" s="244"/>
      <c r="M172" s="82"/>
      <c r="N172" s="23"/>
      <c r="O172" s="2608"/>
      <c r="P172" s="31"/>
      <c r="Q172" s="32"/>
      <c r="R172" s="144"/>
      <c r="U172" s="13"/>
    </row>
    <row r="173" spans="1:23" ht="13.5" thickBot="1" x14ac:dyDescent="0.25">
      <c r="A173" s="2452"/>
      <c r="B173" s="2522"/>
      <c r="C173" s="2587"/>
      <c r="D173" s="2455"/>
      <c r="E173" s="2533"/>
      <c r="F173" s="2590"/>
      <c r="G173" s="2465"/>
      <c r="H173" s="283" t="s">
        <v>10</v>
      </c>
      <c r="I173" s="236">
        <f t="shared" ref="I173:N173" si="18">I171</f>
        <v>39.299999999999997</v>
      </c>
      <c r="J173" s="242">
        <f t="shared" si="18"/>
        <v>39.299999999999997</v>
      </c>
      <c r="K173" s="242">
        <f t="shared" si="18"/>
        <v>0</v>
      </c>
      <c r="L173" s="245">
        <f t="shared" si="18"/>
        <v>0</v>
      </c>
      <c r="M173" s="247">
        <f t="shared" si="18"/>
        <v>56.9</v>
      </c>
      <c r="N173" s="278">
        <f t="shared" si="18"/>
        <v>0</v>
      </c>
      <c r="O173" s="28"/>
      <c r="P173" s="402"/>
      <c r="Q173" s="33"/>
      <c r="R173" s="404"/>
      <c r="U173" s="13"/>
    </row>
    <row r="174" spans="1:23" s="52" customFormat="1" ht="12.75" customHeight="1" x14ac:dyDescent="0.2">
      <c r="A174" s="2457" t="s">
        <v>9</v>
      </c>
      <c r="B174" s="163" t="s">
        <v>54</v>
      </c>
      <c r="C174" s="164" t="s">
        <v>38</v>
      </c>
      <c r="D174" s="2467" t="s">
        <v>168</v>
      </c>
      <c r="E174" s="165"/>
      <c r="F174" s="166" t="s">
        <v>41</v>
      </c>
      <c r="G174" s="167">
        <v>6</v>
      </c>
      <c r="H174" s="151" t="s">
        <v>36</v>
      </c>
      <c r="I174" s="446">
        <f>J174</f>
        <v>3.5</v>
      </c>
      <c r="J174" s="447">
        <v>3.5</v>
      </c>
      <c r="K174" s="447"/>
      <c r="L174" s="448"/>
      <c r="M174" s="152"/>
      <c r="N174" s="153"/>
      <c r="O174" s="2618" t="s">
        <v>185</v>
      </c>
      <c r="P174" s="204">
        <v>100</v>
      </c>
      <c r="Q174" s="154"/>
      <c r="R174" s="155"/>
    </row>
    <row r="175" spans="1:23" s="52" customFormat="1" x14ac:dyDescent="0.2">
      <c r="A175" s="2412"/>
      <c r="B175" s="149"/>
      <c r="C175" s="150"/>
      <c r="D175" s="2444"/>
      <c r="E175" s="156"/>
      <c r="G175" s="157"/>
      <c r="H175" s="158"/>
      <c r="I175" s="449"/>
      <c r="J175" s="450"/>
      <c r="K175" s="450"/>
      <c r="L175" s="451"/>
      <c r="M175" s="152"/>
      <c r="N175" s="153"/>
      <c r="O175" s="2619"/>
      <c r="P175" s="159"/>
      <c r="Q175" s="159"/>
      <c r="R175" s="160"/>
    </row>
    <row r="176" spans="1:23" s="52" customFormat="1" ht="13.5" thickBot="1" x14ac:dyDescent="0.25">
      <c r="A176" s="2452"/>
      <c r="B176" s="168"/>
      <c r="C176" s="169"/>
      <c r="D176" s="2455"/>
      <c r="E176" s="170"/>
      <c r="F176" s="171"/>
      <c r="G176" s="172"/>
      <c r="H176" s="288" t="s">
        <v>10</v>
      </c>
      <c r="I176" s="452">
        <f>I174</f>
        <v>3.5</v>
      </c>
      <c r="J176" s="452">
        <f>J174</f>
        <v>3.5</v>
      </c>
      <c r="K176" s="453"/>
      <c r="L176" s="454">
        <f>SUM(L174:L175)</f>
        <v>0</v>
      </c>
      <c r="M176" s="289">
        <f>SUM(M174:M175)</f>
        <v>0</v>
      </c>
      <c r="N176" s="290">
        <f>SUM(N174:N175)</f>
        <v>0</v>
      </c>
      <c r="O176" s="2619"/>
      <c r="P176" s="205"/>
      <c r="Q176" s="161"/>
      <c r="R176" s="162"/>
    </row>
    <row r="177" spans="1:40" ht="13.5" thickBot="1" x14ac:dyDescent="0.25">
      <c r="A177" s="390" t="s">
        <v>9</v>
      </c>
      <c r="B177" s="396" t="s">
        <v>54</v>
      </c>
      <c r="C177" s="2594" t="s">
        <v>12</v>
      </c>
      <c r="D177" s="2595"/>
      <c r="E177" s="2595"/>
      <c r="F177" s="2595"/>
      <c r="G177" s="2595"/>
      <c r="H177" s="2542"/>
      <c r="I177" s="176">
        <f t="shared" ref="I177:N177" si="19">I173+I170+I176</f>
        <v>12728.9</v>
      </c>
      <c r="J177" s="24">
        <f t="shared" si="19"/>
        <v>12728.9</v>
      </c>
      <c r="K177" s="24">
        <f t="shared" si="19"/>
        <v>0</v>
      </c>
      <c r="L177" s="177">
        <f t="shared" si="19"/>
        <v>0</v>
      </c>
      <c r="M177" s="441">
        <f>M173+M170+M176</f>
        <v>13075.9</v>
      </c>
      <c r="N177" s="441">
        <f t="shared" si="19"/>
        <v>13019</v>
      </c>
      <c r="O177" s="2543"/>
      <c r="P177" s="2544"/>
      <c r="Q177" s="2544"/>
      <c r="R177" s="2545"/>
    </row>
    <row r="178" spans="1:40" ht="27.75" customHeight="1" thickBot="1" x14ac:dyDescent="0.25">
      <c r="A178" s="99" t="s">
        <v>9</v>
      </c>
      <c r="B178" s="2596" t="s">
        <v>13</v>
      </c>
      <c r="C178" s="2597"/>
      <c r="D178" s="2597"/>
      <c r="E178" s="2597"/>
      <c r="F178" s="2597"/>
      <c r="G178" s="2597"/>
      <c r="H178" s="2598"/>
      <c r="I178" s="443">
        <v>34965.800000000003</v>
      </c>
      <c r="J178" s="555" t="s">
        <v>217</v>
      </c>
      <c r="K178" s="442">
        <f>SUM(K110,K136,K150,K162,K177)</f>
        <v>742.7</v>
      </c>
      <c r="L178" s="556" t="s">
        <v>218</v>
      </c>
      <c r="M178" s="557" t="s">
        <v>219</v>
      </c>
      <c r="N178" s="101">
        <f>SUM(N110,N136,N150,N162,N177)</f>
        <v>37729.699999999997</v>
      </c>
      <c r="O178" s="2599"/>
      <c r="P178" s="2600"/>
      <c r="Q178" s="2600"/>
      <c r="R178" s="2601"/>
    </row>
    <row r="179" spans="1:40" ht="32.25" customHeight="1" thickBot="1" x14ac:dyDescent="0.25">
      <c r="A179" s="102" t="s">
        <v>55</v>
      </c>
      <c r="B179" s="2602" t="s">
        <v>128</v>
      </c>
      <c r="C179" s="2603"/>
      <c r="D179" s="2603"/>
      <c r="E179" s="2603"/>
      <c r="F179" s="2603"/>
      <c r="G179" s="2603"/>
      <c r="H179" s="2603"/>
      <c r="I179" s="287">
        <f>SUM(I178)</f>
        <v>34965.800000000003</v>
      </c>
      <c r="J179" s="561" t="s">
        <v>217</v>
      </c>
      <c r="K179" s="558">
        <f>SUM(K178)</f>
        <v>742.7</v>
      </c>
      <c r="L179" s="562" t="s">
        <v>218</v>
      </c>
      <c r="M179" s="559" t="s">
        <v>219</v>
      </c>
      <c r="N179" s="560">
        <f>SUM(N178)</f>
        <v>37729.699999999997</v>
      </c>
      <c r="O179" s="2604"/>
      <c r="P179" s="2605"/>
      <c r="Q179" s="2605"/>
      <c r="R179" s="2606"/>
    </row>
    <row r="180" spans="1:40" s="22" customFormat="1" ht="19.5" customHeight="1" x14ac:dyDescent="0.2">
      <c r="A180" s="2591"/>
      <c r="B180" s="2591"/>
      <c r="C180" s="2591"/>
      <c r="D180" s="2591"/>
      <c r="E180" s="2591"/>
      <c r="F180" s="2591"/>
      <c r="G180" s="2591"/>
      <c r="H180" s="2591"/>
      <c r="I180" s="2591"/>
      <c r="J180" s="2591"/>
      <c r="K180" s="2591"/>
      <c r="L180" s="2591"/>
      <c r="M180" s="2591"/>
      <c r="N180" s="2591"/>
      <c r="O180" s="2591"/>
      <c r="P180" s="2591"/>
      <c r="Q180" s="2591"/>
      <c r="R180" s="259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row>
    <row r="181" spans="1:40" s="22" customFormat="1" ht="14.25" customHeight="1" x14ac:dyDescent="0.2">
      <c r="A181" s="2591"/>
      <c r="B181" s="2591"/>
      <c r="C181" s="2591"/>
      <c r="D181" s="2591"/>
      <c r="E181" s="2591"/>
      <c r="F181" s="2591"/>
      <c r="G181" s="2591"/>
      <c r="H181" s="2591"/>
      <c r="I181" s="2591"/>
      <c r="J181" s="2591"/>
      <c r="K181" s="2591"/>
      <c r="L181" s="2591"/>
      <c r="M181" s="62"/>
      <c r="N181" s="62"/>
      <c r="O181" s="62"/>
      <c r="P181" s="62"/>
      <c r="Q181" s="62"/>
      <c r="R181" s="62"/>
      <c r="S181" s="21"/>
      <c r="T181" s="21"/>
      <c r="U181" s="21"/>
      <c r="V181" s="21"/>
      <c r="W181" s="21"/>
      <c r="X181" s="21"/>
      <c r="Y181" s="21"/>
      <c r="Z181" s="21"/>
      <c r="AA181" s="21"/>
      <c r="AB181" s="21"/>
      <c r="AC181" s="21"/>
      <c r="AD181" s="21"/>
      <c r="AE181" s="21"/>
      <c r="AF181" s="21"/>
      <c r="AG181" s="21"/>
      <c r="AH181" s="21"/>
      <c r="AI181" s="21"/>
      <c r="AJ181" s="21"/>
      <c r="AK181" s="21"/>
      <c r="AL181" s="21"/>
      <c r="AM181" s="21"/>
      <c r="AN181" s="21"/>
    </row>
    <row r="182" spans="1:40" x14ac:dyDescent="0.2">
      <c r="I182" s="57"/>
      <c r="J182" s="291"/>
      <c r="K182" s="291"/>
      <c r="L182" s="291"/>
      <c r="M182" s="291"/>
      <c r="N182" s="57"/>
      <c r="O182" s="80"/>
      <c r="P182" s="5"/>
      <c r="Q182" s="5"/>
      <c r="R182" s="5"/>
    </row>
    <row r="183" spans="1:40" x14ac:dyDescent="0.2">
      <c r="I183" s="444"/>
      <c r="J183" s="445"/>
      <c r="K183" s="80"/>
      <c r="P183" s="5"/>
      <c r="Q183" s="5"/>
      <c r="R183" s="5"/>
    </row>
    <row r="184" spans="1:40" x14ac:dyDescent="0.2">
      <c r="J184" s="291"/>
      <c r="M184" s="380"/>
      <c r="P184" s="5"/>
      <c r="Q184" s="5"/>
      <c r="R184" s="5"/>
    </row>
  </sheetData>
  <mergeCells count="396">
    <mergeCell ref="A180:R180"/>
    <mergeCell ref="A181:L181"/>
    <mergeCell ref="O1:R1"/>
    <mergeCell ref="C177:H177"/>
    <mergeCell ref="O177:R177"/>
    <mergeCell ref="B178:H178"/>
    <mergeCell ref="O178:R178"/>
    <mergeCell ref="B179:H179"/>
    <mergeCell ref="O179:R179"/>
    <mergeCell ref="E171:E173"/>
    <mergeCell ref="F171:F173"/>
    <mergeCell ref="G171:G173"/>
    <mergeCell ref="O171:O172"/>
    <mergeCell ref="E164:E170"/>
    <mergeCell ref="F164:F170"/>
    <mergeCell ref="G164:G170"/>
    <mergeCell ref="A174:A176"/>
    <mergeCell ref="D174:D176"/>
    <mergeCell ref="O174:O176"/>
    <mergeCell ref="A169:A170"/>
    <mergeCell ref="B169:B170"/>
    <mergeCell ref="C169:C170"/>
    <mergeCell ref="D169:D170"/>
    <mergeCell ref="A171:A173"/>
    <mergeCell ref="B171:B173"/>
    <mergeCell ref="C171:C173"/>
    <mergeCell ref="D171:D173"/>
    <mergeCell ref="A159:A161"/>
    <mergeCell ref="B159:B161"/>
    <mergeCell ref="C159:C161"/>
    <mergeCell ref="D159:D161"/>
    <mergeCell ref="E159:E161"/>
    <mergeCell ref="F159:F161"/>
    <mergeCell ref="G159:G161"/>
    <mergeCell ref="C162:H162"/>
    <mergeCell ref="C163:R163"/>
    <mergeCell ref="G156:G157"/>
    <mergeCell ref="O156:O157"/>
    <mergeCell ref="G153:G155"/>
    <mergeCell ref="O153:O155"/>
    <mergeCell ref="A156:A157"/>
    <mergeCell ref="B156:B157"/>
    <mergeCell ref="C156:C157"/>
    <mergeCell ref="D156:D157"/>
    <mergeCell ref="E156:E157"/>
    <mergeCell ref="F156:F157"/>
    <mergeCell ref="C150:H150"/>
    <mergeCell ref="O150:R150"/>
    <mergeCell ref="C151:R151"/>
    <mergeCell ref="A153:A155"/>
    <mergeCell ref="B153:B155"/>
    <mergeCell ref="C153:C155"/>
    <mergeCell ref="D153:D155"/>
    <mergeCell ref="E153:E155"/>
    <mergeCell ref="F153:F155"/>
    <mergeCell ref="G148:G149"/>
    <mergeCell ref="O148:O149"/>
    <mergeCell ref="P148:P149"/>
    <mergeCell ref="Q148:Q149"/>
    <mergeCell ref="R148:R149"/>
    <mergeCell ref="G145:G147"/>
    <mergeCell ref="O145:O146"/>
    <mergeCell ref="A148:A149"/>
    <mergeCell ref="B148:B149"/>
    <mergeCell ref="C148:C149"/>
    <mergeCell ref="D148:D149"/>
    <mergeCell ref="E148:E149"/>
    <mergeCell ref="F148:F149"/>
    <mergeCell ref="G142:G144"/>
    <mergeCell ref="O142:O143"/>
    <mergeCell ref="A145:A147"/>
    <mergeCell ref="B145:B147"/>
    <mergeCell ref="C145:C147"/>
    <mergeCell ref="D145:D147"/>
    <mergeCell ref="E145:E147"/>
    <mergeCell ref="F145:F147"/>
    <mergeCell ref="G138:G141"/>
    <mergeCell ref="O138:O141"/>
    <mergeCell ref="A142:A144"/>
    <mergeCell ref="B142:B144"/>
    <mergeCell ref="C142:C144"/>
    <mergeCell ref="D142:D144"/>
    <mergeCell ref="E142:E144"/>
    <mergeCell ref="F142:F144"/>
    <mergeCell ref="C136:H136"/>
    <mergeCell ref="O136:R136"/>
    <mergeCell ref="C137:R137"/>
    <mergeCell ref="A138:A141"/>
    <mergeCell ref="B138:B141"/>
    <mergeCell ref="C138:C141"/>
    <mergeCell ref="D138:D141"/>
    <mergeCell ref="E138:E141"/>
    <mergeCell ref="F138:F141"/>
    <mergeCell ref="F130:F132"/>
    <mergeCell ref="G130:G132"/>
    <mergeCell ref="A133:A135"/>
    <mergeCell ref="B133:B135"/>
    <mergeCell ref="C133:C135"/>
    <mergeCell ref="D133:D135"/>
    <mergeCell ref="E133:E135"/>
    <mergeCell ref="F133:F135"/>
    <mergeCell ref="G133:G135"/>
    <mergeCell ref="A130:A132"/>
    <mergeCell ref="B130:B132"/>
    <mergeCell ref="C130:C132"/>
    <mergeCell ref="D130:D132"/>
    <mergeCell ref="E130:E132"/>
    <mergeCell ref="A124:A126"/>
    <mergeCell ref="B124:B126"/>
    <mergeCell ref="C124:C126"/>
    <mergeCell ref="D124:D126"/>
    <mergeCell ref="E127:E129"/>
    <mergeCell ref="F127:F129"/>
    <mergeCell ref="G127:G129"/>
    <mergeCell ref="O127:O129"/>
    <mergeCell ref="P127:P128"/>
    <mergeCell ref="E124:E126"/>
    <mergeCell ref="F124:F126"/>
    <mergeCell ref="G124:G126"/>
    <mergeCell ref="O124:O125"/>
    <mergeCell ref="A127:A129"/>
    <mergeCell ref="B127:B129"/>
    <mergeCell ref="C127:C129"/>
    <mergeCell ref="D127:D129"/>
    <mergeCell ref="F116:F118"/>
    <mergeCell ref="G116:G118"/>
    <mergeCell ref="O116:O118"/>
    <mergeCell ref="A119:A123"/>
    <mergeCell ref="B119:B123"/>
    <mergeCell ref="C119:C123"/>
    <mergeCell ref="D119:D123"/>
    <mergeCell ref="E119:E123"/>
    <mergeCell ref="F112:F115"/>
    <mergeCell ref="G112:G115"/>
    <mergeCell ref="O112:O114"/>
    <mergeCell ref="A116:A118"/>
    <mergeCell ref="B116:B118"/>
    <mergeCell ref="C116:C118"/>
    <mergeCell ref="D116:D118"/>
    <mergeCell ref="E116:E118"/>
    <mergeCell ref="F119:F123"/>
    <mergeCell ref="G119:G123"/>
    <mergeCell ref="O119:O120"/>
    <mergeCell ref="O121:O122"/>
    <mergeCell ref="C110:H110"/>
    <mergeCell ref="C111:R111"/>
    <mergeCell ref="A112:A115"/>
    <mergeCell ref="B112:B115"/>
    <mergeCell ref="C112:C115"/>
    <mergeCell ref="D112:D115"/>
    <mergeCell ref="E112:E115"/>
    <mergeCell ref="E106:E109"/>
    <mergeCell ref="F106:F109"/>
    <mergeCell ref="G106:G109"/>
    <mergeCell ref="O106:O107"/>
    <mergeCell ref="O108:O109"/>
    <mergeCell ref="F102:F105"/>
    <mergeCell ref="G102:G105"/>
    <mergeCell ref="O102:O103"/>
    <mergeCell ref="O104:O105"/>
    <mergeCell ref="A106:A109"/>
    <mergeCell ref="B106:B109"/>
    <mergeCell ref="C106:C109"/>
    <mergeCell ref="D106:D109"/>
    <mergeCell ref="A102:A105"/>
    <mergeCell ref="B102:B105"/>
    <mergeCell ref="C102:C105"/>
    <mergeCell ref="D102:D105"/>
    <mergeCell ref="E102:E105"/>
    <mergeCell ref="O91:O93"/>
    <mergeCell ref="D95:D96"/>
    <mergeCell ref="O95:O96"/>
    <mergeCell ref="A91:A94"/>
    <mergeCell ref="B91:B94"/>
    <mergeCell ref="C91:C94"/>
    <mergeCell ref="D91:D94"/>
    <mergeCell ref="E91:E94"/>
    <mergeCell ref="F91:F94"/>
    <mergeCell ref="G91:G94"/>
    <mergeCell ref="A88:A90"/>
    <mergeCell ref="B88:B90"/>
    <mergeCell ref="C88:C90"/>
    <mergeCell ref="D88:D90"/>
    <mergeCell ref="E88:E90"/>
    <mergeCell ref="F88:F90"/>
    <mergeCell ref="G88:G89"/>
    <mergeCell ref="F82:F87"/>
    <mergeCell ref="O82:O83"/>
    <mergeCell ref="P82:P83"/>
    <mergeCell ref="Q82:Q83"/>
    <mergeCell ref="R82:R83"/>
    <mergeCell ref="O84:O85"/>
    <mergeCell ref="F78:F81"/>
    <mergeCell ref="G78:G81"/>
    <mergeCell ref="O78:O79"/>
    <mergeCell ref="A82:A87"/>
    <mergeCell ref="B82:B87"/>
    <mergeCell ref="C82:C87"/>
    <mergeCell ref="D82:D87"/>
    <mergeCell ref="E82:E83"/>
    <mergeCell ref="O86:O87"/>
    <mergeCell ref="O76:O77"/>
    <mergeCell ref="A78:A81"/>
    <mergeCell ref="B78:B81"/>
    <mergeCell ref="C78:C81"/>
    <mergeCell ref="D78:D81"/>
    <mergeCell ref="E78:E81"/>
    <mergeCell ref="B76:B77"/>
    <mergeCell ref="C76:C77"/>
    <mergeCell ref="D76:D77"/>
    <mergeCell ref="E76:E77"/>
    <mergeCell ref="F76:F77"/>
    <mergeCell ref="A71:A72"/>
    <mergeCell ref="B71:B72"/>
    <mergeCell ref="C71:C72"/>
    <mergeCell ref="D71:D72"/>
    <mergeCell ref="E71:E72"/>
    <mergeCell ref="A76:A77"/>
    <mergeCell ref="F71:F72"/>
    <mergeCell ref="G71:G72"/>
    <mergeCell ref="A73:A74"/>
    <mergeCell ref="B73:B74"/>
    <mergeCell ref="C73:C74"/>
    <mergeCell ref="D73:D74"/>
    <mergeCell ref="E73:E74"/>
    <mergeCell ref="F73:F74"/>
    <mergeCell ref="G73:G74"/>
    <mergeCell ref="G76:G77"/>
    <mergeCell ref="R64:R65"/>
    <mergeCell ref="A67:A70"/>
    <mergeCell ref="B67:B70"/>
    <mergeCell ref="C67:C70"/>
    <mergeCell ref="D67:D70"/>
    <mergeCell ref="E67:E70"/>
    <mergeCell ref="F67:F70"/>
    <mergeCell ref="G67:G70"/>
    <mergeCell ref="F64:F66"/>
    <mergeCell ref="G64:G66"/>
    <mergeCell ref="O64:O65"/>
    <mergeCell ref="P64:P65"/>
    <mergeCell ref="Q64:Q65"/>
    <mergeCell ref="A64:A66"/>
    <mergeCell ref="B64:B66"/>
    <mergeCell ref="C64:C66"/>
    <mergeCell ref="D64:D66"/>
    <mergeCell ref="E64:E66"/>
    <mergeCell ref="O67:O68"/>
    <mergeCell ref="P67:P68"/>
    <mergeCell ref="Q67:Q68"/>
    <mergeCell ref="R67:R68"/>
    <mergeCell ref="F62:F63"/>
    <mergeCell ref="G62:G63"/>
    <mergeCell ref="O62:O63"/>
    <mergeCell ref="P62:P63"/>
    <mergeCell ref="Q62:Q63"/>
    <mergeCell ref="R62:R63"/>
    <mergeCell ref="A62:A63"/>
    <mergeCell ref="B62:B63"/>
    <mergeCell ref="C62:C63"/>
    <mergeCell ref="D62:D63"/>
    <mergeCell ref="E62:E63"/>
    <mergeCell ref="D54:D56"/>
    <mergeCell ref="O54:O55"/>
    <mergeCell ref="O59:O60"/>
    <mergeCell ref="D60:D61"/>
    <mergeCell ref="O50:O51"/>
    <mergeCell ref="A52:A53"/>
    <mergeCell ref="B52:B53"/>
    <mergeCell ref="C52:C53"/>
    <mergeCell ref="D52:D53"/>
    <mergeCell ref="E52:E53"/>
    <mergeCell ref="F52:F53"/>
    <mergeCell ref="G52:G53"/>
    <mergeCell ref="O48:O49"/>
    <mergeCell ref="A50:A51"/>
    <mergeCell ref="B50:B51"/>
    <mergeCell ref="C50:C51"/>
    <mergeCell ref="D50:D51"/>
    <mergeCell ref="E50:E51"/>
    <mergeCell ref="F50:F51"/>
    <mergeCell ref="G50:G51"/>
    <mergeCell ref="O52:O53"/>
    <mergeCell ref="F45:F46"/>
    <mergeCell ref="G45:G46"/>
    <mergeCell ref="A47:A49"/>
    <mergeCell ref="B47:B49"/>
    <mergeCell ref="C47:C49"/>
    <mergeCell ref="D47:D49"/>
    <mergeCell ref="F47:F49"/>
    <mergeCell ref="A45:A46"/>
    <mergeCell ref="B45:B46"/>
    <mergeCell ref="C45:C46"/>
    <mergeCell ref="D45:D46"/>
    <mergeCell ref="E45:E49"/>
    <mergeCell ref="G47:G49"/>
    <mergeCell ref="D42:D44"/>
    <mergeCell ref="E42:E44"/>
    <mergeCell ref="F42:F44"/>
    <mergeCell ref="G42:G44"/>
    <mergeCell ref="O43:O44"/>
    <mergeCell ref="E39:E41"/>
    <mergeCell ref="F39:F41"/>
    <mergeCell ref="G39:G41"/>
    <mergeCell ref="O40:O41"/>
    <mergeCell ref="O37:O38"/>
    <mergeCell ref="P37:P38"/>
    <mergeCell ref="Q37:Q38"/>
    <mergeCell ref="R37:R38"/>
    <mergeCell ref="A39:A41"/>
    <mergeCell ref="B39:B41"/>
    <mergeCell ref="C39:C41"/>
    <mergeCell ref="D39:D41"/>
    <mergeCell ref="G33:G34"/>
    <mergeCell ref="A35:A38"/>
    <mergeCell ref="B35:B38"/>
    <mergeCell ref="C35:C38"/>
    <mergeCell ref="D35:D38"/>
    <mergeCell ref="E35:E38"/>
    <mergeCell ref="F35:F38"/>
    <mergeCell ref="G35:G38"/>
    <mergeCell ref="P40:P41"/>
    <mergeCell ref="Q40:Q41"/>
    <mergeCell ref="R40:R41"/>
    <mergeCell ref="A33:A34"/>
    <mergeCell ref="B33:B34"/>
    <mergeCell ref="C33:C34"/>
    <mergeCell ref="D33:D34"/>
    <mergeCell ref="E33:E34"/>
    <mergeCell ref="F33:F34"/>
    <mergeCell ref="D26:D27"/>
    <mergeCell ref="E26:E27"/>
    <mergeCell ref="D28:D29"/>
    <mergeCell ref="E28:E29"/>
    <mergeCell ref="F15:F16"/>
    <mergeCell ref="G15:G16"/>
    <mergeCell ref="O15:O16"/>
    <mergeCell ref="A17:A18"/>
    <mergeCell ref="B17:B18"/>
    <mergeCell ref="C17:C18"/>
    <mergeCell ref="D17:D18"/>
    <mergeCell ref="O17:O18"/>
    <mergeCell ref="F19:F25"/>
    <mergeCell ref="G19:G25"/>
    <mergeCell ref="O19:O20"/>
    <mergeCell ref="A15:A16"/>
    <mergeCell ref="B15:B16"/>
    <mergeCell ref="C15:C16"/>
    <mergeCell ref="D15:D16"/>
    <mergeCell ref="A19:A25"/>
    <mergeCell ref="B19:B25"/>
    <mergeCell ref="C19:C25"/>
    <mergeCell ref="D19:D25"/>
    <mergeCell ref="G17:G18"/>
    <mergeCell ref="A9:R9"/>
    <mergeCell ref="I6:L6"/>
    <mergeCell ref="M6:M8"/>
    <mergeCell ref="N6:N8"/>
    <mergeCell ref="O6:R6"/>
    <mergeCell ref="F6:F8"/>
    <mergeCell ref="G6:G8"/>
    <mergeCell ref="H6:H8"/>
    <mergeCell ref="A10:R10"/>
    <mergeCell ref="B11:R11"/>
    <mergeCell ref="C12:R12"/>
    <mergeCell ref="A13:A14"/>
    <mergeCell ref="B13:B14"/>
    <mergeCell ref="C13:C14"/>
    <mergeCell ref="D13:D14"/>
    <mergeCell ref="E13:E14"/>
    <mergeCell ref="F13:F14"/>
    <mergeCell ref="G13:G14"/>
    <mergeCell ref="O13:O14"/>
    <mergeCell ref="D30:D31"/>
    <mergeCell ref="O30:O31"/>
    <mergeCell ref="E30:E31"/>
    <mergeCell ref="P13:P14"/>
    <mergeCell ref="Q13:Q14"/>
    <mergeCell ref="R13:R14"/>
    <mergeCell ref="A2:R2"/>
    <mergeCell ref="A3:R3"/>
    <mergeCell ref="A4:R4"/>
    <mergeCell ref="P5:R5"/>
    <mergeCell ref="A6:A8"/>
    <mergeCell ref="B6:B8"/>
    <mergeCell ref="C6:C8"/>
    <mergeCell ref="D6:D8"/>
    <mergeCell ref="E6:E8"/>
    <mergeCell ref="I7:I8"/>
    <mergeCell ref="J7:K7"/>
    <mergeCell ref="L7:L8"/>
    <mergeCell ref="O7:O8"/>
    <mergeCell ref="P7:R7"/>
    <mergeCell ref="E19:E25"/>
    <mergeCell ref="E15:E16"/>
    <mergeCell ref="E17:E18"/>
    <mergeCell ref="F17:F18"/>
  </mergeCells>
  <printOptions horizontalCentered="1"/>
  <pageMargins left="0.70866141732283472" right="0.70866141732283472" top="0.74803149606299213" bottom="0.74803149606299213" header="0.31496062992125984" footer="0.31496062992125984"/>
  <pageSetup paperSize="9" orientation="landscape" r:id="rId1"/>
  <rowBreaks count="4" manualBreakCount="4">
    <brk id="27" max="17" man="1"/>
    <brk id="49" max="17" man="1"/>
    <brk id="110" max="17" man="1"/>
    <brk id="129"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14"/>
  <sheetViews>
    <sheetView tabSelected="1" zoomScaleNormal="100" zoomScaleSheetLayoutView="100" workbookViewId="0">
      <selection activeCell="R16" sqref="R16"/>
    </sheetView>
  </sheetViews>
  <sheetFormatPr defaultRowHeight="12.75" x14ac:dyDescent="0.2"/>
  <cols>
    <col min="1" max="3" width="2.7109375" style="10" customWidth="1"/>
    <col min="4" max="4" width="30" style="10" customWidth="1"/>
    <col min="5" max="5" width="3.42578125" style="47" customWidth="1"/>
    <col min="6" max="6" width="3.28515625" style="64" customWidth="1"/>
    <col min="7" max="7" width="7.42578125" style="90" customWidth="1"/>
    <col min="8" max="8" width="10.85546875" style="10" customWidth="1"/>
    <col min="9" max="9" width="9" style="10" customWidth="1"/>
    <col min="10" max="10" width="9.28515625" style="10" customWidth="1"/>
    <col min="11" max="11" width="36.140625" style="10" customWidth="1"/>
    <col min="12" max="14" width="6.42578125" style="10" customWidth="1"/>
    <col min="15" max="15" width="7.42578125" style="5" customWidth="1"/>
    <col min="16" max="16384" width="9.140625" style="5"/>
  </cols>
  <sheetData>
    <row r="1" spans="1:16" s="1193" customFormat="1" ht="49.5" customHeight="1" x14ac:dyDescent="0.2">
      <c r="A1" s="2334"/>
      <c r="B1" s="2335"/>
      <c r="C1" s="2334"/>
      <c r="E1" s="2336"/>
      <c r="F1" s="1109"/>
      <c r="G1" s="1109"/>
      <c r="H1" s="2337"/>
      <c r="I1" s="57"/>
      <c r="J1" s="57"/>
      <c r="K1" s="2776" t="s">
        <v>693</v>
      </c>
      <c r="L1" s="2776"/>
      <c r="M1" s="2776"/>
      <c r="N1" s="2776"/>
    </row>
    <row r="2" spans="1:16" s="1267" customFormat="1" ht="15.75" x14ac:dyDescent="0.2">
      <c r="A2" s="2633" t="s">
        <v>665</v>
      </c>
      <c r="B2" s="2633"/>
      <c r="C2" s="2633"/>
      <c r="D2" s="2633"/>
      <c r="E2" s="2633"/>
      <c r="F2" s="2633"/>
      <c r="G2" s="2633"/>
      <c r="H2" s="2633"/>
      <c r="I2" s="2633"/>
      <c r="J2" s="2633"/>
      <c r="K2" s="2633"/>
      <c r="L2" s="2633"/>
      <c r="M2" s="2633"/>
      <c r="N2" s="2633"/>
    </row>
    <row r="3" spans="1:16" ht="15.75" x14ac:dyDescent="0.2">
      <c r="A3" s="2351" t="s">
        <v>37</v>
      </c>
      <c r="B3" s="2351"/>
      <c r="C3" s="2351"/>
      <c r="D3" s="2351"/>
      <c r="E3" s="2351"/>
      <c r="F3" s="2351"/>
      <c r="G3" s="2351"/>
      <c r="H3" s="2351"/>
      <c r="I3" s="2351"/>
      <c r="J3" s="2351"/>
      <c r="K3" s="2351"/>
      <c r="L3" s="2351"/>
      <c r="M3" s="2351"/>
      <c r="N3" s="2351"/>
    </row>
    <row r="4" spans="1:16" ht="15.75" x14ac:dyDescent="0.2">
      <c r="A4" s="2352" t="s">
        <v>420</v>
      </c>
      <c r="B4" s="2352"/>
      <c r="C4" s="2352"/>
      <c r="D4" s="2352"/>
      <c r="E4" s="2352"/>
      <c r="F4" s="2352"/>
      <c r="G4" s="2352"/>
      <c r="H4" s="2352"/>
      <c r="I4" s="2352"/>
      <c r="J4" s="2352"/>
      <c r="K4" s="2352"/>
      <c r="L4" s="2352"/>
      <c r="M4" s="2352"/>
      <c r="N4" s="2352"/>
    </row>
    <row r="5" spans="1:16" ht="13.5" thickBot="1" x14ac:dyDescent="0.25">
      <c r="K5" s="2634" t="s">
        <v>412</v>
      </c>
      <c r="L5" s="2634"/>
      <c r="M5" s="2634"/>
      <c r="N5" s="2635"/>
    </row>
    <row r="6" spans="1:16" s="1267" customFormat="1" ht="28.5" customHeight="1" x14ac:dyDescent="0.2">
      <c r="A6" s="2636" t="s">
        <v>24</v>
      </c>
      <c r="B6" s="2639" t="s">
        <v>1</v>
      </c>
      <c r="C6" s="2639" t="s">
        <v>2</v>
      </c>
      <c r="D6" s="2642" t="s">
        <v>16</v>
      </c>
      <c r="E6" s="2653" t="s">
        <v>3</v>
      </c>
      <c r="F6" s="2656" t="s">
        <v>4</v>
      </c>
      <c r="G6" s="2659" t="s">
        <v>5</v>
      </c>
      <c r="H6" s="2400" t="s">
        <v>602</v>
      </c>
      <c r="I6" s="2400" t="s">
        <v>341</v>
      </c>
      <c r="J6" s="2400" t="s">
        <v>480</v>
      </c>
      <c r="K6" s="2391" t="s">
        <v>15</v>
      </c>
      <c r="L6" s="2392"/>
      <c r="M6" s="2392"/>
      <c r="N6" s="2393"/>
    </row>
    <row r="7" spans="1:16" s="1267" customFormat="1" ht="18.75" customHeight="1" x14ac:dyDescent="0.2">
      <c r="A7" s="2637"/>
      <c r="B7" s="2640"/>
      <c r="C7" s="2640"/>
      <c r="D7" s="2643"/>
      <c r="E7" s="2654"/>
      <c r="F7" s="2657"/>
      <c r="G7" s="2660"/>
      <c r="H7" s="2750"/>
      <c r="I7" s="2401"/>
      <c r="J7" s="2401"/>
      <c r="K7" s="2371" t="s">
        <v>16</v>
      </c>
      <c r="L7" s="2373" t="s">
        <v>309</v>
      </c>
      <c r="M7" s="2373"/>
      <c r="N7" s="2374"/>
    </row>
    <row r="8" spans="1:16" s="1267" customFormat="1" ht="72" customHeight="1" thickBot="1" x14ac:dyDescent="0.25">
      <c r="A8" s="2638"/>
      <c r="B8" s="2641"/>
      <c r="C8" s="2641"/>
      <c r="D8" s="2644"/>
      <c r="E8" s="2655"/>
      <c r="F8" s="2658"/>
      <c r="G8" s="2661"/>
      <c r="H8" s="2751"/>
      <c r="I8" s="2402"/>
      <c r="J8" s="2402"/>
      <c r="K8" s="2372"/>
      <c r="L8" s="8" t="s">
        <v>235</v>
      </c>
      <c r="M8" s="1493" t="s">
        <v>342</v>
      </c>
      <c r="N8" s="9" t="s">
        <v>481</v>
      </c>
    </row>
    <row r="9" spans="1:16" s="30" customFormat="1" ht="15" customHeight="1" x14ac:dyDescent="0.2">
      <c r="A9" s="2382" t="s">
        <v>135</v>
      </c>
      <c r="B9" s="2383"/>
      <c r="C9" s="2383"/>
      <c r="D9" s="2383"/>
      <c r="E9" s="2383"/>
      <c r="F9" s="2383"/>
      <c r="G9" s="2383"/>
      <c r="H9" s="2383"/>
      <c r="I9" s="2383"/>
      <c r="J9" s="2383"/>
      <c r="K9" s="2383"/>
      <c r="L9" s="2383"/>
      <c r="M9" s="2383"/>
      <c r="N9" s="2384"/>
    </row>
    <row r="10" spans="1:16" s="30" customFormat="1" ht="14.25" customHeight="1" x14ac:dyDescent="0.2">
      <c r="A10" s="2403" t="s">
        <v>85</v>
      </c>
      <c r="B10" s="2404"/>
      <c r="C10" s="2404"/>
      <c r="D10" s="2404"/>
      <c r="E10" s="2404"/>
      <c r="F10" s="2404"/>
      <c r="G10" s="2404"/>
      <c r="H10" s="2404"/>
      <c r="I10" s="2404"/>
      <c r="J10" s="2404"/>
      <c r="K10" s="2404"/>
      <c r="L10" s="2404"/>
      <c r="M10" s="2404"/>
      <c r="N10" s="2405"/>
    </row>
    <row r="11" spans="1:16" ht="15" customHeight="1" x14ac:dyDescent="0.2">
      <c r="A11" s="679" t="s">
        <v>9</v>
      </c>
      <c r="B11" s="2648" t="s">
        <v>136</v>
      </c>
      <c r="C11" s="2649"/>
      <c r="D11" s="2649"/>
      <c r="E11" s="2649"/>
      <c r="F11" s="2649"/>
      <c r="G11" s="2649"/>
      <c r="H11" s="2649"/>
      <c r="I11" s="2649"/>
      <c r="J11" s="2649"/>
      <c r="K11" s="2649"/>
      <c r="L11" s="2649"/>
      <c r="M11" s="2649"/>
      <c r="N11" s="2650"/>
    </row>
    <row r="12" spans="1:16" ht="15.75" customHeight="1" x14ac:dyDescent="0.2">
      <c r="A12" s="917" t="s">
        <v>9</v>
      </c>
      <c r="B12" s="918" t="s">
        <v>9</v>
      </c>
      <c r="C12" s="2409" t="s">
        <v>70</v>
      </c>
      <c r="D12" s="2410"/>
      <c r="E12" s="2410"/>
      <c r="F12" s="2410"/>
      <c r="G12" s="2410"/>
      <c r="H12" s="2410"/>
      <c r="I12" s="2410"/>
      <c r="J12" s="2410"/>
      <c r="K12" s="2410"/>
      <c r="L12" s="2410"/>
      <c r="M12" s="2410"/>
      <c r="N12" s="2411"/>
    </row>
    <row r="13" spans="1:16" ht="18.75" customHeight="1" x14ac:dyDescent="0.2">
      <c r="A13" s="2020" t="s">
        <v>9</v>
      </c>
      <c r="B13" s="1964" t="s">
        <v>9</v>
      </c>
      <c r="C13" s="1981" t="s">
        <v>9</v>
      </c>
      <c r="D13" s="2647" t="s">
        <v>606</v>
      </c>
      <c r="E13" s="1557"/>
      <c r="F13" s="2103" t="s">
        <v>40</v>
      </c>
      <c r="G13" s="1290" t="s">
        <v>36</v>
      </c>
      <c r="H13" s="1482">
        <v>1851.1</v>
      </c>
      <c r="I13" s="1403">
        <v>1604.8</v>
      </c>
      <c r="J13" s="1576">
        <f>410.8+633</f>
        <v>1043.8</v>
      </c>
      <c r="K13" s="1977"/>
      <c r="L13" s="1989"/>
      <c r="M13" s="1989"/>
      <c r="N13" s="1563"/>
    </row>
    <row r="14" spans="1:16" ht="18.75" customHeight="1" x14ac:dyDescent="0.2">
      <c r="A14" s="2079"/>
      <c r="B14" s="2074"/>
      <c r="C14" s="2069"/>
      <c r="D14" s="2624"/>
      <c r="E14" s="1351"/>
      <c r="F14" s="2103"/>
      <c r="G14" s="365" t="s">
        <v>349</v>
      </c>
      <c r="H14" s="1402"/>
      <c r="I14" s="2088">
        <v>250</v>
      </c>
      <c r="J14" s="1402">
        <v>350</v>
      </c>
      <c r="K14" s="2070"/>
      <c r="L14" s="2067"/>
      <c r="M14" s="2067"/>
      <c r="N14" s="1563"/>
    </row>
    <row r="15" spans="1:16" ht="16.5" customHeight="1" x14ac:dyDescent="0.2">
      <c r="A15" s="2020"/>
      <c r="B15" s="1964"/>
      <c r="C15" s="1981"/>
      <c r="D15" s="2651" t="s">
        <v>430</v>
      </c>
      <c r="E15" s="1999"/>
      <c r="F15" s="2066"/>
      <c r="G15" s="1290"/>
      <c r="H15" s="1392"/>
      <c r="I15" s="1403"/>
      <c r="J15" s="1482"/>
      <c r="K15" s="1194" t="s">
        <v>677</v>
      </c>
      <c r="L15" s="1532">
        <v>3.4</v>
      </c>
      <c r="M15" s="1532">
        <v>3.4</v>
      </c>
      <c r="N15" s="1518">
        <v>3.4</v>
      </c>
    </row>
    <row r="16" spans="1:16" ht="27" customHeight="1" x14ac:dyDescent="0.2">
      <c r="A16" s="2020"/>
      <c r="B16" s="1964"/>
      <c r="C16" s="1981"/>
      <c r="D16" s="2652"/>
      <c r="E16" s="1999"/>
      <c r="F16" s="2066"/>
      <c r="G16" s="850"/>
      <c r="H16" s="1393"/>
      <c r="I16" s="2034"/>
      <c r="J16" s="1402"/>
      <c r="K16" s="1977" t="s">
        <v>678</v>
      </c>
      <c r="L16" s="2311" t="s">
        <v>549</v>
      </c>
      <c r="M16" s="2311" t="s">
        <v>652</v>
      </c>
      <c r="N16" s="2312" t="s">
        <v>653</v>
      </c>
      <c r="O16" s="2322"/>
      <c r="P16" s="14"/>
    </row>
    <row r="17" spans="1:21" ht="16.5" customHeight="1" x14ac:dyDescent="0.2">
      <c r="A17" s="2668"/>
      <c r="B17" s="2521"/>
      <c r="C17" s="2414"/>
      <c r="D17" s="2651" t="s">
        <v>47</v>
      </c>
      <c r="E17" s="2674" t="s">
        <v>377</v>
      </c>
      <c r="F17" s="2628"/>
      <c r="G17" s="2007"/>
      <c r="H17" s="1393"/>
      <c r="I17" s="2034"/>
      <c r="J17" s="1574"/>
      <c r="K17" s="1985" t="s">
        <v>49</v>
      </c>
      <c r="L17" s="1335">
        <v>4</v>
      </c>
      <c r="M17" s="1335">
        <v>4</v>
      </c>
      <c r="N17" s="1519">
        <v>4</v>
      </c>
    </row>
    <row r="18" spans="1:21" ht="16.5" customHeight="1" x14ac:dyDescent="0.2">
      <c r="A18" s="2668"/>
      <c r="B18" s="2521"/>
      <c r="C18" s="2414"/>
      <c r="D18" s="2673"/>
      <c r="E18" s="2675"/>
      <c r="F18" s="2628"/>
      <c r="G18" s="2007"/>
      <c r="H18" s="1393"/>
      <c r="I18" s="2034"/>
      <c r="J18" s="1574"/>
      <c r="K18" s="693" t="s">
        <v>278</v>
      </c>
      <c r="L18" s="694">
        <v>3</v>
      </c>
      <c r="M18" s="694">
        <v>3</v>
      </c>
      <c r="N18" s="1520">
        <v>3</v>
      </c>
      <c r="U18" s="2313"/>
    </row>
    <row r="19" spans="1:21" ht="38.25" customHeight="1" x14ac:dyDescent="0.2">
      <c r="A19" s="2668"/>
      <c r="B19" s="2521"/>
      <c r="C19" s="2414"/>
      <c r="D19" s="2662"/>
      <c r="E19" s="2676"/>
      <c r="F19" s="2628"/>
      <c r="G19" s="2007" t="s">
        <v>94</v>
      </c>
      <c r="H19" s="1393">
        <v>64.099999999999994</v>
      </c>
      <c r="I19" s="2034"/>
      <c r="J19" s="1574"/>
      <c r="K19" s="1986" t="s">
        <v>679</v>
      </c>
      <c r="L19" s="1987">
        <v>100</v>
      </c>
      <c r="M19" s="1987"/>
      <c r="N19" s="1804"/>
    </row>
    <row r="20" spans="1:21" ht="15" customHeight="1" x14ac:dyDescent="0.2">
      <c r="A20" s="2668"/>
      <c r="B20" s="2521"/>
      <c r="C20" s="2414"/>
      <c r="D20" s="2662" t="s">
        <v>48</v>
      </c>
      <c r="E20" s="2670"/>
      <c r="F20" s="2628"/>
      <c r="G20" s="16"/>
      <c r="H20" s="1393"/>
      <c r="I20" s="2034"/>
      <c r="J20" s="1402"/>
      <c r="K20" s="1968" t="s">
        <v>415</v>
      </c>
      <c r="L20" s="1983">
        <v>18</v>
      </c>
      <c r="M20" s="1983">
        <v>18</v>
      </c>
      <c r="N20" s="2051">
        <v>18</v>
      </c>
    </row>
    <row r="21" spans="1:21" ht="26.25" customHeight="1" x14ac:dyDescent="0.2">
      <c r="A21" s="2668"/>
      <c r="B21" s="2521"/>
      <c r="C21" s="2414"/>
      <c r="D21" s="2669"/>
      <c r="E21" s="2671"/>
      <c r="F21" s="2628"/>
      <c r="G21" s="2007"/>
      <c r="H21" s="1393"/>
      <c r="I21" s="2034"/>
      <c r="J21" s="1402"/>
      <c r="K21" s="693" t="s">
        <v>639</v>
      </c>
      <c r="L21" s="694">
        <v>60</v>
      </c>
      <c r="M21" s="694">
        <v>60</v>
      </c>
      <c r="N21" s="1520">
        <v>60</v>
      </c>
    </row>
    <row r="22" spans="1:21" ht="21" customHeight="1" x14ac:dyDescent="0.2">
      <c r="A22" s="2668"/>
      <c r="B22" s="2521"/>
      <c r="C22" s="2414"/>
      <c r="D22" s="2669"/>
      <c r="E22" s="2671"/>
      <c r="F22" s="2628"/>
      <c r="G22" s="2007"/>
      <c r="H22" s="1393"/>
      <c r="I22" s="2034"/>
      <c r="J22" s="1402"/>
      <c r="K22" s="698" t="s">
        <v>645</v>
      </c>
      <c r="L22" s="694">
        <v>1</v>
      </c>
      <c r="M22" s="694">
        <v>1</v>
      </c>
      <c r="N22" s="1520">
        <v>1</v>
      </c>
    </row>
    <row r="23" spans="1:21" ht="18" customHeight="1" x14ac:dyDescent="0.2">
      <c r="A23" s="2668"/>
      <c r="B23" s="2521"/>
      <c r="C23" s="2414"/>
      <c r="D23" s="2669"/>
      <c r="E23" s="2671"/>
      <c r="F23" s="2628"/>
      <c r="G23" s="2007"/>
      <c r="H23" s="1393"/>
      <c r="I23" s="2034"/>
      <c r="J23" s="1402"/>
      <c r="K23" s="698" t="s">
        <v>267</v>
      </c>
      <c r="L23" s="899" t="s">
        <v>553</v>
      </c>
      <c r="M23" s="899" t="s">
        <v>553</v>
      </c>
      <c r="N23" s="1521" t="s">
        <v>553</v>
      </c>
    </row>
    <row r="24" spans="1:21" ht="15.75" customHeight="1" x14ac:dyDescent="0.2">
      <c r="A24" s="2668"/>
      <c r="B24" s="2521"/>
      <c r="C24" s="2414"/>
      <c r="D24" s="2669"/>
      <c r="E24" s="2671"/>
      <c r="F24" s="2628"/>
      <c r="G24" s="2007"/>
      <c r="H24" s="1393"/>
      <c r="I24" s="2034"/>
      <c r="J24" s="1402"/>
      <c r="K24" s="698" t="s">
        <v>640</v>
      </c>
      <c r="L24" s="899" t="s">
        <v>552</v>
      </c>
      <c r="M24" s="899" t="s">
        <v>552</v>
      </c>
      <c r="N24" s="1521" t="s">
        <v>552</v>
      </c>
    </row>
    <row r="25" spans="1:21" ht="15" customHeight="1" x14ac:dyDescent="0.2">
      <c r="A25" s="2668"/>
      <c r="B25" s="2521"/>
      <c r="C25" s="2414"/>
      <c r="D25" s="2669"/>
      <c r="E25" s="2671"/>
      <c r="F25" s="2628"/>
      <c r="G25" s="2007"/>
      <c r="H25" s="1393"/>
      <c r="I25" s="2034"/>
      <c r="J25" s="1402"/>
      <c r="K25" s="698" t="s">
        <v>52</v>
      </c>
      <c r="L25" s="899" t="s">
        <v>551</v>
      </c>
      <c r="M25" s="899" t="s">
        <v>551</v>
      </c>
      <c r="N25" s="1521" t="s">
        <v>551</v>
      </c>
    </row>
    <row r="26" spans="1:21" ht="20.25" customHeight="1" x14ac:dyDescent="0.2">
      <c r="A26" s="2668"/>
      <c r="B26" s="2521"/>
      <c r="C26" s="2414"/>
      <c r="D26" s="2651"/>
      <c r="E26" s="2672"/>
      <c r="F26" s="2628"/>
      <c r="G26" s="16"/>
      <c r="H26" s="2182"/>
      <c r="I26" s="1494"/>
      <c r="J26" s="1399"/>
      <c r="K26" s="882" t="s">
        <v>641</v>
      </c>
      <c r="L26" s="2183" t="s">
        <v>551</v>
      </c>
      <c r="M26" s="2183" t="s">
        <v>551</v>
      </c>
      <c r="N26" s="2184" t="s">
        <v>551</v>
      </c>
    </row>
    <row r="27" spans="1:21" ht="25.5" customHeight="1" x14ac:dyDescent="0.2">
      <c r="A27" s="2020"/>
      <c r="B27" s="1964"/>
      <c r="C27" s="1981"/>
      <c r="D27" s="1993"/>
      <c r="E27" s="1999"/>
      <c r="F27" s="2066"/>
      <c r="G27" s="2007"/>
      <c r="H27" s="1393"/>
      <c r="I27" s="2034"/>
      <c r="J27" s="1402"/>
      <c r="K27" s="1149" t="s">
        <v>554</v>
      </c>
      <c r="L27" s="1811">
        <v>2</v>
      </c>
      <c r="M27" s="1811">
        <v>2</v>
      </c>
      <c r="N27" s="1812">
        <v>2</v>
      </c>
    </row>
    <row r="28" spans="1:21" ht="27" customHeight="1" x14ac:dyDescent="0.2">
      <c r="A28" s="2020"/>
      <c r="B28" s="1964"/>
      <c r="C28" s="1981"/>
      <c r="D28" s="1993"/>
      <c r="E28" s="1999"/>
      <c r="F28" s="2066"/>
      <c r="G28" s="2007"/>
      <c r="H28" s="1393"/>
      <c r="I28" s="2034"/>
      <c r="J28" s="1402"/>
      <c r="K28" s="882" t="s">
        <v>660</v>
      </c>
      <c r="L28" s="2326">
        <v>10</v>
      </c>
      <c r="M28" s="2326">
        <v>10</v>
      </c>
      <c r="N28" s="2327">
        <v>10</v>
      </c>
      <c r="O28" s="2291"/>
    </row>
    <row r="29" spans="1:21" ht="15" customHeight="1" x14ac:dyDescent="0.2">
      <c r="A29" s="2020"/>
      <c r="B29" s="1964"/>
      <c r="C29" s="1981"/>
      <c r="D29" s="1993"/>
      <c r="E29" s="1999"/>
      <c r="F29" s="2066"/>
      <c r="G29" s="2007"/>
      <c r="H29" s="1393"/>
      <c r="I29" s="2034"/>
      <c r="J29" s="1402"/>
      <c r="K29" s="1740" t="s">
        <v>619</v>
      </c>
      <c r="L29" s="1808">
        <v>170</v>
      </c>
      <c r="M29" s="1808">
        <v>26</v>
      </c>
      <c r="N29" s="1809">
        <v>26</v>
      </c>
    </row>
    <row r="30" spans="1:21" ht="24.75" customHeight="1" x14ac:dyDescent="0.2">
      <c r="A30" s="2020"/>
      <c r="B30" s="1964"/>
      <c r="C30" s="1981"/>
      <c r="D30" s="1993"/>
      <c r="E30" s="1999"/>
      <c r="F30" s="2066"/>
      <c r="G30" s="2007"/>
      <c r="H30" s="1393"/>
      <c r="I30" s="2034"/>
      <c r="J30" s="1402"/>
      <c r="K30" s="1740" t="s">
        <v>620</v>
      </c>
      <c r="L30" s="1808">
        <v>900</v>
      </c>
      <c r="M30" s="1808">
        <v>350</v>
      </c>
      <c r="N30" s="1809">
        <v>350</v>
      </c>
    </row>
    <row r="31" spans="1:21" ht="37.5" customHeight="1" x14ac:dyDescent="0.2">
      <c r="A31" s="2020"/>
      <c r="B31" s="1964"/>
      <c r="C31" s="1981"/>
      <c r="D31" s="1991"/>
      <c r="E31" s="2029"/>
      <c r="F31" s="2103"/>
      <c r="G31" s="2099"/>
      <c r="H31" s="1402"/>
      <c r="I31" s="2088"/>
      <c r="J31" s="1574"/>
      <c r="K31" s="1857" t="s">
        <v>599</v>
      </c>
      <c r="L31" s="2186">
        <v>2</v>
      </c>
      <c r="M31" s="2186"/>
      <c r="N31" s="2187">
        <v>2</v>
      </c>
    </row>
    <row r="32" spans="1:21" ht="15.75" customHeight="1" x14ac:dyDescent="0.2">
      <c r="A32" s="2020"/>
      <c r="B32" s="1964"/>
      <c r="C32" s="2066"/>
      <c r="D32" s="2651" t="s">
        <v>427</v>
      </c>
      <c r="E32" s="2663" t="s">
        <v>600</v>
      </c>
      <c r="F32" s="2066"/>
      <c r="G32" s="784"/>
      <c r="H32" s="1402"/>
      <c r="I32" s="2034"/>
      <c r="J32" s="1402"/>
      <c r="K32" s="2680" t="s">
        <v>642</v>
      </c>
      <c r="L32" s="1828">
        <v>100</v>
      </c>
      <c r="M32" s="1828"/>
      <c r="N32" s="2108"/>
    </row>
    <row r="33" spans="1:14" ht="22.5" customHeight="1" x14ac:dyDescent="0.2">
      <c r="A33" s="2020"/>
      <c r="B33" s="1964"/>
      <c r="C33" s="2066"/>
      <c r="D33" s="2662"/>
      <c r="E33" s="2664"/>
      <c r="F33" s="2066"/>
      <c r="G33" s="784"/>
      <c r="H33" s="1402"/>
      <c r="I33" s="2034"/>
      <c r="J33" s="1402"/>
      <c r="K33" s="2681"/>
      <c r="L33" s="1534"/>
      <c r="M33" s="1534"/>
      <c r="N33" s="2109"/>
    </row>
    <row r="34" spans="1:14" ht="14.25" customHeight="1" x14ac:dyDescent="0.2">
      <c r="A34" s="2020"/>
      <c r="B34" s="1964"/>
      <c r="C34" s="1313"/>
      <c r="D34" s="2625" t="s">
        <v>558</v>
      </c>
      <c r="E34" s="2665"/>
      <c r="F34" s="2678"/>
      <c r="G34" s="365"/>
      <c r="H34" s="1402"/>
      <c r="I34" s="2034"/>
      <c r="J34" s="1402"/>
      <c r="K34" s="2041" t="s">
        <v>556</v>
      </c>
      <c r="L34" s="1336">
        <v>1</v>
      </c>
      <c r="M34" s="1508"/>
      <c r="N34" s="2110"/>
    </row>
    <row r="35" spans="1:14" ht="26.25" customHeight="1" x14ac:dyDescent="0.2">
      <c r="A35" s="2020"/>
      <c r="B35" s="1964"/>
      <c r="C35" s="1981"/>
      <c r="D35" s="2667"/>
      <c r="E35" s="2666"/>
      <c r="F35" s="2678"/>
      <c r="G35" s="2007"/>
      <c r="H35" s="1402"/>
      <c r="I35" s="2034"/>
      <c r="J35" s="1402"/>
      <c r="K35" s="1552" t="s">
        <v>654</v>
      </c>
      <c r="L35" s="1323"/>
      <c r="M35" s="1511">
        <v>100</v>
      </c>
      <c r="N35" s="1309"/>
    </row>
    <row r="36" spans="1:14" ht="15.75" customHeight="1" x14ac:dyDescent="0.2">
      <c r="A36" s="2020"/>
      <c r="B36" s="1964"/>
      <c r="C36" s="2066"/>
      <c r="D36" s="2651" t="s">
        <v>595</v>
      </c>
      <c r="E36" s="2663" t="s">
        <v>600</v>
      </c>
      <c r="F36" s="2066"/>
      <c r="G36" s="365" t="s">
        <v>94</v>
      </c>
      <c r="H36" s="1393">
        <v>16</v>
      </c>
      <c r="I36" s="2034">
        <v>121</v>
      </c>
      <c r="J36" s="1574"/>
      <c r="K36" s="1994" t="s">
        <v>373</v>
      </c>
      <c r="L36" s="1535">
        <v>1</v>
      </c>
      <c r="M36" s="1535"/>
      <c r="N36" s="1523"/>
    </row>
    <row r="37" spans="1:14" ht="12.75" customHeight="1" x14ac:dyDescent="0.2">
      <c r="A37" s="2020"/>
      <c r="B37" s="1964"/>
      <c r="C37" s="2066"/>
      <c r="D37" s="2673"/>
      <c r="E37" s="2679"/>
      <c r="F37" s="2066"/>
      <c r="G37" s="365"/>
      <c r="H37" s="1393"/>
      <c r="I37" s="2034"/>
      <c r="J37" s="1574"/>
      <c r="K37" s="2053" t="s">
        <v>598</v>
      </c>
      <c r="L37" s="75"/>
      <c r="M37" s="75">
        <v>1</v>
      </c>
      <c r="N37" s="1949"/>
    </row>
    <row r="38" spans="1:14" ht="27" customHeight="1" x14ac:dyDescent="0.2">
      <c r="A38" s="2020"/>
      <c r="B38" s="1964"/>
      <c r="C38" s="2066"/>
      <c r="D38" s="2662"/>
      <c r="E38" s="2679"/>
      <c r="F38" s="2066"/>
      <c r="G38" s="365"/>
      <c r="H38" s="1393"/>
      <c r="I38" s="2034"/>
      <c r="J38" s="1574"/>
      <c r="K38" s="1771" t="s">
        <v>689</v>
      </c>
      <c r="L38" s="1323"/>
      <c r="M38" s="1323">
        <v>100</v>
      </c>
      <c r="N38" s="1524"/>
    </row>
    <row r="39" spans="1:14" ht="16.5" customHeight="1" x14ac:dyDescent="0.2">
      <c r="A39" s="2020"/>
      <c r="B39" s="1964"/>
      <c r="C39" s="2066"/>
      <c r="D39" s="2651" t="s">
        <v>594</v>
      </c>
      <c r="E39" s="2679"/>
      <c r="F39" s="2066"/>
      <c r="G39" s="365" t="s">
        <v>94</v>
      </c>
      <c r="H39" s="1393">
        <v>10</v>
      </c>
      <c r="I39" s="2034"/>
      <c r="J39" s="1574"/>
      <c r="K39" s="1994" t="s">
        <v>373</v>
      </c>
      <c r="L39" s="1535">
        <v>1</v>
      </c>
      <c r="M39" s="1535"/>
      <c r="N39" s="1523"/>
    </row>
    <row r="40" spans="1:14" ht="24" customHeight="1" x14ac:dyDescent="0.2">
      <c r="A40" s="2020"/>
      <c r="B40" s="1964"/>
      <c r="C40" s="2066"/>
      <c r="D40" s="2662"/>
      <c r="E40" s="2679"/>
      <c r="F40" s="2066"/>
      <c r="G40" s="365"/>
      <c r="H40" s="1393"/>
      <c r="I40" s="2034"/>
      <c r="J40" s="1574"/>
      <c r="K40" s="1771" t="s">
        <v>688</v>
      </c>
      <c r="L40" s="1323"/>
      <c r="M40" s="1323">
        <v>100</v>
      </c>
      <c r="N40" s="1524"/>
    </row>
    <row r="41" spans="1:14" ht="15.75" customHeight="1" x14ac:dyDescent="0.2">
      <c r="A41" s="2020"/>
      <c r="B41" s="1964"/>
      <c r="C41" s="1313"/>
      <c r="D41" s="2651" t="s">
        <v>543</v>
      </c>
      <c r="E41" s="2679"/>
      <c r="F41" s="2677"/>
      <c r="G41" s="365"/>
      <c r="H41" s="1479"/>
      <c r="I41" s="2034"/>
      <c r="J41" s="1574"/>
      <c r="K41" s="1994" t="s">
        <v>373</v>
      </c>
      <c r="L41" s="1682">
        <v>1</v>
      </c>
      <c r="M41" s="1682"/>
      <c r="N41" s="1661"/>
    </row>
    <row r="42" spans="1:14" ht="28.5" customHeight="1" x14ac:dyDescent="0.2">
      <c r="A42" s="2020"/>
      <c r="B42" s="1964"/>
      <c r="C42" s="1981"/>
      <c r="D42" s="2662"/>
      <c r="E42" s="2679"/>
      <c r="F42" s="2677"/>
      <c r="G42" s="2007"/>
      <c r="H42" s="1393"/>
      <c r="I42" s="2034"/>
      <c r="J42" s="2034"/>
      <c r="K42" s="1771" t="s">
        <v>689</v>
      </c>
      <c r="L42" s="1323"/>
      <c r="M42" s="1323"/>
      <c r="N42" s="1662">
        <v>100</v>
      </c>
    </row>
    <row r="43" spans="1:14" ht="16.5" customHeight="1" x14ac:dyDescent="0.2">
      <c r="A43" s="2275"/>
      <c r="B43" s="2273"/>
      <c r="C43" s="1313"/>
      <c r="D43" s="2625" t="s">
        <v>555</v>
      </c>
      <c r="E43" s="2280"/>
      <c r="F43" s="2678"/>
      <c r="G43" s="365"/>
      <c r="H43" s="1402"/>
      <c r="I43" s="2277"/>
      <c r="J43" s="1574"/>
      <c r="K43" s="2274" t="s">
        <v>556</v>
      </c>
      <c r="L43" s="1336"/>
      <c r="M43" s="1508">
        <v>1</v>
      </c>
      <c r="N43" s="2110"/>
    </row>
    <row r="44" spans="1:14" ht="28.5" customHeight="1" x14ac:dyDescent="0.2">
      <c r="A44" s="2275"/>
      <c r="B44" s="2273"/>
      <c r="C44" s="2272"/>
      <c r="D44" s="2667"/>
      <c r="E44" s="2280"/>
      <c r="F44" s="2678"/>
      <c r="G44" s="2099"/>
      <c r="H44" s="1402"/>
      <c r="I44" s="2277"/>
      <c r="J44" s="1574"/>
      <c r="K44" s="1552" t="s">
        <v>513</v>
      </c>
      <c r="L44" s="1323"/>
      <c r="M44" s="1511">
        <v>100</v>
      </c>
      <c r="N44" s="1309"/>
    </row>
    <row r="45" spans="1:14" ht="15" customHeight="1" x14ac:dyDescent="0.2">
      <c r="A45" s="2020"/>
      <c r="B45" s="1964"/>
      <c r="C45" s="1313"/>
      <c r="D45" s="2625" t="s">
        <v>486</v>
      </c>
      <c r="E45" s="2683" t="s">
        <v>411</v>
      </c>
      <c r="F45" s="2628"/>
      <c r="G45" s="365"/>
      <c r="H45" s="1393"/>
      <c r="I45" s="2034"/>
      <c r="J45" s="1574"/>
      <c r="K45" s="1994" t="s">
        <v>373</v>
      </c>
      <c r="L45" s="1682">
        <v>1</v>
      </c>
      <c r="M45" s="1682"/>
      <c r="N45" s="1661"/>
    </row>
    <row r="46" spans="1:14" ht="28.5" customHeight="1" x14ac:dyDescent="0.2">
      <c r="A46" s="2020"/>
      <c r="B46" s="1964"/>
      <c r="C46" s="1981"/>
      <c r="D46" s="2667"/>
      <c r="E46" s="2684"/>
      <c r="F46" s="2628"/>
      <c r="G46" s="365"/>
      <c r="H46" s="1393"/>
      <c r="I46" s="2034"/>
      <c r="J46" s="2034"/>
      <c r="K46" s="1771" t="s">
        <v>690</v>
      </c>
      <c r="L46" s="1323"/>
      <c r="M46" s="1323">
        <v>30</v>
      </c>
      <c r="N46" s="1662">
        <v>100</v>
      </c>
    </row>
    <row r="47" spans="1:14" ht="18" customHeight="1" x14ac:dyDescent="0.2">
      <c r="A47" s="2020"/>
      <c r="B47" s="1964"/>
      <c r="C47" s="1981"/>
      <c r="D47" s="2673" t="s">
        <v>666</v>
      </c>
      <c r="E47" s="2665"/>
      <c r="F47" s="2066"/>
      <c r="G47" s="365"/>
      <c r="H47" s="2033"/>
      <c r="I47" s="2034"/>
      <c r="J47" s="1574"/>
      <c r="K47" s="2680" t="s">
        <v>691</v>
      </c>
      <c r="L47" s="1828">
        <v>100</v>
      </c>
      <c r="M47" s="1828"/>
      <c r="N47" s="2035"/>
    </row>
    <row r="48" spans="1:14" ht="24" customHeight="1" x14ac:dyDescent="0.2">
      <c r="A48" s="2020"/>
      <c r="B48" s="1964"/>
      <c r="C48" s="1981"/>
      <c r="D48" s="2673"/>
      <c r="E48" s="2665"/>
      <c r="F48" s="2066"/>
      <c r="G48" s="365"/>
      <c r="H48" s="2033"/>
      <c r="I48" s="2034"/>
      <c r="J48" s="1574"/>
      <c r="K48" s="2682"/>
      <c r="L48" s="1533"/>
      <c r="M48" s="1533"/>
      <c r="N48" s="2036"/>
    </row>
    <row r="49" spans="1:16" ht="17.25" customHeight="1" x14ac:dyDescent="0.2">
      <c r="A49" s="2020"/>
      <c r="B49" s="1964"/>
      <c r="C49" s="1313"/>
      <c r="D49" s="2625" t="s">
        <v>273</v>
      </c>
      <c r="E49" s="2663" t="s">
        <v>411</v>
      </c>
      <c r="F49" s="2678"/>
      <c r="G49" s="365"/>
      <c r="H49" s="1402"/>
      <c r="I49" s="2034"/>
      <c r="J49" s="1574"/>
      <c r="K49" s="2680" t="s">
        <v>512</v>
      </c>
      <c r="L49" s="1682">
        <v>100</v>
      </c>
      <c r="M49" s="1682"/>
      <c r="N49" s="1817"/>
    </row>
    <row r="50" spans="1:16" ht="21" customHeight="1" x14ac:dyDescent="0.2">
      <c r="A50" s="2020"/>
      <c r="B50" s="1964"/>
      <c r="C50" s="1981"/>
      <c r="D50" s="2667"/>
      <c r="E50" s="2664"/>
      <c r="F50" s="2678"/>
      <c r="G50" s="2007"/>
      <c r="H50" s="1402"/>
      <c r="I50" s="2034"/>
      <c r="J50" s="1574"/>
      <c r="K50" s="2499"/>
      <c r="L50" s="1683"/>
      <c r="M50" s="1683"/>
      <c r="N50" s="1904"/>
      <c r="O50" s="1813"/>
      <c r="P50" s="1814"/>
    </row>
    <row r="51" spans="1:16" ht="15.75" customHeight="1" x14ac:dyDescent="0.2">
      <c r="A51" s="2020"/>
      <c r="B51" s="1964"/>
      <c r="C51" s="1313"/>
      <c r="D51" s="2625" t="s">
        <v>484</v>
      </c>
      <c r="E51" s="2665"/>
      <c r="F51" s="2678"/>
      <c r="G51" s="365"/>
      <c r="H51" s="1402"/>
      <c r="I51" s="2034"/>
      <c r="J51" s="1402"/>
      <c r="K51" s="2041" t="s">
        <v>485</v>
      </c>
      <c r="L51" s="1336">
        <v>1</v>
      </c>
      <c r="M51" s="1508"/>
      <c r="N51" s="2110"/>
    </row>
    <row r="52" spans="1:16" ht="26.25" customHeight="1" x14ac:dyDescent="0.2">
      <c r="A52" s="2020"/>
      <c r="B52" s="1964"/>
      <c r="C52" s="1981"/>
      <c r="D52" s="2667"/>
      <c r="E52" s="2666"/>
      <c r="F52" s="2678"/>
      <c r="G52" s="1197"/>
      <c r="H52" s="1400"/>
      <c r="I52" s="1404"/>
      <c r="J52" s="1400"/>
      <c r="K52" s="1552" t="s">
        <v>512</v>
      </c>
      <c r="L52" s="1323">
        <v>100</v>
      </c>
      <c r="M52" s="1511"/>
      <c r="N52" s="1309"/>
    </row>
    <row r="53" spans="1:16" ht="17.25" customHeight="1" x14ac:dyDescent="0.2">
      <c r="A53" s="2020"/>
      <c r="B53" s="1964"/>
      <c r="C53" s="2103"/>
      <c r="D53" s="2651" t="s">
        <v>413</v>
      </c>
      <c r="E53" s="2683" t="s">
        <v>411</v>
      </c>
      <c r="F53" s="2628" t="s">
        <v>90</v>
      </c>
      <c r="G53" s="2007" t="s">
        <v>349</v>
      </c>
      <c r="H53" s="1555">
        <v>400</v>
      </c>
      <c r="I53" s="1625"/>
      <c r="J53" s="1402"/>
      <c r="K53" s="2645" t="s">
        <v>692</v>
      </c>
      <c r="L53" s="1336">
        <v>70</v>
      </c>
      <c r="M53" s="1336">
        <v>100</v>
      </c>
      <c r="N53" s="1069"/>
    </row>
    <row r="54" spans="1:16" ht="24" customHeight="1" x14ac:dyDescent="0.2">
      <c r="A54" s="2020"/>
      <c r="B54" s="1964"/>
      <c r="C54" s="2103"/>
      <c r="D54" s="2652"/>
      <c r="E54" s="2684"/>
      <c r="F54" s="2628"/>
      <c r="G54" s="1197" t="s">
        <v>36</v>
      </c>
      <c r="H54" s="2214">
        <v>600</v>
      </c>
      <c r="I54" s="1404">
        <v>344.2</v>
      </c>
      <c r="J54" s="1575"/>
      <c r="K54" s="2646"/>
      <c r="L54" s="1336"/>
      <c r="M54" s="1336"/>
      <c r="N54" s="1522"/>
    </row>
    <row r="55" spans="1:16" ht="25.5" customHeight="1" thickBot="1" x14ac:dyDescent="0.25">
      <c r="A55" s="2049"/>
      <c r="B55" s="1965"/>
      <c r="C55" s="779"/>
      <c r="D55" s="2752"/>
      <c r="E55" s="2752"/>
      <c r="F55" s="2626"/>
      <c r="G55" s="823" t="s">
        <v>10</v>
      </c>
      <c r="H55" s="1692">
        <f>SUM(H13:H54)</f>
        <v>2941.2</v>
      </c>
      <c r="I55" s="1692">
        <f>SUM(I13:I54)</f>
        <v>2320</v>
      </c>
      <c r="J55" s="1692">
        <f>SUM(J13:J54)</f>
        <v>1393.8</v>
      </c>
      <c r="K55" s="2188"/>
      <c r="L55" s="2189"/>
      <c r="M55" s="2189"/>
      <c r="N55" s="2194"/>
    </row>
    <row r="56" spans="1:16" ht="13.5" customHeight="1" x14ac:dyDescent="0.2">
      <c r="A56" s="2020" t="s">
        <v>9</v>
      </c>
      <c r="B56" s="1975" t="s">
        <v>9</v>
      </c>
      <c r="C56" s="1981" t="s">
        <v>11</v>
      </c>
      <c r="D56" s="2623" t="s">
        <v>114</v>
      </c>
      <c r="E56" s="2193"/>
      <c r="F56" s="2094" t="s">
        <v>40</v>
      </c>
      <c r="G56" s="1733" t="s">
        <v>36</v>
      </c>
      <c r="H56" s="1488">
        <v>3041.8</v>
      </c>
      <c r="I56" s="1488">
        <v>2973.5</v>
      </c>
      <c r="J56" s="1473">
        <v>3070.4</v>
      </c>
      <c r="K56" s="2195"/>
      <c r="L56" s="2196"/>
      <c r="M56" s="2196"/>
      <c r="N56" s="2197"/>
    </row>
    <row r="57" spans="1:16" ht="18" customHeight="1" x14ac:dyDescent="0.2">
      <c r="A57" s="2079"/>
      <c r="B57" s="2068"/>
      <c r="C57" s="2069"/>
      <c r="D57" s="2624"/>
      <c r="E57" s="2192"/>
      <c r="F57" s="2095"/>
      <c r="G57" s="1197" t="s">
        <v>61</v>
      </c>
      <c r="H57" s="1400">
        <v>0.8</v>
      </c>
      <c r="I57" s="1340">
        <v>0.8</v>
      </c>
      <c r="J57" s="1404">
        <v>0.8</v>
      </c>
      <c r="K57" s="2198"/>
      <c r="L57" s="2199"/>
      <c r="M57" s="2199"/>
      <c r="N57" s="2200"/>
    </row>
    <row r="58" spans="1:16" ht="52.5" customHeight="1" x14ac:dyDescent="0.2">
      <c r="A58" s="2668"/>
      <c r="B58" s="2413"/>
      <c r="C58" s="2414"/>
      <c r="D58" s="1993" t="s">
        <v>191</v>
      </c>
      <c r="E58" s="2627"/>
      <c r="F58" s="2687"/>
      <c r="G58" s="16"/>
      <c r="H58" s="1542"/>
      <c r="I58" s="1479"/>
      <c r="J58" s="2034"/>
      <c r="K58" s="1285" t="s">
        <v>621</v>
      </c>
      <c r="L58" s="1537">
        <v>8.6</v>
      </c>
      <c r="M58" s="1537">
        <v>8.6</v>
      </c>
      <c r="N58" s="1526">
        <v>8.6</v>
      </c>
    </row>
    <row r="59" spans="1:16" ht="17.25" customHeight="1" x14ac:dyDescent="0.2">
      <c r="A59" s="2668"/>
      <c r="B59" s="2413"/>
      <c r="C59" s="2414"/>
      <c r="D59" s="1995" t="s">
        <v>562</v>
      </c>
      <c r="E59" s="2627"/>
      <c r="F59" s="2687"/>
      <c r="G59" s="2099"/>
      <c r="H59" s="2087"/>
      <c r="I59" s="1479"/>
      <c r="J59" s="2088"/>
      <c r="K59" s="1478" t="s">
        <v>661</v>
      </c>
      <c r="L59" s="1323">
        <v>646</v>
      </c>
      <c r="M59" s="1511"/>
      <c r="N59" s="1799"/>
    </row>
    <row r="60" spans="1:16" ht="18" customHeight="1" x14ac:dyDescent="0.2">
      <c r="A60" s="2668"/>
      <c r="B60" s="2413"/>
      <c r="C60" s="2414"/>
      <c r="D60" s="2625" t="s">
        <v>56</v>
      </c>
      <c r="E60" s="1614"/>
      <c r="F60" s="2022"/>
      <c r="G60" s="2099"/>
      <c r="H60" s="2087"/>
      <c r="I60" s="1479"/>
      <c r="J60" s="2088"/>
      <c r="K60" s="1284" t="s">
        <v>58</v>
      </c>
      <c r="L60" s="808">
        <v>55</v>
      </c>
      <c r="M60" s="808">
        <v>55</v>
      </c>
      <c r="N60" s="1527">
        <v>55</v>
      </c>
    </row>
    <row r="61" spans="1:16" ht="26.25" customHeight="1" x14ac:dyDescent="0.2">
      <c r="A61" s="2668"/>
      <c r="B61" s="2413"/>
      <c r="C61" s="2414"/>
      <c r="D61" s="2685"/>
      <c r="E61" s="1614"/>
      <c r="F61" s="2022"/>
      <c r="G61" s="2099"/>
      <c r="H61" s="2087"/>
      <c r="I61" s="1479"/>
      <c r="J61" s="2088"/>
      <c r="K61" s="1820" t="s">
        <v>194</v>
      </c>
      <c r="L61" s="1805">
        <v>1985</v>
      </c>
      <c r="M61" s="1805">
        <v>1985</v>
      </c>
      <c r="N61" s="1806">
        <v>1985</v>
      </c>
    </row>
    <row r="62" spans="1:16" ht="29.25" customHeight="1" x14ac:dyDescent="0.2">
      <c r="A62" s="2668"/>
      <c r="B62" s="2413"/>
      <c r="C62" s="2414"/>
      <c r="D62" s="2686"/>
      <c r="E62" s="1614"/>
      <c r="F62" s="2022"/>
      <c r="G62" s="2099"/>
      <c r="H62" s="2087"/>
      <c r="I62" s="1479"/>
      <c r="J62" s="2088"/>
      <c r="K62" s="1610" t="s">
        <v>662</v>
      </c>
      <c r="L62" s="1778">
        <v>1</v>
      </c>
      <c r="M62" s="1778"/>
      <c r="N62" s="1779"/>
    </row>
    <row r="63" spans="1:16" ht="19.5" customHeight="1" x14ac:dyDescent="0.2">
      <c r="A63" s="2020"/>
      <c r="B63" s="1975"/>
      <c r="C63" s="1981"/>
      <c r="D63" s="2625" t="s">
        <v>507</v>
      </c>
      <c r="E63" s="1614"/>
      <c r="F63" s="2022"/>
      <c r="G63" s="2099"/>
      <c r="H63" s="2087"/>
      <c r="I63" s="1479"/>
      <c r="J63" s="2088"/>
      <c r="K63" s="2201" t="s">
        <v>622</v>
      </c>
      <c r="L63" s="2202" t="s">
        <v>492</v>
      </c>
      <c r="M63" s="2203" t="s">
        <v>492</v>
      </c>
      <c r="N63" s="2204" t="s">
        <v>492</v>
      </c>
    </row>
    <row r="64" spans="1:16" ht="19.5" customHeight="1" x14ac:dyDescent="0.2">
      <c r="A64" s="2020"/>
      <c r="B64" s="1975"/>
      <c r="C64" s="1981"/>
      <c r="D64" s="2694"/>
      <c r="E64" s="1614"/>
      <c r="F64" s="2022"/>
      <c r="G64" s="2007"/>
      <c r="H64" s="2033"/>
      <c r="I64" s="1479"/>
      <c r="J64" s="2034"/>
      <c r="K64" s="1781" t="s">
        <v>623</v>
      </c>
      <c r="L64" s="1782" t="s">
        <v>488</v>
      </c>
      <c r="M64" s="1783" t="s">
        <v>488</v>
      </c>
      <c r="N64" s="1784" t="s">
        <v>488</v>
      </c>
    </row>
    <row r="65" spans="1:14" ht="30" customHeight="1" x14ac:dyDescent="0.2">
      <c r="A65" s="2020"/>
      <c r="B65" s="1975"/>
      <c r="C65" s="1981"/>
      <c r="D65" s="2695"/>
      <c r="E65" s="1614"/>
      <c r="F65" s="2022"/>
      <c r="G65" s="2099"/>
      <c r="H65" s="2087"/>
      <c r="I65" s="1479"/>
      <c r="J65" s="2088"/>
      <c r="K65" s="1490" t="s">
        <v>604</v>
      </c>
      <c r="L65" s="724" t="s">
        <v>560</v>
      </c>
      <c r="M65" s="1598" t="s">
        <v>561</v>
      </c>
      <c r="N65" s="1567" t="s">
        <v>561</v>
      </c>
    </row>
    <row r="66" spans="1:14" ht="18" customHeight="1" x14ac:dyDescent="0.2">
      <c r="A66" s="2020"/>
      <c r="B66" s="1975"/>
      <c r="C66" s="2103"/>
      <c r="D66" s="2625" t="s">
        <v>129</v>
      </c>
      <c r="E66" s="2627"/>
      <c r="F66" s="2628"/>
      <c r="G66" s="1197"/>
      <c r="H66" s="1340"/>
      <c r="I66" s="1397"/>
      <c r="J66" s="1404"/>
      <c r="K66" s="2629" t="s">
        <v>57</v>
      </c>
      <c r="L66" s="808">
        <v>8</v>
      </c>
      <c r="M66" s="1508">
        <v>8</v>
      </c>
      <c r="N66" s="1800">
        <v>8</v>
      </c>
    </row>
    <row r="67" spans="1:14" ht="16.5" customHeight="1" thickBot="1" x14ac:dyDescent="0.25">
      <c r="A67" s="681"/>
      <c r="B67" s="1979"/>
      <c r="C67" s="2185"/>
      <c r="D67" s="2626"/>
      <c r="E67" s="2626"/>
      <c r="F67" s="2626"/>
      <c r="G67" s="823" t="s">
        <v>10</v>
      </c>
      <c r="H67" s="1692">
        <f>SUM(H56:H66)</f>
        <v>3042.6</v>
      </c>
      <c r="I67" s="1692">
        <f t="shared" ref="I67:J67" si="0">SUM(I56:I66)</f>
        <v>2974.3</v>
      </c>
      <c r="J67" s="1692">
        <f t="shared" si="0"/>
        <v>3071.2</v>
      </c>
      <c r="K67" s="2630"/>
      <c r="L67" s="2189"/>
      <c r="M67" s="2189"/>
      <c r="N67" s="2194"/>
    </row>
    <row r="68" spans="1:14" ht="15" customHeight="1" x14ac:dyDescent="0.2">
      <c r="A68" s="2048" t="s">
        <v>9</v>
      </c>
      <c r="B68" s="1978" t="s">
        <v>9</v>
      </c>
      <c r="C68" s="2065" t="s">
        <v>38</v>
      </c>
      <c r="D68" s="2631" t="s">
        <v>115</v>
      </c>
      <c r="E68" s="2206"/>
      <c r="F68" s="2023" t="s">
        <v>40</v>
      </c>
      <c r="G68" s="1733" t="s">
        <v>36</v>
      </c>
      <c r="H68" s="1473">
        <v>1182.8</v>
      </c>
      <c r="I68" s="1486">
        <v>1115</v>
      </c>
      <c r="J68" s="1473">
        <v>740.8</v>
      </c>
      <c r="K68" s="2208"/>
      <c r="L68" s="2196"/>
      <c r="M68" s="2196"/>
      <c r="N68" s="2197"/>
    </row>
    <row r="69" spans="1:14" ht="15" customHeight="1" x14ac:dyDescent="0.2">
      <c r="A69" s="2079"/>
      <c r="B69" s="2068"/>
      <c r="C69" s="2103"/>
      <c r="D69" s="2632"/>
      <c r="E69" s="2205"/>
      <c r="F69" s="2083"/>
      <c r="G69" s="2099" t="s">
        <v>181</v>
      </c>
      <c r="H69" s="2088">
        <v>14.3</v>
      </c>
      <c r="I69" s="1402">
        <v>14.3</v>
      </c>
      <c r="J69" s="2088"/>
      <c r="K69" s="2092"/>
      <c r="L69" s="1537"/>
      <c r="M69" s="1537"/>
      <c r="N69" s="1526"/>
    </row>
    <row r="70" spans="1:14" ht="15.75" customHeight="1" x14ac:dyDescent="0.2">
      <c r="A70" s="2079"/>
      <c r="B70" s="2068"/>
      <c r="C70" s="2103"/>
      <c r="D70" s="2624"/>
      <c r="E70" s="2213"/>
      <c r="F70" s="2095"/>
      <c r="G70" s="1197" t="s">
        <v>61</v>
      </c>
      <c r="H70" s="1404">
        <v>32.700000000000003</v>
      </c>
      <c r="I70" s="1400">
        <v>12.8</v>
      </c>
      <c r="J70" s="1404">
        <v>12.8</v>
      </c>
      <c r="K70" s="2092"/>
      <c r="L70" s="1537"/>
      <c r="M70" s="1537"/>
      <c r="N70" s="1526"/>
    </row>
    <row r="71" spans="1:14" ht="20.25" customHeight="1" x14ac:dyDescent="0.2">
      <c r="A71" s="2020"/>
      <c r="B71" s="1975"/>
      <c r="C71" s="2066"/>
      <c r="D71" s="2651" t="s">
        <v>429</v>
      </c>
      <c r="E71" s="2696" t="s">
        <v>170</v>
      </c>
      <c r="F71" s="2022"/>
      <c r="G71" s="365"/>
      <c r="H71" s="2034"/>
      <c r="I71" s="1402"/>
      <c r="J71" s="2207"/>
      <c r="K71" s="2680" t="s">
        <v>624</v>
      </c>
      <c r="L71" s="1828">
        <v>60</v>
      </c>
      <c r="M71" s="1828">
        <v>80</v>
      </c>
      <c r="N71" s="2691">
        <v>100</v>
      </c>
    </row>
    <row r="72" spans="1:14" ht="33" customHeight="1" x14ac:dyDescent="0.2">
      <c r="A72" s="2020"/>
      <c r="B72" s="1975"/>
      <c r="C72" s="2066"/>
      <c r="D72" s="2673"/>
      <c r="E72" s="2696"/>
      <c r="F72" s="2022"/>
      <c r="G72" s="365"/>
      <c r="H72" s="2088"/>
      <c r="I72" s="1402"/>
      <c r="J72" s="2088"/>
      <c r="K72" s="2690"/>
      <c r="L72" s="1533"/>
      <c r="M72" s="1533"/>
      <c r="N72" s="2692"/>
    </row>
    <row r="73" spans="1:14" ht="19.5" customHeight="1" x14ac:dyDescent="0.2">
      <c r="A73" s="2020"/>
      <c r="B73" s="1975"/>
      <c r="C73" s="2066"/>
      <c r="D73" s="1993"/>
      <c r="E73" s="1360"/>
      <c r="F73" s="2022"/>
      <c r="G73" s="365"/>
      <c r="H73" s="2088"/>
      <c r="I73" s="1402"/>
      <c r="J73" s="2088"/>
      <c r="K73" s="2688" t="s">
        <v>625</v>
      </c>
      <c r="L73" s="2209">
        <v>60</v>
      </c>
      <c r="M73" s="2209">
        <v>80</v>
      </c>
      <c r="N73" s="2693">
        <v>100</v>
      </c>
    </row>
    <row r="74" spans="1:14" ht="21" customHeight="1" x14ac:dyDescent="0.2">
      <c r="A74" s="2020"/>
      <c r="B74" s="1975"/>
      <c r="C74" s="2066"/>
      <c r="D74" s="1993"/>
      <c r="E74" s="1360"/>
      <c r="F74" s="2022"/>
      <c r="G74" s="365"/>
      <c r="H74" s="2088"/>
      <c r="I74" s="1402"/>
      <c r="J74" s="2088"/>
      <c r="K74" s="2688"/>
      <c r="L74" s="1832"/>
      <c r="M74" s="1832"/>
      <c r="N74" s="2693"/>
    </row>
    <row r="75" spans="1:14" ht="19.5" customHeight="1" x14ac:dyDescent="0.2">
      <c r="A75" s="2020"/>
      <c r="B75" s="1975"/>
      <c r="C75" s="2066"/>
      <c r="D75" s="1993"/>
      <c r="E75" s="1360"/>
      <c r="F75" s="2022"/>
      <c r="G75" s="365"/>
      <c r="H75" s="2088"/>
      <c r="I75" s="1574"/>
      <c r="J75" s="2088"/>
      <c r="K75" s="2688" t="s">
        <v>626</v>
      </c>
      <c r="L75" s="2209">
        <v>60</v>
      </c>
      <c r="M75" s="2209">
        <v>80</v>
      </c>
      <c r="N75" s="2210">
        <v>100</v>
      </c>
    </row>
    <row r="76" spans="1:14" ht="19.5" customHeight="1" x14ac:dyDescent="0.2">
      <c r="A76" s="2020"/>
      <c r="B76" s="1975"/>
      <c r="C76" s="2066"/>
      <c r="D76" s="1993"/>
      <c r="E76" s="1360"/>
      <c r="F76" s="2022"/>
      <c r="G76" s="365"/>
      <c r="H76" s="2088"/>
      <c r="I76" s="1574"/>
      <c r="J76" s="2088"/>
      <c r="K76" s="2688"/>
      <c r="L76" s="1832"/>
      <c r="M76" s="1832"/>
      <c r="N76" s="2211"/>
    </row>
    <row r="77" spans="1:14" ht="13.5" customHeight="1" x14ac:dyDescent="0.2">
      <c r="A77" s="2020"/>
      <c r="B77" s="1975"/>
      <c r="C77" s="2066"/>
      <c r="D77" s="1993"/>
      <c r="E77" s="1390"/>
      <c r="F77" s="2022"/>
      <c r="G77" s="365"/>
      <c r="H77" s="2088"/>
      <c r="I77" s="1402"/>
      <c r="J77" s="2088"/>
      <c r="K77" s="2081" t="s">
        <v>627</v>
      </c>
      <c r="L77" s="1533">
        <v>3</v>
      </c>
      <c r="M77" s="1533">
        <v>3</v>
      </c>
      <c r="N77" s="2090">
        <v>2</v>
      </c>
    </row>
    <row r="78" spans="1:14" ht="25.5" customHeight="1" x14ac:dyDescent="0.2">
      <c r="A78" s="2020"/>
      <c r="B78" s="1975"/>
      <c r="C78" s="2066"/>
      <c r="D78" s="1991"/>
      <c r="E78" s="1436"/>
      <c r="F78" s="2083"/>
      <c r="G78" s="365"/>
      <c r="H78" s="2088"/>
      <c r="I78" s="1402"/>
      <c r="J78" s="2088"/>
      <c r="K78" s="2212" t="s">
        <v>386</v>
      </c>
      <c r="L78" s="1534">
        <v>2</v>
      </c>
      <c r="M78" s="1534">
        <v>2</v>
      </c>
      <c r="N78" s="2091">
        <v>1</v>
      </c>
    </row>
    <row r="79" spans="1:14" ht="21" customHeight="1" x14ac:dyDescent="0.2">
      <c r="A79" s="2020"/>
      <c r="B79" s="1975"/>
      <c r="C79" s="1981"/>
      <c r="D79" s="2673" t="s">
        <v>495</v>
      </c>
      <c r="E79" s="2100"/>
      <c r="F79" s="2083"/>
      <c r="G79" s="2099"/>
      <c r="H79" s="2088"/>
      <c r="I79" s="1402"/>
      <c r="J79" s="2088"/>
      <c r="K79" s="2680" t="s">
        <v>680</v>
      </c>
      <c r="L79" s="1828">
        <v>1</v>
      </c>
      <c r="M79" s="1828">
        <v>1</v>
      </c>
      <c r="N79" s="2089">
        <v>1</v>
      </c>
    </row>
    <row r="80" spans="1:14" ht="19.5" customHeight="1" x14ac:dyDescent="0.2">
      <c r="A80" s="2020"/>
      <c r="B80" s="1975"/>
      <c r="C80" s="2066"/>
      <c r="D80" s="2662"/>
      <c r="E80" s="2029"/>
      <c r="F80" s="2083"/>
      <c r="G80" s="16"/>
      <c r="H80" s="2088"/>
      <c r="I80" s="1574"/>
      <c r="J80" s="2088"/>
      <c r="K80" s="2689"/>
      <c r="L80" s="1323"/>
      <c r="M80" s="1323"/>
      <c r="N80" s="1529"/>
    </row>
    <row r="81" spans="1:15" ht="15.75" customHeight="1" x14ac:dyDescent="0.2">
      <c r="A81" s="2020"/>
      <c r="B81" s="1975"/>
      <c r="C81" s="2066"/>
      <c r="D81" s="2651" t="s">
        <v>332</v>
      </c>
      <c r="E81" s="2698" t="s">
        <v>170</v>
      </c>
      <c r="F81" s="2022"/>
      <c r="G81" s="2099"/>
      <c r="H81" s="1580"/>
      <c r="I81" s="1401"/>
      <c r="J81" s="1580"/>
      <c r="K81" s="1480" t="s">
        <v>521</v>
      </c>
      <c r="L81" s="1537">
        <v>20.5</v>
      </c>
      <c r="M81" s="1537">
        <v>20.5</v>
      </c>
      <c r="N81" s="1526">
        <v>20.5</v>
      </c>
    </row>
    <row r="82" spans="1:15" ht="15.75" customHeight="1" x14ac:dyDescent="0.2">
      <c r="A82" s="2020"/>
      <c r="B82" s="1975"/>
      <c r="C82" s="2066"/>
      <c r="D82" s="2673"/>
      <c r="E82" s="2696"/>
      <c r="F82" s="2022"/>
      <c r="G82" s="2007"/>
      <c r="H82" s="2034"/>
      <c r="I82" s="1402"/>
      <c r="J82" s="2034"/>
      <c r="K82" s="719" t="s">
        <v>522</v>
      </c>
      <c r="L82" s="1805">
        <v>109</v>
      </c>
      <c r="M82" s="1805">
        <v>109</v>
      </c>
      <c r="N82" s="1806">
        <v>109</v>
      </c>
    </row>
    <row r="83" spans="1:15" ht="15.75" customHeight="1" x14ac:dyDescent="0.2">
      <c r="A83" s="2020"/>
      <c r="B83" s="1964"/>
      <c r="C83" s="1981"/>
      <c r="D83" s="2673"/>
      <c r="E83" s="2696"/>
      <c r="F83" s="2022"/>
      <c r="G83" s="2007"/>
      <c r="H83" s="2034"/>
      <c r="I83" s="1402"/>
      <c r="J83" s="2034"/>
      <c r="K83" s="698" t="s">
        <v>519</v>
      </c>
      <c r="L83" s="744">
        <v>5</v>
      </c>
      <c r="M83" s="744">
        <v>5</v>
      </c>
      <c r="N83" s="1916">
        <v>5</v>
      </c>
    </row>
    <row r="84" spans="1:15" ht="27" customHeight="1" x14ac:dyDescent="0.2">
      <c r="A84" s="2020"/>
      <c r="B84" s="1975"/>
      <c r="C84" s="2066"/>
      <c r="D84" s="2673"/>
      <c r="E84" s="2696"/>
      <c r="F84" s="2022"/>
      <c r="G84" s="2007"/>
      <c r="H84" s="2034"/>
      <c r="I84" s="1402"/>
      <c r="J84" s="2034"/>
      <c r="K84" s="693" t="s">
        <v>644</v>
      </c>
      <c r="L84" s="1805">
        <v>1</v>
      </c>
      <c r="M84" s="1805">
        <v>1</v>
      </c>
      <c r="N84" s="1806">
        <v>1</v>
      </c>
    </row>
    <row r="85" spans="1:15" ht="39.75" customHeight="1" x14ac:dyDescent="0.2">
      <c r="A85" s="2020"/>
      <c r="B85" s="1975"/>
      <c r="C85" s="2066"/>
      <c r="D85" s="2673"/>
      <c r="E85" s="2696"/>
      <c r="F85" s="2022"/>
      <c r="G85" s="2007"/>
      <c r="H85" s="2034"/>
      <c r="I85" s="1402"/>
      <c r="J85" s="2034"/>
      <c r="K85" s="2215" t="s">
        <v>638</v>
      </c>
      <c r="L85" s="1805">
        <v>584</v>
      </c>
      <c r="M85" s="1805">
        <v>28</v>
      </c>
      <c r="N85" s="1806"/>
    </row>
    <row r="86" spans="1:15" ht="68.25" customHeight="1" x14ac:dyDescent="0.2">
      <c r="A86" s="2079"/>
      <c r="B86" s="2074"/>
      <c r="C86" s="2069"/>
      <c r="D86" s="2673"/>
      <c r="E86" s="2696"/>
      <c r="F86" s="2083"/>
      <c r="G86" s="2099"/>
      <c r="H86" s="2088"/>
      <c r="I86" s="1402"/>
      <c r="J86" s="2088"/>
      <c r="K86" s="1842" t="s">
        <v>681</v>
      </c>
      <c r="L86" s="744">
        <v>17</v>
      </c>
      <c r="M86" s="744">
        <v>2</v>
      </c>
      <c r="N86" s="1165"/>
    </row>
    <row r="87" spans="1:15" ht="29.25" customHeight="1" x14ac:dyDescent="0.2">
      <c r="A87" s="2020"/>
      <c r="B87" s="1975"/>
      <c r="C87" s="2066"/>
      <c r="D87" s="2673"/>
      <c r="E87" s="2696"/>
      <c r="F87" s="2022"/>
      <c r="G87" s="16"/>
      <c r="H87" s="2034"/>
      <c r="I87" s="1402"/>
      <c r="J87" s="2034"/>
      <c r="K87" s="2330" t="s">
        <v>663</v>
      </c>
      <c r="L87" s="2186"/>
      <c r="M87" s="2186">
        <v>100</v>
      </c>
      <c r="N87" s="2187"/>
    </row>
    <row r="88" spans="1:15" ht="14.25" customHeight="1" x14ac:dyDescent="0.2">
      <c r="A88" s="2668"/>
      <c r="B88" s="2521"/>
      <c r="C88" s="2628"/>
      <c r="D88" s="2651" t="s">
        <v>355</v>
      </c>
      <c r="E88" s="2697"/>
      <c r="F88" s="2381"/>
      <c r="G88" s="16"/>
      <c r="H88" s="2034"/>
      <c r="I88" s="1402"/>
      <c r="J88" s="2034"/>
      <c r="K88" s="1480" t="s">
        <v>608</v>
      </c>
      <c r="L88" s="1336">
        <v>1</v>
      </c>
      <c r="M88" s="1336">
        <v>1</v>
      </c>
      <c r="N88" s="1522">
        <v>1</v>
      </c>
    </row>
    <row r="89" spans="1:15" ht="18" customHeight="1" x14ac:dyDescent="0.2">
      <c r="A89" s="2668"/>
      <c r="B89" s="2521"/>
      <c r="C89" s="2628"/>
      <c r="D89" s="2673"/>
      <c r="E89" s="2697"/>
      <c r="F89" s="2381"/>
      <c r="G89" s="2099"/>
      <c r="H89" s="2088"/>
      <c r="I89" s="1402"/>
      <c r="J89" s="2088"/>
      <c r="K89" s="2295" t="s">
        <v>607</v>
      </c>
      <c r="L89" s="2328">
        <v>3</v>
      </c>
      <c r="M89" s="2328">
        <v>3</v>
      </c>
      <c r="N89" s="2329">
        <v>3</v>
      </c>
      <c r="O89" s="2291"/>
    </row>
    <row r="90" spans="1:15" ht="26.25" customHeight="1" x14ac:dyDescent="0.2">
      <c r="A90" s="2020"/>
      <c r="B90" s="1975"/>
      <c r="C90" s="2103"/>
      <c r="D90" s="2078" t="s">
        <v>144</v>
      </c>
      <c r="E90" s="1614"/>
      <c r="F90" s="2069"/>
      <c r="G90" s="1197"/>
      <c r="H90" s="1404"/>
      <c r="I90" s="1400"/>
      <c r="J90" s="1404"/>
      <c r="K90" s="2294" t="s">
        <v>609</v>
      </c>
      <c r="L90" s="1335">
        <v>2</v>
      </c>
      <c r="M90" s="1335">
        <v>2</v>
      </c>
      <c r="N90" s="1519">
        <v>2</v>
      </c>
    </row>
    <row r="91" spans="1:15" ht="16.5" customHeight="1" thickBot="1" x14ac:dyDescent="0.25">
      <c r="A91" s="681"/>
      <c r="B91" s="1979"/>
      <c r="C91" s="2185"/>
      <c r="D91" s="2190"/>
      <c r="E91" s="2190"/>
      <c r="F91" s="2190"/>
      <c r="G91" s="823" t="s">
        <v>10</v>
      </c>
      <c r="H91" s="1692">
        <f>SUM(H68:H90)</f>
        <v>1229.8</v>
      </c>
      <c r="I91" s="1692">
        <f>SUM(I68:I90)</f>
        <v>1142.0999999999999</v>
      </c>
      <c r="J91" s="1692">
        <f>SUM(J68:J90)</f>
        <v>753.6</v>
      </c>
      <c r="K91" s="2188"/>
      <c r="L91" s="2189"/>
      <c r="M91" s="2189"/>
      <c r="N91" s="2194"/>
    </row>
    <row r="92" spans="1:15" ht="18" customHeight="1" x14ac:dyDescent="0.2">
      <c r="A92" s="2705" t="s">
        <v>9</v>
      </c>
      <c r="B92" s="2458" t="s">
        <v>9</v>
      </c>
      <c r="C92" s="2459" t="s">
        <v>53</v>
      </c>
      <c r="D92" s="2706" t="s">
        <v>116</v>
      </c>
      <c r="E92" s="2708" t="s">
        <v>432</v>
      </c>
      <c r="F92" s="2710" t="s">
        <v>40</v>
      </c>
      <c r="G92" s="1359" t="s">
        <v>36</v>
      </c>
      <c r="H92" s="1473">
        <v>2744.6</v>
      </c>
      <c r="I92" s="1473">
        <v>2548.8000000000002</v>
      </c>
      <c r="J92" s="1488">
        <v>2467.1</v>
      </c>
      <c r="K92" s="2699"/>
      <c r="L92" s="1108"/>
      <c r="M92" s="1108"/>
      <c r="N92" s="2701"/>
    </row>
    <row r="93" spans="1:15" ht="18" customHeight="1" x14ac:dyDescent="0.2">
      <c r="A93" s="2668"/>
      <c r="B93" s="2413"/>
      <c r="C93" s="2414"/>
      <c r="D93" s="2707"/>
      <c r="E93" s="2709"/>
      <c r="F93" s="2687"/>
      <c r="G93" s="1356" t="s">
        <v>181</v>
      </c>
      <c r="H93" s="1404">
        <v>70.2</v>
      </c>
      <c r="I93" s="1404"/>
      <c r="J93" s="1340"/>
      <c r="K93" s="2700"/>
      <c r="L93" s="1336"/>
      <c r="M93" s="1336"/>
      <c r="N93" s="2702"/>
    </row>
    <row r="94" spans="1:15" ht="15.75" customHeight="1" x14ac:dyDescent="0.2">
      <c r="A94" s="2668"/>
      <c r="B94" s="2521"/>
      <c r="C94" s="2414"/>
      <c r="D94" s="2651" t="s">
        <v>387</v>
      </c>
      <c r="E94" s="2703" t="s">
        <v>184</v>
      </c>
      <c r="F94" s="2687"/>
      <c r="G94" s="1355"/>
      <c r="H94" s="1403"/>
      <c r="I94" s="1403"/>
      <c r="J94" s="1416"/>
      <c r="K94" s="1994" t="s">
        <v>196</v>
      </c>
      <c r="L94" s="1540">
        <v>14.9</v>
      </c>
      <c r="M94" s="1540">
        <v>15.2</v>
      </c>
      <c r="N94" s="1531">
        <v>15.5</v>
      </c>
    </row>
    <row r="95" spans="1:15" ht="18" customHeight="1" x14ac:dyDescent="0.2">
      <c r="A95" s="2668"/>
      <c r="B95" s="2521"/>
      <c r="C95" s="2414"/>
      <c r="D95" s="2662"/>
      <c r="E95" s="2704"/>
      <c r="F95" s="2687"/>
      <c r="G95" s="312"/>
      <c r="H95" s="2088"/>
      <c r="I95" s="2088"/>
      <c r="J95" s="2087"/>
      <c r="K95" s="61" t="s">
        <v>100</v>
      </c>
      <c r="L95" s="2064">
        <v>9.1</v>
      </c>
      <c r="M95" s="1514">
        <v>9.3000000000000007</v>
      </c>
      <c r="N95" s="2063">
        <v>9.5</v>
      </c>
    </row>
    <row r="96" spans="1:15" ht="21" customHeight="1" x14ac:dyDescent="0.2">
      <c r="A96" s="2020"/>
      <c r="B96" s="1975"/>
      <c r="C96" s="1981"/>
      <c r="D96" s="2651" t="s">
        <v>470</v>
      </c>
      <c r="E96" s="2030"/>
      <c r="F96" s="2022"/>
      <c r="G96" s="312"/>
      <c r="H96" s="2088"/>
      <c r="I96" s="2088"/>
      <c r="J96" s="2088"/>
      <c r="K96" s="1144" t="s">
        <v>100</v>
      </c>
      <c r="L96" s="1515">
        <v>0.4</v>
      </c>
      <c r="M96" s="1515">
        <v>0.4</v>
      </c>
      <c r="N96" s="1151">
        <v>0.4</v>
      </c>
    </row>
    <row r="97" spans="1:14" ht="20.25" customHeight="1" x14ac:dyDescent="0.2">
      <c r="A97" s="2020"/>
      <c r="B97" s="1975"/>
      <c r="C97" s="1981"/>
      <c r="D97" s="2662"/>
      <c r="E97" s="2221"/>
      <c r="F97" s="2022"/>
      <c r="G97" s="312"/>
      <c r="H97" s="2088"/>
      <c r="I97" s="2088"/>
      <c r="J97" s="2088"/>
      <c r="K97" s="1560" t="s">
        <v>378</v>
      </c>
      <c r="L97" s="1516">
        <v>966</v>
      </c>
      <c r="M97" s="1516">
        <f>966+26</f>
        <v>992</v>
      </c>
      <c r="N97" s="1612">
        <f>966+26+26</f>
        <v>1018</v>
      </c>
    </row>
    <row r="98" spans="1:14" ht="27" customHeight="1" x14ac:dyDescent="0.2">
      <c r="A98" s="2020"/>
      <c r="B98" s="1975"/>
      <c r="C98" s="1981"/>
      <c r="D98" s="1991" t="s">
        <v>416</v>
      </c>
      <c r="E98" s="2100"/>
      <c r="F98" s="2083"/>
      <c r="G98" s="312" t="s">
        <v>94</v>
      </c>
      <c r="H98" s="2088"/>
      <c r="I98" s="2088"/>
      <c r="J98" s="2088"/>
      <c r="K98" s="66" t="s">
        <v>388</v>
      </c>
      <c r="L98" s="1335">
        <v>69</v>
      </c>
      <c r="M98" s="1499"/>
      <c r="N98" s="740"/>
    </row>
    <row r="99" spans="1:14" ht="27.75" customHeight="1" x14ac:dyDescent="0.2">
      <c r="A99" s="2020"/>
      <c r="B99" s="1975"/>
      <c r="C99" s="1981"/>
      <c r="D99" s="1995" t="s">
        <v>422</v>
      </c>
      <c r="E99" s="1614"/>
      <c r="F99" s="2083"/>
      <c r="G99" s="135"/>
      <c r="H99" s="1734"/>
      <c r="I99" s="1734"/>
      <c r="J99" s="1734"/>
      <c r="K99" s="1918" t="s">
        <v>646</v>
      </c>
      <c r="L99" s="67">
        <v>100</v>
      </c>
      <c r="M99" s="1517"/>
      <c r="N99" s="68"/>
    </row>
    <row r="100" spans="1:14" ht="57.75" customHeight="1" x14ac:dyDescent="0.2">
      <c r="A100" s="2020"/>
      <c r="B100" s="1975"/>
      <c r="C100" s="1981"/>
      <c r="D100" s="2625" t="s">
        <v>133</v>
      </c>
      <c r="E100" s="1614"/>
      <c r="F100" s="2687"/>
      <c r="G100" s="312"/>
      <c r="H100" s="1494"/>
      <c r="I100" s="1494"/>
      <c r="J100" s="1494"/>
      <c r="K100" s="1740" t="s">
        <v>647</v>
      </c>
      <c r="L100" s="1841">
        <v>100</v>
      </c>
      <c r="M100" s="1843">
        <v>100</v>
      </c>
      <c r="N100" s="883">
        <v>100</v>
      </c>
    </row>
    <row r="101" spans="1:14" ht="43.5" customHeight="1" x14ac:dyDescent="0.2">
      <c r="A101" s="2020"/>
      <c r="B101" s="1975"/>
      <c r="C101" s="1981"/>
      <c r="D101" s="2685"/>
      <c r="E101" s="1614"/>
      <c r="F101" s="2687"/>
      <c r="G101" s="312"/>
      <c r="H101" s="2088"/>
      <c r="I101" s="2088"/>
      <c r="J101" s="2088"/>
      <c r="K101" s="1148" t="s">
        <v>648</v>
      </c>
      <c r="L101" s="1850" t="s">
        <v>570</v>
      </c>
      <c r="M101" s="1851"/>
      <c r="N101" s="695"/>
    </row>
    <row r="102" spans="1:14" ht="129.75" customHeight="1" x14ac:dyDescent="0.2">
      <c r="A102" s="2020"/>
      <c r="B102" s="1975"/>
      <c r="C102" s="1981"/>
      <c r="D102" s="2685"/>
      <c r="E102" s="1614"/>
      <c r="F102" s="2687"/>
      <c r="G102" s="1356"/>
      <c r="H102" s="1496"/>
      <c r="I102" s="1404"/>
      <c r="J102" s="1404"/>
      <c r="K102" s="1740" t="s">
        <v>682</v>
      </c>
      <c r="L102" s="1841">
        <v>100</v>
      </c>
      <c r="M102" s="1843">
        <v>100</v>
      </c>
      <c r="N102" s="869"/>
    </row>
    <row r="103" spans="1:14" ht="15.75" customHeight="1" thickBot="1" x14ac:dyDescent="0.25">
      <c r="A103" s="681"/>
      <c r="B103" s="1979"/>
      <c r="C103" s="2185"/>
      <c r="D103" s="2219"/>
      <c r="E103" s="2271"/>
      <c r="F103" s="722"/>
      <c r="G103" s="823" t="s">
        <v>10</v>
      </c>
      <c r="H103" s="1608">
        <f>SUM(H92:H102)</f>
        <v>2814.8</v>
      </c>
      <c r="I103" s="1608">
        <f>SUM(I92:I102)</f>
        <v>2548.8000000000002</v>
      </c>
      <c r="J103" s="1608">
        <f>SUM(J92:J102)</f>
        <v>2467.1</v>
      </c>
      <c r="K103" s="2216"/>
      <c r="L103" s="2217"/>
      <c r="M103" s="2217"/>
      <c r="N103" s="2218"/>
    </row>
    <row r="104" spans="1:14" ht="36" customHeight="1" x14ac:dyDescent="0.2">
      <c r="A104" s="2705" t="s">
        <v>9</v>
      </c>
      <c r="B104" s="2458" t="s">
        <v>9</v>
      </c>
      <c r="C104" s="2459" t="s">
        <v>54</v>
      </c>
      <c r="D104" s="2720" t="s">
        <v>270</v>
      </c>
      <c r="E104" s="2722"/>
      <c r="F104" s="2487" t="s">
        <v>95</v>
      </c>
      <c r="G104" s="1621" t="s">
        <v>36</v>
      </c>
      <c r="H104" s="1571">
        <v>227.8</v>
      </c>
      <c r="I104" s="1571">
        <v>236.5</v>
      </c>
      <c r="J104" s="1396">
        <v>139.5</v>
      </c>
      <c r="K104" s="1920" t="s">
        <v>528</v>
      </c>
      <c r="L104" s="1108">
        <v>80</v>
      </c>
      <c r="M104" s="1108">
        <v>95</v>
      </c>
      <c r="N104" s="1522">
        <v>100</v>
      </c>
    </row>
    <row r="105" spans="1:14" ht="19.5" customHeight="1" thickBot="1" x14ac:dyDescent="0.25">
      <c r="A105" s="2719"/>
      <c r="B105" s="2453"/>
      <c r="C105" s="2454"/>
      <c r="D105" s="2721"/>
      <c r="E105" s="2723"/>
      <c r="F105" s="2489"/>
      <c r="G105" s="823" t="s">
        <v>10</v>
      </c>
      <c r="H105" s="1608">
        <f>SUM(H104:H104)</f>
        <v>227.8</v>
      </c>
      <c r="I105" s="1608">
        <f t="shared" ref="I105:J105" si="1">SUM(I104:I104)</f>
        <v>236.5</v>
      </c>
      <c r="J105" s="1692">
        <f t="shared" si="1"/>
        <v>139.5</v>
      </c>
      <c r="K105" s="1921"/>
      <c r="L105" s="1072"/>
      <c r="M105" s="1072"/>
      <c r="N105" s="1620"/>
    </row>
    <row r="106" spans="1:14" ht="17.25" customHeight="1" x14ac:dyDescent="0.2">
      <c r="A106" s="2048" t="s">
        <v>9</v>
      </c>
      <c r="B106" s="1978" t="s">
        <v>9</v>
      </c>
      <c r="C106" s="2072" t="s">
        <v>55</v>
      </c>
      <c r="D106" s="2711" t="s">
        <v>655</v>
      </c>
      <c r="E106" s="1951" t="s">
        <v>91</v>
      </c>
      <c r="F106" s="2023" t="s">
        <v>90</v>
      </c>
      <c r="G106" s="1310" t="s">
        <v>36</v>
      </c>
      <c r="H106" s="1488">
        <v>455.6</v>
      </c>
      <c r="I106" s="1488">
        <v>715</v>
      </c>
      <c r="J106" s="1488">
        <v>1283.4000000000001</v>
      </c>
      <c r="K106" s="2713"/>
      <c r="L106" s="1471"/>
      <c r="M106" s="1471"/>
      <c r="N106" s="1797"/>
    </row>
    <row r="107" spans="1:14" ht="16.5" customHeight="1" x14ac:dyDescent="0.2">
      <c r="A107" s="2301"/>
      <c r="B107" s="2292"/>
      <c r="C107" s="2293"/>
      <c r="D107" s="2712"/>
      <c r="E107" s="2317"/>
      <c r="F107" s="2303"/>
      <c r="G107" s="1311" t="s">
        <v>346</v>
      </c>
      <c r="H107" s="2309">
        <v>0</v>
      </c>
      <c r="I107" s="2309">
        <v>216.4</v>
      </c>
      <c r="J107" s="2309">
        <v>486.1</v>
      </c>
      <c r="K107" s="2714"/>
      <c r="L107" s="1472"/>
      <c r="M107" s="1472"/>
      <c r="N107" s="1798"/>
    </row>
    <row r="108" spans="1:14" ht="15" customHeight="1" x14ac:dyDescent="0.2">
      <c r="A108" s="2020"/>
      <c r="B108" s="1975"/>
      <c r="C108" s="2069"/>
      <c r="D108" s="2712"/>
      <c r="E108" s="1999"/>
      <c r="F108" s="2022"/>
      <c r="G108" s="1311" t="s">
        <v>92</v>
      </c>
      <c r="H108" s="2309">
        <v>0</v>
      </c>
      <c r="I108" s="2309">
        <v>2450.5</v>
      </c>
      <c r="J108" s="2309">
        <v>5505</v>
      </c>
      <c r="K108" s="2715"/>
      <c r="L108" s="1472"/>
      <c r="M108" s="1472"/>
      <c r="N108" s="1798"/>
    </row>
    <row r="109" spans="1:14" ht="22.5" customHeight="1" x14ac:dyDescent="0.2">
      <c r="A109" s="2020"/>
      <c r="B109" s="1975"/>
      <c r="C109" s="2069"/>
      <c r="D109" s="2625" t="s">
        <v>390</v>
      </c>
      <c r="E109" s="2717" t="s">
        <v>376</v>
      </c>
      <c r="F109" s="2687"/>
      <c r="G109" s="2024"/>
      <c r="H109" s="1416"/>
      <c r="I109" s="1403"/>
      <c r="J109" s="1416"/>
      <c r="K109" s="2302" t="s">
        <v>374</v>
      </c>
      <c r="L109" s="1335">
        <v>1</v>
      </c>
      <c r="M109" s="1335"/>
      <c r="N109" s="740"/>
    </row>
    <row r="110" spans="1:14" ht="24" customHeight="1" x14ac:dyDescent="0.2">
      <c r="A110" s="2020"/>
      <c r="B110" s="1975"/>
      <c r="C110" s="2069"/>
      <c r="D110" s="2716"/>
      <c r="E110" s="2718"/>
      <c r="F110" s="2687"/>
      <c r="G110" s="2007"/>
      <c r="H110" s="2309"/>
      <c r="I110" s="2310"/>
      <c r="J110" s="2309"/>
      <c r="K110" s="2304" t="s">
        <v>373</v>
      </c>
      <c r="L110" s="1336">
        <v>1</v>
      </c>
      <c r="M110" s="1336"/>
      <c r="N110" s="1069"/>
    </row>
    <row r="111" spans="1:14" ht="45.75" customHeight="1" x14ac:dyDescent="0.2">
      <c r="A111" s="2020"/>
      <c r="B111" s="1975"/>
      <c r="C111" s="2069"/>
      <c r="D111" s="2716"/>
      <c r="E111" s="2718"/>
      <c r="F111" s="2687"/>
      <c r="G111" s="2099"/>
      <c r="H111" s="2309"/>
      <c r="I111" s="2310"/>
      <c r="J111" s="2309"/>
      <c r="K111" s="1918" t="s">
        <v>529</v>
      </c>
      <c r="L111" s="1323">
        <v>5</v>
      </c>
      <c r="M111" s="1323">
        <v>45</v>
      </c>
      <c r="N111" s="1799">
        <v>100</v>
      </c>
    </row>
    <row r="112" spans="1:14" ht="27" customHeight="1" x14ac:dyDescent="0.2">
      <c r="A112" s="2020"/>
      <c r="B112" s="1975"/>
      <c r="C112" s="2069"/>
      <c r="D112" s="2651" t="s">
        <v>668</v>
      </c>
      <c r="E112" s="2729" t="s">
        <v>169</v>
      </c>
      <c r="F112" s="2687"/>
      <c r="G112" s="2099"/>
      <c r="H112" s="2309"/>
      <c r="I112" s="1625"/>
      <c r="J112" s="2310"/>
      <c r="K112" s="2304" t="s">
        <v>373</v>
      </c>
      <c r="L112" s="1336">
        <v>1</v>
      </c>
      <c r="M112" s="1336"/>
      <c r="N112" s="2298"/>
    </row>
    <row r="113" spans="1:14" ht="31.5" customHeight="1" x14ac:dyDescent="0.2">
      <c r="A113" s="2020"/>
      <c r="B113" s="1975"/>
      <c r="C113" s="2069"/>
      <c r="D113" s="2727"/>
      <c r="E113" s="2730"/>
      <c r="F113" s="2687"/>
      <c r="G113" s="2099"/>
      <c r="H113" s="2309"/>
      <c r="I113" s="1625"/>
      <c r="J113" s="2310"/>
      <c r="K113" s="2304" t="s">
        <v>530</v>
      </c>
      <c r="L113" s="1336"/>
      <c r="M113" s="1336">
        <v>35</v>
      </c>
      <c r="N113" s="1069">
        <v>70</v>
      </c>
    </row>
    <row r="114" spans="1:14" ht="36" customHeight="1" x14ac:dyDescent="0.2">
      <c r="A114" s="2020"/>
      <c r="B114" s="1975"/>
      <c r="C114" s="2069"/>
      <c r="D114" s="2728"/>
      <c r="E114" s="2731"/>
      <c r="F114" s="2732"/>
      <c r="G114" s="2099"/>
      <c r="H114" s="2309"/>
      <c r="I114" s="1625"/>
      <c r="J114" s="2310"/>
      <c r="K114" s="2307"/>
      <c r="L114" s="1323"/>
      <c r="M114" s="1323"/>
      <c r="N114" s="1799"/>
    </row>
    <row r="115" spans="1:14" ht="30.75" customHeight="1" x14ac:dyDescent="0.2">
      <c r="A115" s="2020"/>
      <c r="B115" s="1975"/>
      <c r="C115" s="2069"/>
      <c r="D115" s="2673" t="s">
        <v>669</v>
      </c>
      <c r="E115" s="2725" t="s">
        <v>376</v>
      </c>
      <c r="F115" s="2687"/>
      <c r="G115" s="2099"/>
      <c r="H115" s="2309"/>
      <c r="I115" s="1625"/>
      <c r="J115" s="2310"/>
      <c r="K115" s="2304" t="s">
        <v>374</v>
      </c>
      <c r="L115" s="2296">
        <v>1</v>
      </c>
      <c r="M115" s="2296"/>
      <c r="N115" s="2298"/>
    </row>
    <row r="116" spans="1:14" ht="30" customHeight="1" x14ac:dyDescent="0.2">
      <c r="A116" s="2020"/>
      <c r="B116" s="1975"/>
      <c r="C116" s="2069"/>
      <c r="D116" s="2673"/>
      <c r="E116" s="2725"/>
      <c r="F116" s="2687"/>
      <c r="G116" s="2099"/>
      <c r="H116" s="2309"/>
      <c r="I116" s="1625"/>
      <c r="J116" s="2310"/>
      <c r="K116" s="2304" t="s">
        <v>373</v>
      </c>
      <c r="L116" s="1336"/>
      <c r="M116" s="1336">
        <v>1</v>
      </c>
      <c r="N116" s="1069"/>
    </row>
    <row r="117" spans="1:14" ht="30" customHeight="1" x14ac:dyDescent="0.2">
      <c r="A117" s="2020"/>
      <c r="B117" s="1975"/>
      <c r="C117" s="2069"/>
      <c r="D117" s="2673"/>
      <c r="E117" s="2725"/>
      <c r="F117" s="2687"/>
      <c r="G117" s="2099"/>
      <c r="H117" s="2309"/>
      <c r="I117" s="2310"/>
      <c r="J117" s="2310"/>
      <c r="K117" s="2304" t="s">
        <v>531</v>
      </c>
      <c r="L117" s="1336"/>
      <c r="M117" s="1336">
        <v>15</v>
      </c>
      <c r="N117" s="1069">
        <v>85</v>
      </c>
    </row>
    <row r="118" spans="1:14" ht="21" customHeight="1" x14ac:dyDescent="0.2">
      <c r="A118" s="2020"/>
      <c r="B118" s="1975"/>
      <c r="C118" s="2069"/>
      <c r="D118" s="2662"/>
      <c r="E118" s="2726"/>
      <c r="F118" s="2687"/>
      <c r="G118" s="16"/>
      <c r="H118" s="2309"/>
      <c r="I118" s="2310"/>
      <c r="J118" s="2310"/>
      <c r="K118" s="2304"/>
      <c r="L118" s="1336"/>
      <c r="M118" s="1336"/>
      <c r="N118" s="1069"/>
    </row>
    <row r="119" spans="1:14" ht="19.5" customHeight="1" x14ac:dyDescent="0.2">
      <c r="A119" s="2020"/>
      <c r="B119" s="1975"/>
      <c r="C119" s="2069"/>
      <c r="D119" s="2625" t="s">
        <v>375</v>
      </c>
      <c r="E119" s="2724" t="s">
        <v>376</v>
      </c>
      <c r="F119" s="2687"/>
      <c r="G119" s="2099"/>
      <c r="H119" s="2309"/>
      <c r="I119" s="1625"/>
      <c r="J119" s="2310"/>
      <c r="K119" s="2302" t="s">
        <v>373</v>
      </c>
      <c r="L119" s="808">
        <v>1</v>
      </c>
      <c r="M119" s="808"/>
      <c r="N119" s="1800"/>
    </row>
    <row r="120" spans="1:14" ht="27" customHeight="1" x14ac:dyDescent="0.2">
      <c r="A120" s="2020"/>
      <c r="B120" s="1975"/>
      <c r="C120" s="2069"/>
      <c r="D120" s="2685"/>
      <c r="E120" s="2725"/>
      <c r="F120" s="2687"/>
      <c r="G120" s="2099"/>
      <c r="H120" s="2309"/>
      <c r="I120" s="1625"/>
      <c r="J120" s="2310"/>
      <c r="K120" s="2304" t="s">
        <v>534</v>
      </c>
      <c r="L120" s="1336"/>
      <c r="M120" s="1336">
        <v>50</v>
      </c>
      <c r="N120" s="1069">
        <v>100</v>
      </c>
    </row>
    <row r="121" spans="1:14" ht="15.75" customHeight="1" x14ac:dyDescent="0.2">
      <c r="A121" s="2020"/>
      <c r="B121" s="1975"/>
      <c r="C121" s="2069"/>
      <c r="D121" s="2667"/>
      <c r="E121" s="2726"/>
      <c r="F121" s="2687"/>
      <c r="G121" s="2099"/>
      <c r="H121" s="2309"/>
      <c r="I121" s="2310"/>
      <c r="J121" s="2310"/>
      <c r="K121" s="2134"/>
      <c r="L121" s="1323"/>
      <c r="M121" s="1323"/>
      <c r="N121" s="1799"/>
    </row>
    <row r="122" spans="1:14" ht="20.25" customHeight="1" x14ac:dyDescent="0.2">
      <c r="A122" s="2020"/>
      <c r="B122" s="1975"/>
      <c r="C122" s="2069"/>
      <c r="D122" s="2739" t="s">
        <v>585</v>
      </c>
      <c r="E122" s="2724" t="s">
        <v>376</v>
      </c>
      <c r="F122" s="2687"/>
      <c r="G122" s="1630"/>
      <c r="H122" s="2309"/>
      <c r="I122" s="2310"/>
      <c r="J122" s="2310"/>
      <c r="K122" s="2304" t="s">
        <v>373</v>
      </c>
      <c r="L122" s="1789">
        <v>1</v>
      </c>
      <c r="M122" s="1790"/>
      <c r="N122" s="1069"/>
    </row>
    <row r="123" spans="1:14" ht="27.75" customHeight="1" x14ac:dyDescent="0.2">
      <c r="A123" s="2020"/>
      <c r="B123" s="1975"/>
      <c r="C123" s="2069"/>
      <c r="D123" s="2739"/>
      <c r="E123" s="2725"/>
      <c r="F123" s="2687"/>
      <c r="G123" s="1623"/>
      <c r="H123" s="2309"/>
      <c r="I123" s="2310"/>
      <c r="J123" s="2310"/>
      <c r="K123" s="1480" t="s">
        <v>532</v>
      </c>
      <c r="L123" s="1789"/>
      <c r="M123" s="1789">
        <v>25</v>
      </c>
      <c r="N123" s="1069">
        <v>85</v>
      </c>
    </row>
    <row r="124" spans="1:14" ht="30" customHeight="1" x14ac:dyDescent="0.2">
      <c r="A124" s="2020"/>
      <c r="B124" s="1975"/>
      <c r="C124" s="2069"/>
      <c r="D124" s="2740"/>
      <c r="E124" s="2726"/>
      <c r="F124" s="2687"/>
      <c r="G124" s="1630"/>
      <c r="H124" s="2309"/>
      <c r="I124" s="2310"/>
      <c r="J124" s="2310"/>
      <c r="K124" s="2162"/>
      <c r="L124" s="1791"/>
      <c r="M124" s="1792"/>
      <c r="N124" s="1799"/>
    </row>
    <row r="125" spans="1:14" ht="25.5" customHeight="1" x14ac:dyDescent="0.2">
      <c r="A125" s="2020"/>
      <c r="B125" s="1975"/>
      <c r="C125" s="2069"/>
      <c r="D125" s="2741" t="s">
        <v>656</v>
      </c>
      <c r="E125" s="2725" t="s">
        <v>256</v>
      </c>
      <c r="F125" s="2687"/>
      <c r="G125" s="1625"/>
      <c r="H125" s="2309"/>
      <c r="I125" s="2310"/>
      <c r="J125" s="1625"/>
      <c r="K125" s="2304" t="s">
        <v>374</v>
      </c>
      <c r="L125" s="2296"/>
      <c r="M125" s="2308">
        <v>1</v>
      </c>
      <c r="N125" s="1069"/>
    </row>
    <row r="126" spans="1:14" ht="31.5" customHeight="1" x14ac:dyDescent="0.2">
      <c r="A126" s="2020"/>
      <c r="B126" s="1975"/>
      <c r="C126" s="2069"/>
      <c r="D126" s="2742"/>
      <c r="E126" s="2725"/>
      <c r="F126" s="2687"/>
      <c r="G126" s="1625"/>
      <c r="H126" s="2309"/>
      <c r="I126" s="2310"/>
      <c r="J126" s="1625"/>
      <c r="K126" s="2304" t="s">
        <v>373</v>
      </c>
      <c r="L126" s="1336"/>
      <c r="M126" s="1502">
        <v>1</v>
      </c>
      <c r="N126" s="1069"/>
    </row>
    <row r="127" spans="1:14" ht="39.75" customHeight="1" x14ac:dyDescent="0.2">
      <c r="A127" s="2020"/>
      <c r="B127" s="1975"/>
      <c r="C127" s="2069"/>
      <c r="D127" s="2742"/>
      <c r="E127" s="2743"/>
      <c r="F127" s="2687"/>
      <c r="G127" s="2319"/>
      <c r="H127" s="2309"/>
      <c r="I127" s="2310"/>
      <c r="J127" s="2310"/>
      <c r="K127" s="2307" t="s">
        <v>533</v>
      </c>
      <c r="L127" s="2297"/>
      <c r="M127" s="1511"/>
      <c r="N127" s="1799">
        <v>50</v>
      </c>
    </row>
    <row r="128" spans="1:14" ht="21.75" customHeight="1" x14ac:dyDescent="0.2">
      <c r="A128" s="2020"/>
      <c r="B128" s="1975"/>
      <c r="C128" s="2069"/>
      <c r="D128" s="2625" t="s">
        <v>657</v>
      </c>
      <c r="E128" s="2724" t="s">
        <v>376</v>
      </c>
      <c r="F128" s="2687"/>
      <c r="G128" s="1625"/>
      <c r="H128" s="2309"/>
      <c r="I128" s="2310"/>
      <c r="J128" s="1625"/>
      <c r="K128" s="2304" t="s">
        <v>374</v>
      </c>
      <c r="L128" s="2296">
        <v>1</v>
      </c>
      <c r="M128" s="2308"/>
      <c r="N128" s="1069"/>
    </row>
    <row r="129" spans="1:17" ht="21" customHeight="1" x14ac:dyDescent="0.2">
      <c r="A129" s="2020"/>
      <c r="B129" s="1975"/>
      <c r="C129" s="2069"/>
      <c r="D129" s="2685"/>
      <c r="E129" s="2725"/>
      <c r="F129" s="2687"/>
      <c r="G129" s="1625"/>
      <c r="H129" s="2309"/>
      <c r="I129" s="2310"/>
      <c r="J129" s="1625"/>
      <c r="K129" s="2304" t="s">
        <v>373</v>
      </c>
      <c r="L129" s="1336"/>
      <c r="M129" s="1502">
        <v>1</v>
      </c>
      <c r="N129" s="1069"/>
    </row>
    <row r="130" spans="1:17" ht="42" customHeight="1" x14ac:dyDescent="0.2">
      <c r="A130" s="2020"/>
      <c r="B130" s="1975"/>
      <c r="C130" s="2069"/>
      <c r="D130" s="2685"/>
      <c r="E130" s="2725"/>
      <c r="F130" s="2687"/>
      <c r="G130" s="1625"/>
      <c r="H130" s="2309"/>
      <c r="I130" s="2310"/>
      <c r="J130" s="2310"/>
      <c r="K130" s="2307" t="s">
        <v>538</v>
      </c>
      <c r="L130" s="2297"/>
      <c r="M130" s="1511">
        <v>30</v>
      </c>
      <c r="N130" s="1799">
        <v>100</v>
      </c>
    </row>
    <row r="131" spans="1:17" ht="21" customHeight="1" x14ac:dyDescent="0.2">
      <c r="A131" s="2020"/>
      <c r="B131" s="1975"/>
      <c r="C131" s="2069"/>
      <c r="D131" s="2734" t="s">
        <v>497</v>
      </c>
      <c r="E131" s="2724" t="s">
        <v>376</v>
      </c>
      <c r="F131" s="2687"/>
      <c r="G131" s="1625"/>
      <c r="H131" s="2309"/>
      <c r="I131" s="2310"/>
      <c r="J131" s="2310"/>
      <c r="K131" s="2304" t="s">
        <v>374</v>
      </c>
      <c r="L131" s="1780"/>
      <c r="M131" s="1796"/>
      <c r="N131" s="1787" t="s">
        <v>95</v>
      </c>
    </row>
    <row r="132" spans="1:17" ht="17.25" customHeight="1" x14ac:dyDescent="0.2">
      <c r="A132" s="2020"/>
      <c r="B132" s="1975"/>
      <c r="C132" s="2069"/>
      <c r="D132" s="2735"/>
      <c r="E132" s="2725"/>
      <c r="F132" s="2687"/>
      <c r="G132" s="1625"/>
      <c r="H132" s="2309"/>
      <c r="I132" s="2310"/>
      <c r="J132" s="1526"/>
      <c r="K132" s="2304" t="s">
        <v>373</v>
      </c>
      <c r="L132" s="1747"/>
      <c r="M132" s="1642"/>
      <c r="N132" s="1069">
        <v>1</v>
      </c>
    </row>
    <row r="133" spans="1:17" ht="28.5" customHeight="1" x14ac:dyDescent="0.2">
      <c r="A133" s="2020"/>
      <c r="B133" s="1975"/>
      <c r="C133" s="2069"/>
      <c r="D133" s="2736"/>
      <c r="E133" s="2726"/>
      <c r="F133" s="2066"/>
      <c r="G133" s="1625"/>
      <c r="H133" s="2309"/>
      <c r="I133" s="2310"/>
      <c r="J133" s="2310"/>
      <c r="K133" s="2318"/>
      <c r="L133" s="2314"/>
      <c r="M133" s="2315"/>
      <c r="N133" s="2316"/>
      <c r="O133" s="2291"/>
      <c r="P133" s="2191"/>
      <c r="Q133" s="2191"/>
    </row>
    <row r="134" spans="1:17" ht="17.25" customHeight="1" x14ac:dyDescent="0.2">
      <c r="A134" s="2020"/>
      <c r="B134" s="1975"/>
      <c r="C134" s="2069"/>
      <c r="D134" s="2734" t="s">
        <v>670</v>
      </c>
      <c r="E134" s="2724"/>
      <c r="F134" s="1313"/>
      <c r="G134" s="1625"/>
      <c r="H134" s="2309"/>
      <c r="I134" s="2310"/>
      <c r="J134" s="2309"/>
      <c r="K134" s="2738" t="s">
        <v>683</v>
      </c>
      <c r="L134" s="1780">
        <v>1</v>
      </c>
      <c r="M134" s="1644"/>
      <c r="N134" s="1800"/>
      <c r="O134" s="2733"/>
    </row>
    <row r="135" spans="1:17" ht="12" customHeight="1" x14ac:dyDescent="0.2">
      <c r="A135" s="2020"/>
      <c r="B135" s="1975"/>
      <c r="C135" s="2069"/>
      <c r="D135" s="2735"/>
      <c r="E135" s="2725"/>
      <c r="F135" s="1313"/>
      <c r="G135" s="1625"/>
      <c r="H135" s="2309"/>
      <c r="I135" s="2310"/>
      <c r="J135" s="2320"/>
      <c r="K135" s="2646"/>
      <c r="L135" s="1747"/>
      <c r="M135" s="1642"/>
      <c r="N135" s="1069"/>
      <c r="O135" s="2733"/>
    </row>
    <row r="136" spans="1:17" ht="12.75" customHeight="1" x14ac:dyDescent="0.2">
      <c r="A136" s="2020"/>
      <c r="B136" s="1975"/>
      <c r="C136" s="2069"/>
      <c r="D136" s="2737"/>
      <c r="E136" s="2725"/>
      <c r="F136" s="2066"/>
      <c r="G136" s="1627"/>
      <c r="H136" s="1340"/>
      <c r="I136" s="1404"/>
      <c r="J136" s="1340"/>
      <c r="K136" s="2608"/>
      <c r="L136" s="1336"/>
      <c r="M136" s="1502"/>
      <c r="N136" s="1069"/>
      <c r="O136" s="2733"/>
    </row>
    <row r="137" spans="1:17" ht="15.75" customHeight="1" thickBot="1" x14ac:dyDescent="0.25">
      <c r="A137" s="681"/>
      <c r="B137" s="2071"/>
      <c r="C137" s="2185"/>
      <c r="D137" s="2219"/>
      <c r="E137" s="2220"/>
      <c r="F137" s="722"/>
      <c r="G137" s="823" t="s">
        <v>10</v>
      </c>
      <c r="H137" s="1608">
        <f>SUM(H106:H136)</f>
        <v>455.6</v>
      </c>
      <c r="I137" s="1608">
        <f t="shared" ref="I137:J137" si="2">SUM(I106:I136)</f>
        <v>3381.9</v>
      </c>
      <c r="J137" s="1692">
        <f t="shared" si="2"/>
        <v>7274.5</v>
      </c>
      <c r="K137" s="2216"/>
      <c r="L137" s="2217"/>
      <c r="M137" s="2217"/>
      <c r="N137" s="2218"/>
    </row>
    <row r="138" spans="1:17" ht="14.25" customHeight="1" thickBot="1" x14ac:dyDescent="0.25">
      <c r="A138" s="682" t="s">
        <v>9</v>
      </c>
      <c r="B138" s="1318" t="s">
        <v>9</v>
      </c>
      <c r="C138" s="2571" t="s">
        <v>12</v>
      </c>
      <c r="D138" s="2516"/>
      <c r="E138" s="2516"/>
      <c r="F138" s="2516"/>
      <c r="G138" s="2542"/>
      <c r="H138" s="1408">
        <f>SUM(H137,H105,H103,H91,H67,H55)</f>
        <v>10711.8</v>
      </c>
      <c r="I138" s="1408">
        <f>SUM(I137,I105,I103,I91,I67,I55)</f>
        <v>12603.6</v>
      </c>
      <c r="J138" s="1408">
        <f>SUM(J137,J105,J103,J91,J67,J55)</f>
        <v>15099.7</v>
      </c>
      <c r="K138" s="1954"/>
      <c r="L138" s="1954"/>
      <c r="M138" s="1954"/>
      <c r="N138" s="1955"/>
    </row>
    <row r="139" spans="1:17" ht="17.25" customHeight="1" thickBot="1" x14ac:dyDescent="0.25">
      <c r="A139" s="682" t="s">
        <v>9</v>
      </c>
      <c r="B139" s="1318" t="s">
        <v>11</v>
      </c>
      <c r="C139" s="2804" t="s">
        <v>71</v>
      </c>
      <c r="D139" s="2805"/>
      <c r="E139" s="2805"/>
      <c r="F139" s="2805"/>
      <c r="G139" s="2805"/>
      <c r="H139" s="2805"/>
      <c r="I139" s="2805"/>
      <c r="J139" s="2805"/>
      <c r="K139" s="2805"/>
      <c r="L139" s="2805"/>
      <c r="M139" s="2805"/>
      <c r="N139" s="2806"/>
    </row>
    <row r="140" spans="1:17" ht="17.25" customHeight="1" x14ac:dyDescent="0.2">
      <c r="A140" s="1337" t="s">
        <v>9</v>
      </c>
      <c r="B140" s="1429" t="s">
        <v>11</v>
      </c>
      <c r="C140" s="2102" t="s">
        <v>9</v>
      </c>
      <c r="D140" s="2808" t="s">
        <v>252</v>
      </c>
      <c r="E140" s="2224"/>
      <c r="F140" s="2225">
        <v>6</v>
      </c>
      <c r="G140" s="366" t="s">
        <v>36</v>
      </c>
      <c r="H140" s="2287">
        <v>442.6</v>
      </c>
      <c r="I140" s="2288">
        <v>296.60000000000002</v>
      </c>
      <c r="J140" s="2289">
        <v>251.6</v>
      </c>
      <c r="K140" s="2226"/>
      <c r="L140" s="2227"/>
      <c r="M140" s="2228"/>
      <c r="N140" s="2229"/>
    </row>
    <row r="141" spans="1:17" ht="17.25" customHeight="1" x14ac:dyDescent="0.2">
      <c r="A141" s="1338"/>
      <c r="B141" s="2073"/>
      <c r="C141" s="2103"/>
      <c r="D141" s="2809"/>
      <c r="E141" s="2093"/>
      <c r="F141" s="2230"/>
      <c r="G141" s="1280" t="s">
        <v>130</v>
      </c>
      <c r="H141" s="1410"/>
      <c r="I141" s="1580"/>
      <c r="J141" s="1410"/>
      <c r="K141" s="1370"/>
      <c r="L141" s="1672"/>
      <c r="M141" s="1709"/>
      <c r="N141" s="1352"/>
    </row>
    <row r="142" spans="1:17" ht="18.75" customHeight="1" x14ac:dyDescent="0.2">
      <c r="A142" s="1338"/>
      <c r="B142" s="1976"/>
      <c r="C142" s="2103"/>
      <c r="D142" s="2800" t="s">
        <v>104</v>
      </c>
      <c r="E142" s="1999"/>
      <c r="F142" s="1276"/>
      <c r="G142" s="1279"/>
      <c r="H142" s="1409"/>
      <c r="I142" s="1695"/>
      <c r="J142" s="1409"/>
      <c r="K142" s="1368" t="s">
        <v>610</v>
      </c>
      <c r="L142" s="1671">
        <v>350</v>
      </c>
      <c r="M142" s="1708">
        <v>350</v>
      </c>
      <c r="N142" s="1369">
        <v>350</v>
      </c>
    </row>
    <row r="143" spans="1:17" ht="28.5" customHeight="1" x14ac:dyDescent="0.2">
      <c r="A143" s="1338"/>
      <c r="B143" s="1976"/>
      <c r="C143" s="2103"/>
      <c r="D143" s="2800"/>
      <c r="E143" s="1999"/>
      <c r="F143" s="1276"/>
      <c r="G143" s="1280"/>
      <c r="H143" s="1410"/>
      <c r="I143" s="1580"/>
      <c r="J143" s="1410"/>
      <c r="K143" s="1370" t="s">
        <v>536</v>
      </c>
      <c r="L143" s="1672">
        <v>300</v>
      </c>
      <c r="M143" s="1709">
        <v>300</v>
      </c>
      <c r="N143" s="1352">
        <v>300</v>
      </c>
    </row>
    <row r="144" spans="1:17" ht="30.75" customHeight="1" x14ac:dyDescent="0.2">
      <c r="A144" s="1338"/>
      <c r="B144" s="1976"/>
      <c r="C144" s="2069"/>
      <c r="D144" s="2807"/>
      <c r="E144" s="1614"/>
      <c r="F144" s="1276"/>
      <c r="G144" s="1280"/>
      <c r="H144" s="1410"/>
      <c r="I144" s="1580"/>
      <c r="J144" s="1410"/>
      <c r="K144" s="1371" t="s">
        <v>330</v>
      </c>
      <c r="L144" s="1673">
        <v>36</v>
      </c>
      <c r="M144" s="1710">
        <v>36</v>
      </c>
      <c r="N144" s="1353">
        <v>36</v>
      </c>
    </row>
    <row r="145" spans="1:21" ht="14.25" customHeight="1" x14ac:dyDescent="0.2">
      <c r="A145" s="1338"/>
      <c r="B145" s="1976"/>
      <c r="C145" s="2103"/>
      <c r="D145" s="2801" t="s">
        <v>423</v>
      </c>
      <c r="E145" s="1999"/>
      <c r="F145" s="1276"/>
      <c r="G145" s="1280"/>
      <c r="H145" s="1580"/>
      <c r="I145" s="1580"/>
      <c r="J145" s="1580"/>
      <c r="K145" s="2645" t="s">
        <v>417</v>
      </c>
      <c r="L145" s="1674">
        <v>18</v>
      </c>
      <c r="M145" s="880">
        <v>18</v>
      </c>
      <c r="N145" s="1432">
        <v>18</v>
      </c>
    </row>
    <row r="146" spans="1:21" ht="81" customHeight="1" x14ac:dyDescent="0.2">
      <c r="A146" s="1338"/>
      <c r="B146" s="1976"/>
      <c r="C146" s="2103"/>
      <c r="D146" s="2802"/>
      <c r="E146" s="1999"/>
      <c r="F146" s="1276"/>
      <c r="G146" s="1280"/>
      <c r="H146" s="1580"/>
      <c r="I146" s="1580"/>
      <c r="J146" s="1580"/>
      <c r="K146" s="2803"/>
      <c r="L146" s="1675"/>
      <c r="M146" s="1638"/>
      <c r="N146" s="1372"/>
    </row>
    <row r="147" spans="1:21" ht="27.75" customHeight="1" x14ac:dyDescent="0.2">
      <c r="A147" s="1338"/>
      <c r="B147" s="1976"/>
      <c r="C147" s="2103"/>
      <c r="D147" s="2004"/>
      <c r="E147" s="1999"/>
      <c r="F147" s="1276"/>
      <c r="G147" s="1280"/>
      <c r="H147" s="1410"/>
      <c r="I147" s="1580"/>
      <c r="J147" s="1410"/>
      <c r="K147" s="1373" t="s">
        <v>584</v>
      </c>
      <c r="L147" s="1676">
        <v>80</v>
      </c>
      <c r="M147" s="1676"/>
      <c r="N147" s="1656"/>
    </row>
    <row r="148" spans="1:21" ht="26.25" customHeight="1" x14ac:dyDescent="0.2">
      <c r="A148" s="1338"/>
      <c r="B148" s="1976"/>
      <c r="C148" s="2103"/>
      <c r="D148" s="2004"/>
      <c r="E148" s="1999"/>
      <c r="F148" s="1276"/>
      <c r="G148" s="1280"/>
      <c r="H148" s="1410"/>
      <c r="I148" s="1580"/>
      <c r="J148" s="1410"/>
      <c r="K148" s="1373" t="s">
        <v>400</v>
      </c>
      <c r="L148" s="1676">
        <v>13</v>
      </c>
      <c r="M148" s="1676">
        <v>20</v>
      </c>
      <c r="N148" s="1656">
        <v>10</v>
      </c>
    </row>
    <row r="149" spans="1:21" ht="30.75" customHeight="1" x14ac:dyDescent="0.2">
      <c r="A149" s="1338"/>
      <c r="B149" s="1976"/>
      <c r="C149" s="2103"/>
      <c r="D149" s="2004"/>
      <c r="E149" s="1999"/>
      <c r="F149" s="1276"/>
      <c r="G149" s="1280"/>
      <c r="H149" s="1410"/>
      <c r="I149" s="1580"/>
      <c r="J149" s="1410"/>
      <c r="K149" s="1470" t="s">
        <v>684</v>
      </c>
      <c r="L149" s="1675">
        <v>500</v>
      </c>
      <c r="M149" s="1675">
        <v>500</v>
      </c>
      <c r="N149" s="1655">
        <v>500</v>
      </c>
    </row>
    <row r="150" spans="1:21" ht="31.5" customHeight="1" x14ac:dyDescent="0.2">
      <c r="A150" s="1338"/>
      <c r="B150" s="1976"/>
      <c r="C150" s="2103"/>
      <c r="D150" s="2004"/>
      <c r="E150" s="1999"/>
      <c r="F150" s="1276"/>
      <c r="G150" s="1280"/>
      <c r="H150" s="1410"/>
      <c r="I150" s="1580"/>
      <c r="J150" s="1410"/>
      <c r="K150" s="1470" t="s">
        <v>629</v>
      </c>
      <c r="L150" s="1675">
        <v>100</v>
      </c>
      <c r="M150" s="1675"/>
      <c r="N150" s="1655"/>
    </row>
    <row r="151" spans="1:21" ht="28.5" customHeight="1" x14ac:dyDescent="0.2">
      <c r="A151" s="1338"/>
      <c r="B151" s="1976"/>
      <c r="C151" s="2103"/>
      <c r="D151" s="2004"/>
      <c r="E151" s="1999"/>
      <c r="F151" s="1276"/>
      <c r="G151" s="1280"/>
      <c r="H151" s="1410"/>
      <c r="I151" s="1580"/>
      <c r="J151" s="1410"/>
      <c r="K151" s="1470" t="s">
        <v>630</v>
      </c>
      <c r="L151" s="1675">
        <v>250</v>
      </c>
      <c r="M151" s="1675"/>
      <c r="N151" s="1655"/>
    </row>
    <row r="152" spans="1:21" ht="18" customHeight="1" x14ac:dyDescent="0.2">
      <c r="A152" s="1338"/>
      <c r="B152" s="1976"/>
      <c r="C152" s="2103"/>
      <c r="D152" s="2004"/>
      <c r="E152" s="1999"/>
      <c r="F152" s="1276"/>
      <c r="G152" s="1280"/>
      <c r="H152" s="1410"/>
      <c r="I152" s="1580"/>
      <c r="J152" s="1410"/>
      <c r="K152" s="1470" t="s">
        <v>685</v>
      </c>
      <c r="L152" s="1675">
        <v>61</v>
      </c>
      <c r="M152" s="1675"/>
      <c r="N152" s="1655"/>
    </row>
    <row r="153" spans="1:21" ht="22.5" customHeight="1" x14ac:dyDescent="0.2">
      <c r="A153" s="1338"/>
      <c r="B153" s="1976"/>
      <c r="C153" s="2103"/>
      <c r="D153" s="2004"/>
      <c r="E153" s="1999"/>
      <c r="F153" s="1276"/>
      <c r="G153" s="1280"/>
      <c r="H153" s="1410"/>
      <c r="I153" s="1580"/>
      <c r="J153" s="1410"/>
      <c r="K153" s="1470" t="s">
        <v>571</v>
      </c>
      <c r="L153" s="1675">
        <v>100</v>
      </c>
      <c r="M153" s="1675">
        <v>100</v>
      </c>
      <c r="N153" s="1655">
        <v>100</v>
      </c>
    </row>
    <row r="154" spans="1:21" ht="24.75" customHeight="1" x14ac:dyDescent="0.2">
      <c r="A154" s="1338"/>
      <c r="B154" s="1976"/>
      <c r="C154" s="2103"/>
      <c r="D154" s="2004"/>
      <c r="E154" s="1999"/>
      <c r="F154" s="1276"/>
      <c r="G154" s="1280"/>
      <c r="H154" s="1410"/>
      <c r="I154" s="1580"/>
      <c r="J154" s="1410"/>
      <c r="K154" s="1470" t="s">
        <v>659</v>
      </c>
      <c r="L154" s="1675">
        <v>1</v>
      </c>
      <c r="M154" s="1675"/>
      <c r="N154" s="1655"/>
      <c r="O154" s="2322"/>
      <c r="P154" s="14"/>
      <c r="Q154" s="14"/>
      <c r="R154" s="14"/>
      <c r="S154" s="14"/>
      <c r="T154" s="14"/>
      <c r="U154" s="14"/>
    </row>
    <row r="155" spans="1:21" ht="33.75" customHeight="1" x14ac:dyDescent="0.2">
      <c r="A155" s="1338"/>
      <c r="B155" s="1976"/>
      <c r="C155" s="2103"/>
      <c r="D155" s="1364"/>
      <c r="E155" s="1360"/>
      <c r="F155" s="1333"/>
      <c r="G155" s="1280"/>
      <c r="H155" s="1577"/>
      <c r="I155" s="1580"/>
      <c r="J155" s="1410"/>
      <c r="K155" s="1470" t="s">
        <v>634</v>
      </c>
      <c r="L155" s="1862">
        <v>50</v>
      </c>
      <c r="M155" s="1862">
        <v>50</v>
      </c>
      <c r="N155" s="1863"/>
      <c r="O155" s="14"/>
      <c r="P155" s="14"/>
      <c r="Q155" s="14"/>
      <c r="R155" s="14"/>
      <c r="S155" s="14"/>
      <c r="T155" s="14"/>
      <c r="U155" s="14"/>
    </row>
    <row r="156" spans="1:21" ht="28.5" customHeight="1" x14ac:dyDescent="0.2">
      <c r="A156" s="1338"/>
      <c r="B156" s="1976"/>
      <c r="C156" s="2103"/>
      <c r="D156" s="2004"/>
      <c r="E156" s="1360"/>
      <c r="F156" s="1333"/>
      <c r="G156" s="1281"/>
      <c r="H156" s="1711"/>
      <c r="I156" s="1696"/>
      <c r="J156" s="1411"/>
      <c r="K156" s="2290" t="s">
        <v>394</v>
      </c>
      <c r="L156" s="2231">
        <v>2</v>
      </c>
      <c r="M156" s="2231"/>
      <c r="N156" s="2232"/>
      <c r="O156" s="14"/>
      <c r="P156" s="14"/>
      <c r="Q156" s="14"/>
    </row>
    <row r="157" spans="1:21" ht="15.75" customHeight="1" thickBot="1" x14ac:dyDescent="0.25">
      <c r="A157" s="681"/>
      <c r="B157" s="2071"/>
      <c r="C157" s="2185"/>
      <c r="D157" s="2219"/>
      <c r="E157" s="2220"/>
      <c r="F157" s="722"/>
      <c r="G157" s="823" t="s">
        <v>10</v>
      </c>
      <c r="H157" s="1608">
        <f>SUM(H140:H156)</f>
        <v>442.6</v>
      </c>
      <c r="I157" s="1608">
        <f>SUM(I140:I156)</f>
        <v>296.60000000000002</v>
      </c>
      <c r="J157" s="1608">
        <f>SUM(J140:J156)</f>
        <v>251.6</v>
      </c>
      <c r="K157" s="1371"/>
      <c r="L157" s="2217"/>
      <c r="M157" s="2217"/>
      <c r="N157" s="2218"/>
    </row>
    <row r="158" spans="1:21" ht="15.75" customHeight="1" thickBot="1" x14ac:dyDescent="0.25">
      <c r="A158" s="683" t="s">
        <v>9</v>
      </c>
      <c r="B158" s="11" t="s">
        <v>11</v>
      </c>
      <c r="C158" s="2516" t="s">
        <v>12</v>
      </c>
      <c r="D158" s="2516"/>
      <c r="E158" s="2516"/>
      <c r="F158" s="2516"/>
      <c r="G158" s="2516"/>
      <c r="H158" s="1414">
        <f>H157</f>
        <v>442.6</v>
      </c>
      <c r="I158" s="1408">
        <f t="shared" ref="I158:J158" si="3">I157</f>
        <v>296.60000000000002</v>
      </c>
      <c r="J158" s="1414">
        <f t="shared" si="3"/>
        <v>251.6</v>
      </c>
      <c r="K158" s="1954"/>
      <c r="L158" s="1954"/>
      <c r="M158" s="1954"/>
      <c r="N158" s="1955"/>
    </row>
    <row r="159" spans="1:21" ht="15.75" customHeight="1" thickBot="1" x14ac:dyDescent="0.25">
      <c r="A159" s="682" t="s">
        <v>9</v>
      </c>
      <c r="B159" s="11" t="s">
        <v>38</v>
      </c>
      <c r="C159" s="2773" t="s">
        <v>597</v>
      </c>
      <c r="D159" s="2774"/>
      <c r="E159" s="2774"/>
      <c r="F159" s="2774"/>
      <c r="G159" s="2774"/>
      <c r="H159" s="2811"/>
      <c r="I159" s="2811"/>
      <c r="J159" s="2812"/>
      <c r="K159" s="2812"/>
      <c r="L159" s="2812"/>
      <c r="M159" s="2812"/>
      <c r="N159" s="2813"/>
    </row>
    <row r="160" spans="1:21" ht="27.75" customHeight="1" x14ac:dyDescent="0.2">
      <c r="A160" s="684" t="s">
        <v>9</v>
      </c>
      <c r="B160" s="1969" t="s">
        <v>38</v>
      </c>
      <c r="C160" s="2077" t="s">
        <v>9</v>
      </c>
      <c r="D160" s="1444" t="s">
        <v>381</v>
      </c>
      <c r="E160" s="1454"/>
      <c r="F160" s="2056">
        <v>6</v>
      </c>
      <c r="G160" s="1376" t="s">
        <v>36</v>
      </c>
      <c r="H160" s="2241">
        <v>1282.8</v>
      </c>
      <c r="I160" s="2242">
        <v>737.8</v>
      </c>
      <c r="J160" s="2242">
        <v>737.8</v>
      </c>
      <c r="K160" s="1378"/>
      <c r="L160" s="1679"/>
      <c r="M160" s="1679"/>
      <c r="N160" s="1658"/>
    </row>
    <row r="161" spans="1:25" ht="39.75" customHeight="1" x14ac:dyDescent="0.2">
      <c r="A161" s="2061"/>
      <c r="B161" s="1960"/>
      <c r="C161" s="2076"/>
      <c r="D161" s="1445" t="s">
        <v>382</v>
      </c>
      <c r="E161" s="1879"/>
      <c r="F161" s="2057"/>
      <c r="G161" s="1327"/>
      <c r="H161" s="1715"/>
      <c r="I161" s="1415"/>
      <c r="J161" s="1873"/>
      <c r="K161" s="749"/>
      <c r="L161" s="2237"/>
      <c r="M161" s="2238"/>
      <c r="N161" s="2239"/>
    </row>
    <row r="162" spans="1:25" ht="15.75" customHeight="1" x14ac:dyDescent="0.2">
      <c r="A162" s="2061"/>
      <c r="B162" s="1960"/>
      <c r="C162" s="2076"/>
      <c r="D162" s="2026" t="s">
        <v>671</v>
      </c>
      <c r="E162" s="1879"/>
      <c r="F162" s="2057"/>
      <c r="G162" s="2007"/>
      <c r="H162" s="2033"/>
      <c r="I162" s="1479"/>
      <c r="J162" s="1479"/>
      <c r="K162" s="2039" t="s">
        <v>397</v>
      </c>
      <c r="L162" s="1680">
        <v>507</v>
      </c>
      <c r="M162" s="1680">
        <v>250</v>
      </c>
      <c r="N162" s="1659">
        <v>250</v>
      </c>
    </row>
    <row r="163" spans="1:25" ht="29.25" customHeight="1" x14ac:dyDescent="0.2">
      <c r="A163" s="2061"/>
      <c r="B163" s="1960"/>
      <c r="C163" s="2076"/>
      <c r="D163" s="2026" t="s">
        <v>672</v>
      </c>
      <c r="E163" s="1879"/>
      <c r="F163" s="2057"/>
      <c r="G163" s="2007"/>
      <c r="H163" s="2033"/>
      <c r="I163" s="1479"/>
      <c r="J163" s="1479"/>
      <c r="K163" s="2039" t="s">
        <v>399</v>
      </c>
      <c r="L163" s="1680">
        <v>411</v>
      </c>
      <c r="M163" s="1680">
        <v>358</v>
      </c>
      <c r="N163" s="1659">
        <v>358</v>
      </c>
    </row>
    <row r="164" spans="1:25" ht="30" customHeight="1" x14ac:dyDescent="0.2">
      <c r="A164" s="2061"/>
      <c r="B164" s="1960"/>
      <c r="C164" s="2076"/>
      <c r="D164" s="2026" t="s">
        <v>673</v>
      </c>
      <c r="E164" s="1879"/>
      <c r="F164" s="2057"/>
      <c r="G164" s="2099"/>
      <c r="H164" s="2087"/>
      <c r="I164" s="1479"/>
      <c r="J164" s="1479"/>
      <c r="K164" s="2306" t="s">
        <v>650</v>
      </c>
      <c r="L164" s="1559">
        <v>11.4</v>
      </c>
      <c r="M164" s="1559">
        <v>6.2</v>
      </c>
      <c r="N164" s="1579">
        <v>6.2</v>
      </c>
    </row>
    <row r="165" spans="1:25" ht="24.75" customHeight="1" x14ac:dyDescent="0.2">
      <c r="A165" s="2668"/>
      <c r="B165" s="2521"/>
      <c r="C165" s="2560"/>
      <c r="D165" s="2744" t="s">
        <v>356</v>
      </c>
      <c r="E165" s="2746"/>
      <c r="F165" s="2104"/>
      <c r="G165" s="2099"/>
      <c r="H165" s="2087"/>
      <c r="I165" s="2087"/>
      <c r="J165" s="2088"/>
      <c r="K165" s="1994" t="s">
        <v>686</v>
      </c>
      <c r="L165" s="1682">
        <v>19</v>
      </c>
      <c r="M165" s="1682">
        <v>19</v>
      </c>
      <c r="N165" s="1661">
        <v>19</v>
      </c>
    </row>
    <row r="166" spans="1:25" ht="27" customHeight="1" x14ac:dyDescent="0.2">
      <c r="A166" s="2668"/>
      <c r="B166" s="2521"/>
      <c r="C166" s="2560"/>
      <c r="D166" s="2745"/>
      <c r="E166" s="2746"/>
      <c r="F166" s="2104"/>
      <c r="G166" s="2099"/>
      <c r="H166" s="2087"/>
      <c r="I166" s="2087"/>
      <c r="J166" s="2088"/>
      <c r="K166" s="1339"/>
      <c r="L166" s="1683"/>
      <c r="M166" s="1683"/>
      <c r="N166" s="1662"/>
    </row>
    <row r="167" spans="1:25" ht="18.75" customHeight="1" x14ac:dyDescent="0.2">
      <c r="A167" s="2668"/>
      <c r="B167" s="2521"/>
      <c r="C167" s="2560"/>
      <c r="D167" s="2744" t="s">
        <v>614</v>
      </c>
      <c r="E167" s="2746"/>
      <c r="F167" s="2104"/>
      <c r="G167" s="2099"/>
      <c r="H167" s="2087"/>
      <c r="I167" s="2087"/>
      <c r="J167" s="2088"/>
      <c r="K167" s="2305" t="s">
        <v>576</v>
      </c>
      <c r="L167" s="1682">
        <v>1</v>
      </c>
      <c r="M167" s="1682">
        <v>1</v>
      </c>
      <c r="N167" s="1661">
        <v>1</v>
      </c>
      <c r="O167" s="14"/>
      <c r="P167" s="14"/>
      <c r="Q167" s="14"/>
      <c r="R167" s="14"/>
      <c r="S167" s="14"/>
      <c r="T167" s="14"/>
      <c r="U167" s="14"/>
      <c r="V167" s="14"/>
      <c r="W167" s="14"/>
      <c r="X167" s="14"/>
      <c r="Y167" s="14"/>
    </row>
    <row r="168" spans="1:25" ht="20.25" customHeight="1" x14ac:dyDescent="0.2">
      <c r="A168" s="2668"/>
      <c r="B168" s="2521"/>
      <c r="C168" s="2560"/>
      <c r="D168" s="2745"/>
      <c r="E168" s="2746"/>
      <c r="F168" s="2104"/>
      <c r="G168" s="2099"/>
      <c r="H168" s="2087"/>
      <c r="I168" s="2087"/>
      <c r="J168" s="2088"/>
      <c r="K168" s="1480"/>
      <c r="L168" s="1680"/>
      <c r="M168" s="1680"/>
      <c r="N168" s="1659"/>
      <c r="O168" s="14"/>
      <c r="P168" s="14"/>
      <c r="Q168" s="14"/>
      <c r="R168" s="14"/>
      <c r="S168" s="14"/>
      <c r="T168" s="14"/>
      <c r="U168" s="14"/>
      <c r="V168" s="14"/>
      <c r="W168" s="14"/>
      <c r="X168" s="14"/>
      <c r="Y168" s="14"/>
    </row>
    <row r="169" spans="1:25" ht="30.75" customHeight="1" x14ac:dyDescent="0.2">
      <c r="A169" s="2079"/>
      <c r="B169" s="2074"/>
      <c r="C169" s="2076"/>
      <c r="D169" s="2084" t="s">
        <v>580</v>
      </c>
      <c r="E169" s="1880"/>
      <c r="F169" s="2104"/>
      <c r="G169" s="2099"/>
      <c r="H169" s="2087"/>
      <c r="I169" s="2087"/>
      <c r="J169" s="2088"/>
      <c r="K169" s="1480"/>
      <c r="L169" s="1680"/>
      <c r="M169" s="1680"/>
      <c r="N169" s="1659"/>
      <c r="O169" s="2321"/>
      <c r="P169" s="2313"/>
      <c r="Q169" s="14"/>
      <c r="R169" s="14"/>
      <c r="S169" s="14"/>
      <c r="T169" s="14"/>
      <c r="U169" s="14"/>
      <c r="V169" s="14"/>
      <c r="W169" s="14"/>
      <c r="X169" s="14"/>
      <c r="Y169" s="14"/>
    </row>
    <row r="170" spans="1:25" ht="38.25" customHeight="1" x14ac:dyDescent="0.2">
      <c r="A170" s="2079"/>
      <c r="B170" s="2074"/>
      <c r="C170" s="2076"/>
      <c r="D170" s="2084" t="s">
        <v>674</v>
      </c>
      <c r="E170" s="1880"/>
      <c r="F170" s="2104"/>
      <c r="G170" s="1197"/>
      <c r="H170" s="1340"/>
      <c r="I170" s="1340"/>
      <c r="J170" s="1404"/>
      <c r="K170" s="1994" t="s">
        <v>578</v>
      </c>
      <c r="L170" s="1682">
        <v>1</v>
      </c>
      <c r="M170" s="1682"/>
      <c r="N170" s="1661"/>
      <c r="O170" s="2243"/>
      <c r="P170" s="2244"/>
      <c r="Q170" s="2244"/>
      <c r="R170" s="2244"/>
      <c r="S170" s="2244"/>
      <c r="T170" s="14"/>
      <c r="U170" s="14"/>
      <c r="V170" s="14"/>
      <c r="W170" s="14"/>
      <c r="X170" s="14"/>
      <c r="Y170" s="14"/>
    </row>
    <row r="171" spans="1:25" ht="15.75" customHeight="1" thickBot="1" x14ac:dyDescent="0.25">
      <c r="A171" s="681"/>
      <c r="B171" s="2071"/>
      <c r="C171" s="2185"/>
      <c r="D171" s="2219"/>
      <c r="E171" s="2220"/>
      <c r="F171" s="722"/>
      <c r="G171" s="1692" t="s">
        <v>10</v>
      </c>
      <c r="H171" s="1608">
        <f>H160</f>
        <v>1282.8</v>
      </c>
      <c r="I171" s="1608">
        <f>I160</f>
        <v>737.8</v>
      </c>
      <c r="J171" s="1608">
        <f>J160</f>
        <v>737.8</v>
      </c>
      <c r="K171" s="2216"/>
      <c r="L171" s="2217"/>
      <c r="M171" s="2217"/>
      <c r="N171" s="2218"/>
      <c r="O171" s="14"/>
      <c r="P171" s="14"/>
      <c r="Q171" s="14"/>
      <c r="R171" s="14"/>
      <c r="S171" s="14"/>
      <c r="T171" s="14"/>
      <c r="U171" s="14"/>
      <c r="V171" s="14"/>
      <c r="W171" s="14"/>
      <c r="X171" s="14"/>
      <c r="Y171" s="14"/>
    </row>
    <row r="172" spans="1:25" ht="59.25" customHeight="1" x14ac:dyDescent="0.2">
      <c r="A172" s="684" t="s">
        <v>9</v>
      </c>
      <c r="B172" s="1969" t="s">
        <v>38</v>
      </c>
      <c r="C172" s="1970" t="s">
        <v>11</v>
      </c>
      <c r="D172" s="2003" t="s">
        <v>675</v>
      </c>
      <c r="E172" s="1446"/>
      <c r="F172" s="2023" t="s">
        <v>95</v>
      </c>
      <c r="G172" s="1295" t="s">
        <v>36</v>
      </c>
      <c r="H172" s="1396">
        <v>3.6</v>
      </c>
      <c r="I172" s="1396">
        <v>3.6</v>
      </c>
      <c r="J172" s="1571"/>
      <c r="K172" s="2470" t="s">
        <v>651</v>
      </c>
      <c r="L172" s="2299"/>
      <c r="M172" s="2299">
        <v>1</v>
      </c>
      <c r="N172" s="1663"/>
      <c r="O172" s="14"/>
      <c r="P172" s="14"/>
      <c r="Q172" s="14"/>
      <c r="R172" s="14"/>
      <c r="S172" s="14"/>
      <c r="T172" s="14"/>
      <c r="U172" s="14"/>
      <c r="V172" s="14"/>
      <c r="W172" s="14"/>
      <c r="X172" s="14"/>
      <c r="Y172" s="14"/>
    </row>
    <row r="173" spans="1:25" ht="18.75" customHeight="1" thickBot="1" x14ac:dyDescent="0.25">
      <c r="A173" s="2049"/>
      <c r="B173" s="1965"/>
      <c r="C173" s="1296"/>
      <c r="D173" s="1448"/>
      <c r="E173" s="1447"/>
      <c r="F173" s="722"/>
      <c r="G173" s="283" t="s">
        <v>10</v>
      </c>
      <c r="H173" s="1489">
        <f t="shared" ref="H173:J173" si="4">H172</f>
        <v>3.6</v>
      </c>
      <c r="I173" s="1489">
        <f t="shared" si="4"/>
        <v>3.6</v>
      </c>
      <c r="J173" s="1489">
        <f t="shared" si="4"/>
        <v>0</v>
      </c>
      <c r="K173" s="2466"/>
      <c r="L173" s="2300"/>
      <c r="M173" s="2300"/>
      <c r="N173" s="1664"/>
      <c r="O173" s="14"/>
      <c r="P173" s="14"/>
      <c r="Q173" s="14"/>
      <c r="R173" s="14"/>
      <c r="S173" s="14"/>
      <c r="T173" s="14"/>
      <c r="U173" s="14"/>
      <c r="V173" s="14"/>
      <c r="W173" s="14"/>
      <c r="X173" s="14"/>
      <c r="Y173" s="14"/>
    </row>
    <row r="174" spans="1:25" ht="50.25" customHeight="1" x14ac:dyDescent="0.2">
      <c r="A174" s="684" t="s">
        <v>9</v>
      </c>
      <c r="B174" s="1969" t="s">
        <v>38</v>
      </c>
      <c r="C174" s="1970" t="s">
        <v>38</v>
      </c>
      <c r="D174" s="2771" t="s">
        <v>617</v>
      </c>
      <c r="E174" s="1446"/>
      <c r="F174" s="2023" t="s">
        <v>95</v>
      </c>
      <c r="G174" s="1295" t="s">
        <v>36</v>
      </c>
      <c r="H174" s="1396">
        <v>3.6</v>
      </c>
      <c r="I174" s="1396">
        <v>3.6</v>
      </c>
      <c r="J174" s="1571">
        <v>3.6</v>
      </c>
      <c r="K174" s="2470" t="s">
        <v>651</v>
      </c>
      <c r="L174" s="2299"/>
      <c r="M174" s="2299"/>
      <c r="N174" s="1663">
        <v>1</v>
      </c>
      <c r="O174" s="2243"/>
      <c r="P174" s="2244"/>
      <c r="Q174" s="2244"/>
      <c r="R174" s="2244"/>
      <c r="S174" s="2244"/>
      <c r="T174" s="14"/>
      <c r="U174" s="14"/>
      <c r="V174" s="14"/>
      <c r="W174" s="14"/>
      <c r="X174" s="14"/>
      <c r="Y174" s="14"/>
    </row>
    <row r="175" spans="1:25" ht="27.75" customHeight="1" thickBot="1" x14ac:dyDescent="0.25">
      <c r="A175" s="2049"/>
      <c r="B175" s="1965"/>
      <c r="C175" s="1296"/>
      <c r="D175" s="2775"/>
      <c r="E175" s="1447"/>
      <c r="F175" s="722"/>
      <c r="G175" s="283" t="s">
        <v>10</v>
      </c>
      <c r="H175" s="1489">
        <f t="shared" ref="H175:J175" si="5">H174</f>
        <v>3.6</v>
      </c>
      <c r="I175" s="1489">
        <f t="shared" si="5"/>
        <v>3.6</v>
      </c>
      <c r="J175" s="1489">
        <f t="shared" si="5"/>
        <v>3.6</v>
      </c>
      <c r="K175" s="2466"/>
      <c r="L175" s="2300"/>
      <c r="M175" s="2300"/>
      <c r="N175" s="1664"/>
      <c r="O175" s="2245"/>
      <c r="P175" s="2244"/>
      <c r="Q175" s="2244"/>
      <c r="R175" s="2244"/>
      <c r="S175" s="2244"/>
      <c r="T175" s="14"/>
      <c r="U175" s="14"/>
      <c r="V175" s="14"/>
      <c r="W175" s="14"/>
      <c r="X175" s="14"/>
      <c r="Y175" s="14"/>
    </row>
    <row r="176" spans="1:25" ht="53.25" customHeight="1" x14ac:dyDescent="0.2">
      <c r="A176" s="684" t="s">
        <v>9</v>
      </c>
      <c r="B176" s="1969" t="s">
        <v>38</v>
      </c>
      <c r="C176" s="1970" t="s">
        <v>53</v>
      </c>
      <c r="D176" s="2771" t="s">
        <v>676</v>
      </c>
      <c r="E176" s="1446"/>
      <c r="F176" s="2023" t="s">
        <v>95</v>
      </c>
      <c r="G176" s="1295" t="s">
        <v>36</v>
      </c>
      <c r="H176" s="1396">
        <v>3</v>
      </c>
      <c r="I176" s="1396"/>
      <c r="J176" s="1571"/>
      <c r="K176" s="2470" t="s">
        <v>651</v>
      </c>
      <c r="L176" s="2299">
        <v>1</v>
      </c>
      <c r="M176" s="2299"/>
      <c r="N176" s="1663"/>
      <c r="O176" s="2243"/>
      <c r="P176" s="2248"/>
      <c r="Q176" s="2244"/>
      <c r="R176" s="2244"/>
      <c r="S176" s="2244"/>
      <c r="T176" s="14"/>
      <c r="U176" s="14"/>
      <c r="V176" s="14"/>
      <c r="W176" s="14"/>
      <c r="X176" s="14"/>
      <c r="Y176" s="14"/>
    </row>
    <row r="177" spans="1:25" ht="26.25" customHeight="1" thickBot="1" x14ac:dyDescent="0.25">
      <c r="A177" s="2049"/>
      <c r="B177" s="1965"/>
      <c r="C177" s="1296"/>
      <c r="D177" s="2772"/>
      <c r="E177" s="1447"/>
      <c r="F177" s="722"/>
      <c r="G177" s="283" t="s">
        <v>10</v>
      </c>
      <c r="H177" s="1489">
        <f t="shared" ref="H177:J177" si="6">H176</f>
        <v>3</v>
      </c>
      <c r="I177" s="1489">
        <f t="shared" si="6"/>
        <v>0</v>
      </c>
      <c r="J177" s="1489">
        <f t="shared" si="6"/>
        <v>0</v>
      </c>
      <c r="K177" s="2466"/>
      <c r="L177" s="2300"/>
      <c r="M177" s="2300"/>
      <c r="N177" s="1664"/>
      <c r="O177" s="2245"/>
      <c r="P177" s="2244"/>
      <c r="Q177" s="2244"/>
      <c r="R177" s="2244"/>
      <c r="S177" s="2244"/>
      <c r="T177" s="14"/>
      <c r="U177" s="14"/>
      <c r="V177" s="14"/>
      <c r="W177" s="14"/>
      <c r="X177" s="14"/>
      <c r="Y177" s="14"/>
    </row>
    <row r="178" spans="1:25" ht="13.5" thickBot="1" x14ac:dyDescent="0.25">
      <c r="A178" s="682" t="s">
        <v>9</v>
      </c>
      <c r="B178" s="11" t="s">
        <v>38</v>
      </c>
      <c r="C178" s="2571" t="s">
        <v>12</v>
      </c>
      <c r="D178" s="2516"/>
      <c r="E178" s="2516"/>
      <c r="F178" s="2516"/>
      <c r="G178" s="2542"/>
      <c r="H178" s="1414">
        <f>H171+H173+H175+H177</f>
        <v>1293</v>
      </c>
      <c r="I178" s="1414">
        <f t="shared" ref="I178:J178" si="7">I171+I173+I175+I177</f>
        <v>745</v>
      </c>
      <c r="J178" s="1414">
        <f t="shared" si="7"/>
        <v>741.4</v>
      </c>
      <c r="K178" s="1379"/>
      <c r="L178" s="712"/>
      <c r="M178" s="712"/>
      <c r="N178" s="1380"/>
      <c r="O178" s="14"/>
      <c r="P178" s="14"/>
      <c r="Q178" s="14"/>
      <c r="R178" s="14"/>
      <c r="S178" s="14"/>
      <c r="T178" s="14"/>
      <c r="U178" s="14"/>
      <c r="V178" s="14"/>
      <c r="W178" s="14"/>
      <c r="X178" s="14"/>
      <c r="Y178" s="14"/>
    </row>
    <row r="179" spans="1:25" ht="15.75" customHeight="1" thickBot="1" x14ac:dyDescent="0.25">
      <c r="A179" s="682" t="s">
        <v>9</v>
      </c>
      <c r="B179" s="11" t="s">
        <v>53</v>
      </c>
      <c r="C179" s="2773" t="s">
        <v>73</v>
      </c>
      <c r="D179" s="2774"/>
      <c r="E179" s="2774"/>
      <c r="F179" s="2774"/>
      <c r="G179" s="2774"/>
      <c r="H179" s="2019"/>
      <c r="I179" s="2019"/>
      <c r="J179" s="2019"/>
      <c r="K179" s="1966"/>
      <c r="L179" s="2075"/>
      <c r="M179" s="2075"/>
      <c r="N179" s="1967"/>
      <c r="O179" s="14"/>
      <c r="P179" s="14"/>
      <c r="Q179" s="14"/>
      <c r="R179" s="14"/>
      <c r="S179" s="14"/>
      <c r="T179" s="14"/>
      <c r="U179" s="14"/>
      <c r="V179" s="14"/>
      <c r="W179" s="14"/>
      <c r="X179" s="14"/>
      <c r="Y179" s="14"/>
    </row>
    <row r="180" spans="1:25" s="1267" customFormat="1" ht="43.5" customHeight="1" x14ac:dyDescent="0.2">
      <c r="A180" s="2251" t="s">
        <v>9</v>
      </c>
      <c r="B180" s="2252" t="s">
        <v>53</v>
      </c>
      <c r="C180" s="2253" t="s">
        <v>9</v>
      </c>
      <c r="D180" s="2254" t="s">
        <v>667</v>
      </c>
      <c r="E180" s="2082" t="s">
        <v>91</v>
      </c>
      <c r="F180" s="2094" t="s">
        <v>40</v>
      </c>
      <c r="G180" s="2255" t="s">
        <v>36</v>
      </c>
      <c r="H180" s="2257">
        <v>200</v>
      </c>
      <c r="I180" s="2256">
        <v>200</v>
      </c>
      <c r="J180" s="2256">
        <v>200</v>
      </c>
      <c r="K180" s="2810" t="s">
        <v>687</v>
      </c>
      <c r="L180" s="1887">
        <f>280+300+141</f>
        <v>721</v>
      </c>
      <c r="M180" s="1886">
        <f>260+137+320</f>
        <v>717</v>
      </c>
      <c r="N180" s="1888">
        <f>132+230+96+50+67</f>
        <v>575</v>
      </c>
      <c r="O180" s="2246"/>
      <c r="P180" s="2246"/>
      <c r="Q180" s="2246"/>
      <c r="R180" s="2247"/>
      <c r="S180" s="2247"/>
      <c r="T180" s="2247"/>
      <c r="U180" s="2247"/>
      <c r="V180" s="2247"/>
      <c r="W180" s="2247"/>
      <c r="X180" s="2247"/>
      <c r="Y180" s="2247"/>
    </row>
    <row r="181" spans="1:25" s="1267" customFormat="1" ht="19.5" customHeight="1" thickBot="1" x14ac:dyDescent="0.25">
      <c r="A181" s="2085"/>
      <c r="B181" s="2086"/>
      <c r="C181" s="2096"/>
      <c r="D181" s="2097"/>
      <c r="E181" s="2098"/>
      <c r="F181" s="2101"/>
      <c r="G181" s="1268" t="s">
        <v>10</v>
      </c>
      <c r="H181" s="1731">
        <f>SUM(H180:H180)</f>
        <v>200</v>
      </c>
      <c r="I181" s="1731">
        <f>SUM(I180:I180)</f>
        <v>200</v>
      </c>
      <c r="J181" s="1754">
        <f>SUM(J180:J180)</f>
        <v>200</v>
      </c>
      <c r="K181" s="2532"/>
      <c r="L181" s="1900"/>
      <c r="M181" s="1901"/>
      <c r="N181" s="1902"/>
    </row>
    <row r="182" spans="1:25" ht="15.75" customHeight="1" x14ac:dyDescent="0.2">
      <c r="A182" s="2020" t="s">
        <v>9</v>
      </c>
      <c r="B182" s="1964" t="s">
        <v>53</v>
      </c>
      <c r="C182" s="2066" t="s">
        <v>11</v>
      </c>
      <c r="D182" s="2800" t="s">
        <v>542</v>
      </c>
      <c r="E182" s="2240" t="s">
        <v>91</v>
      </c>
      <c r="F182" s="2083" t="s">
        <v>90</v>
      </c>
      <c r="G182" s="312" t="s">
        <v>36</v>
      </c>
      <c r="H182" s="2088">
        <v>45</v>
      </c>
      <c r="I182" s="2034">
        <v>100</v>
      </c>
      <c r="J182" s="1774">
        <v>400</v>
      </c>
      <c r="K182" s="2258" t="s">
        <v>373</v>
      </c>
      <c r="L182" s="2259"/>
      <c r="M182" s="2260" t="s">
        <v>95</v>
      </c>
      <c r="N182" s="2261"/>
    </row>
    <row r="183" spans="1:25" ht="28.5" customHeight="1" x14ac:dyDescent="0.2">
      <c r="A183" s="680"/>
      <c r="B183" s="1964"/>
      <c r="C183" s="1313"/>
      <c r="D183" s="2800"/>
      <c r="E183" s="2240"/>
      <c r="F183" s="2083"/>
      <c r="G183" s="1356"/>
      <c r="H183" s="1404"/>
      <c r="I183" s="1404"/>
      <c r="J183" s="1404"/>
      <c r="K183" s="2080" t="s">
        <v>569</v>
      </c>
      <c r="L183" s="1680"/>
      <c r="M183" s="2262"/>
      <c r="N183" s="2263">
        <v>20</v>
      </c>
    </row>
    <row r="184" spans="1:25" s="1267" customFormat="1" ht="17.25" customHeight="1" thickBot="1" x14ac:dyDescent="0.25">
      <c r="A184" s="681"/>
      <c r="B184" s="1298"/>
      <c r="C184" s="1915"/>
      <c r="D184" s="2772"/>
      <c r="E184" s="2250"/>
      <c r="F184" s="722"/>
      <c r="G184" s="1268" t="s">
        <v>10</v>
      </c>
      <c r="H184" s="1731">
        <f>H182</f>
        <v>45</v>
      </c>
      <c r="I184" s="1731">
        <f>I182</f>
        <v>100</v>
      </c>
      <c r="J184" s="1731">
        <f>J182</f>
        <v>400</v>
      </c>
      <c r="K184" s="2173"/>
      <c r="L184" s="1751"/>
      <c r="M184" s="2264"/>
      <c r="N184" s="1752"/>
    </row>
    <row r="185" spans="1:25" ht="13.5" thickBot="1" x14ac:dyDescent="0.25">
      <c r="A185" s="2049" t="s">
        <v>9</v>
      </c>
      <c r="B185" s="1965" t="s">
        <v>53</v>
      </c>
      <c r="C185" s="2594" t="s">
        <v>12</v>
      </c>
      <c r="D185" s="2595"/>
      <c r="E185" s="2595"/>
      <c r="F185" s="2595"/>
      <c r="G185" s="2595"/>
      <c r="H185" s="2249">
        <f>H184+H181</f>
        <v>245</v>
      </c>
      <c r="I185" s="2249">
        <f t="shared" ref="I185:J185" si="8">I184+I181</f>
        <v>300</v>
      </c>
      <c r="J185" s="2249">
        <f t="shared" si="8"/>
        <v>600</v>
      </c>
      <c r="K185" s="1732"/>
      <c r="L185" s="1686"/>
      <c r="M185" s="1686"/>
      <c r="N185" s="1381"/>
    </row>
    <row r="186" spans="1:25" ht="14.25" customHeight="1" thickBot="1" x14ac:dyDescent="0.25">
      <c r="A186" s="683" t="s">
        <v>9</v>
      </c>
      <c r="B186" s="2789" t="s">
        <v>13</v>
      </c>
      <c r="C186" s="2790"/>
      <c r="D186" s="2790"/>
      <c r="E186" s="2790"/>
      <c r="F186" s="2790"/>
      <c r="G186" s="2791"/>
      <c r="H186" s="1427">
        <f>SUM(H185,H178,H158,H138)</f>
        <v>12692.4</v>
      </c>
      <c r="I186" s="1427">
        <f>SUM(I185,I178,I158,I138)</f>
        <v>13945.2</v>
      </c>
      <c r="J186" s="1427">
        <f>SUM(J185,J178,J158,J138)</f>
        <v>16692.7</v>
      </c>
      <c r="K186" s="2058"/>
      <c r="L186" s="1691"/>
      <c r="M186" s="1691"/>
      <c r="N186" s="2060"/>
    </row>
    <row r="187" spans="1:25" ht="14.25" customHeight="1" thickBot="1" x14ac:dyDescent="0.25">
      <c r="A187" s="102" t="s">
        <v>55</v>
      </c>
      <c r="B187" s="2792" t="s">
        <v>128</v>
      </c>
      <c r="C187" s="2793"/>
      <c r="D187" s="2793"/>
      <c r="E187" s="2793"/>
      <c r="F187" s="2793"/>
      <c r="G187" s="2794"/>
      <c r="H187" s="1428">
        <f t="shared" ref="H187:J187" si="9">SUM(H186)</f>
        <v>12692.4</v>
      </c>
      <c r="I187" s="1428">
        <f t="shared" si="9"/>
        <v>13945.2</v>
      </c>
      <c r="J187" s="1428">
        <f t="shared" si="9"/>
        <v>16692.7</v>
      </c>
      <c r="K187" s="2795"/>
      <c r="L187" s="2796"/>
      <c r="M187" s="2796"/>
      <c r="N187" s="2797"/>
    </row>
    <row r="188" spans="1:25" s="22" customFormat="1" ht="17.25" customHeight="1" x14ac:dyDescent="0.2">
      <c r="A188" s="2798"/>
      <c r="B188" s="2798"/>
      <c r="C188" s="2798"/>
      <c r="D188" s="2798"/>
      <c r="E188" s="2798"/>
      <c r="F188" s="2798"/>
      <c r="G188" s="2798"/>
      <c r="H188" s="2798"/>
      <c r="I188" s="2798"/>
      <c r="J188" s="2798"/>
      <c r="K188" s="2798"/>
      <c r="L188" s="2798"/>
      <c r="M188" s="2798"/>
      <c r="N188" s="2798"/>
      <c r="O188" s="21"/>
      <c r="P188" s="21"/>
      <c r="Q188" s="21"/>
    </row>
    <row r="189" spans="1:25" s="22" customFormat="1" ht="14.25" customHeight="1" thickBot="1" x14ac:dyDescent="0.25">
      <c r="A189" s="2799" t="s">
        <v>18</v>
      </c>
      <c r="B189" s="2799"/>
      <c r="C189" s="2799"/>
      <c r="D189" s="2799"/>
      <c r="E189" s="2799"/>
      <c r="F189" s="2799"/>
      <c r="G189" s="2799"/>
      <c r="H189" s="2050"/>
      <c r="I189" s="2050"/>
      <c r="J189" s="2050"/>
      <c r="K189" s="62"/>
      <c r="L189" s="62"/>
      <c r="M189" s="62"/>
      <c r="N189" s="62"/>
      <c r="O189" s="21"/>
      <c r="P189" s="21"/>
      <c r="Q189" s="21"/>
    </row>
    <row r="190" spans="1:25" ht="54" customHeight="1" thickBot="1" x14ac:dyDescent="0.25">
      <c r="A190" s="2780" t="s">
        <v>14</v>
      </c>
      <c r="B190" s="2781"/>
      <c r="C190" s="2781"/>
      <c r="D190" s="2781"/>
      <c r="E190" s="2781"/>
      <c r="F190" s="2781"/>
      <c r="G190" s="2782"/>
      <c r="H190" s="2010" t="s">
        <v>603</v>
      </c>
      <c r="I190" s="2181" t="s">
        <v>504</v>
      </c>
      <c r="J190" s="2181" t="s">
        <v>505</v>
      </c>
      <c r="K190" s="4"/>
      <c r="L190" s="4"/>
      <c r="M190" s="4"/>
      <c r="N190" s="4"/>
    </row>
    <row r="191" spans="1:25" ht="14.25" customHeight="1" x14ac:dyDescent="0.2">
      <c r="A191" s="2783" t="s">
        <v>19</v>
      </c>
      <c r="B191" s="2784"/>
      <c r="C191" s="2784"/>
      <c r="D191" s="2784"/>
      <c r="E191" s="2784"/>
      <c r="F191" s="2784"/>
      <c r="G191" s="2785"/>
      <c r="H191" s="2015">
        <f>H192+H201+H202+H203</f>
        <v>12602.3</v>
      </c>
      <c r="I191" s="1761">
        <f ca="1">I192+I201+I202+I203</f>
        <v>13824.2</v>
      </c>
      <c r="J191" s="1761">
        <f>J192+J201+J202+J203</f>
        <v>16692.7</v>
      </c>
    </row>
    <row r="192" spans="1:25" ht="14.25" customHeight="1" x14ac:dyDescent="0.2">
      <c r="A192" s="2786" t="s">
        <v>343</v>
      </c>
      <c r="B192" s="2787"/>
      <c r="C192" s="2787"/>
      <c r="D192" s="2787"/>
      <c r="E192" s="2787"/>
      <c r="F192" s="2787"/>
      <c r="G192" s="2788"/>
      <c r="H192" s="2011">
        <f>H193+H194+H195+H196+H197+H198+H199+H200</f>
        <v>12602.3</v>
      </c>
      <c r="I192" s="1762">
        <f ca="1">I193+I194+I195+I196+I197+I198+I199+I200</f>
        <v>13824.2</v>
      </c>
      <c r="J192" s="1762">
        <f>J193+J194+J195+J196+J197+J198+J199+J200</f>
        <v>16692.7</v>
      </c>
      <c r="K192" s="56"/>
    </row>
    <row r="193" spans="1:14" ht="14.25" customHeight="1" x14ac:dyDescent="0.2">
      <c r="A193" s="2777" t="s">
        <v>25</v>
      </c>
      <c r="B193" s="2778"/>
      <c r="C193" s="2778"/>
      <c r="D193" s="2778"/>
      <c r="E193" s="2778"/>
      <c r="F193" s="2778"/>
      <c r="G193" s="2779"/>
      <c r="H193" s="2012">
        <f>SUMIF(G13:G187,"SB",H13:H187)</f>
        <v>12084.3</v>
      </c>
      <c r="I193" s="1763">
        <f>SUMIF(G10:G187,"SB",I10:I187)</f>
        <v>10879.4</v>
      </c>
      <c r="J193" s="1763">
        <f>SUMIF(G10:G187,"SB",J10:J187)</f>
        <v>10338</v>
      </c>
      <c r="K193" s="56"/>
    </row>
    <row r="194" spans="1:14" ht="14.25" customHeight="1" x14ac:dyDescent="0.2">
      <c r="A194" s="2756" t="s">
        <v>26</v>
      </c>
      <c r="B194" s="2757"/>
      <c r="C194" s="2757"/>
      <c r="D194" s="2757"/>
      <c r="E194" s="2757"/>
      <c r="F194" s="2757"/>
      <c r="G194" s="2758"/>
      <c r="H194" s="2013">
        <f>SUMIF(G10:G187,"SB(SP)",H10:H187)</f>
        <v>33.5</v>
      </c>
      <c r="I194" s="1764">
        <f>SUMIF(G10:G187,"SB(SP)",I10:I187)</f>
        <v>13.6</v>
      </c>
      <c r="J194" s="1764">
        <f>SUMIF(G10:G187,"SB(SP)",J10:J187)</f>
        <v>13.6</v>
      </c>
      <c r="K194" s="80"/>
    </row>
    <row r="195" spans="1:14" ht="14.25" customHeight="1" x14ac:dyDescent="0.2">
      <c r="A195" s="2756" t="s">
        <v>131</v>
      </c>
      <c r="B195" s="2757"/>
      <c r="C195" s="2757"/>
      <c r="D195" s="2757"/>
      <c r="E195" s="2757"/>
      <c r="F195" s="2757"/>
      <c r="G195" s="2758"/>
      <c r="H195" s="2013">
        <f>SUMIF(G9:G187,"SB(L)",H9:H187)</f>
        <v>0</v>
      </c>
      <c r="I195" s="1764">
        <f ca="1">SUMIF(G10:G187,"SB(L)",I10:I186)</f>
        <v>0</v>
      </c>
      <c r="J195" s="1764">
        <f>SUMIF(G11:G187,"SB(L)",J11:J187)</f>
        <v>0</v>
      </c>
    </row>
    <row r="196" spans="1:14" ht="12.75" customHeight="1" x14ac:dyDescent="0.2">
      <c r="A196" s="2756" t="s">
        <v>180</v>
      </c>
      <c r="B196" s="2757"/>
      <c r="C196" s="2757"/>
      <c r="D196" s="2757"/>
      <c r="E196" s="2757"/>
      <c r="F196" s="2757"/>
      <c r="G196" s="2758"/>
      <c r="H196" s="2013">
        <f>SUMIF(G10:G185,"SB(VR)",H10:H185)</f>
        <v>84.5</v>
      </c>
      <c r="I196" s="1764">
        <f>SUMIF(G10:G187,"SB(VR)",I10:I187)</f>
        <v>14.3</v>
      </c>
      <c r="J196" s="1764">
        <f>SUMIF(G10:G187,"SB(VR)",J10:J187)</f>
        <v>0</v>
      </c>
      <c r="K196" s="58"/>
      <c r="L196" s="1"/>
      <c r="M196" s="1"/>
      <c r="N196" s="1"/>
    </row>
    <row r="197" spans="1:14" x14ac:dyDescent="0.2">
      <c r="A197" s="2756" t="s">
        <v>28</v>
      </c>
      <c r="B197" s="2757"/>
      <c r="C197" s="2757"/>
      <c r="D197" s="2757"/>
      <c r="E197" s="2757"/>
      <c r="F197" s="2757"/>
      <c r="G197" s="2758"/>
      <c r="H197" s="2013">
        <f>SUMIF(G10:G187,"SB(P)",H10:H187)</f>
        <v>0</v>
      </c>
      <c r="I197" s="1764">
        <f>SUMIF(G10:G187,"SB(P)",I10:I187)</f>
        <v>0</v>
      </c>
      <c r="J197" s="1764">
        <f>SUMIF(G10:G187,"SB(P)",J10:J187)</f>
        <v>0</v>
      </c>
      <c r="K197" s="58"/>
      <c r="L197" s="1"/>
      <c r="M197" s="1"/>
      <c r="N197" s="1"/>
    </row>
    <row r="198" spans="1:14" x14ac:dyDescent="0.2">
      <c r="A198" s="2756" t="s">
        <v>347</v>
      </c>
      <c r="B198" s="2757"/>
      <c r="C198" s="2757"/>
      <c r="D198" s="2757"/>
      <c r="E198" s="2757"/>
      <c r="F198" s="2757"/>
      <c r="G198" s="2758"/>
      <c r="H198" s="2013">
        <f>SUMIF(G12:G187,"SB(VB)",H12:H187)</f>
        <v>0</v>
      </c>
      <c r="I198" s="1764">
        <f>SUMIF(G12:G187,"SB(VB)",I12:I187)</f>
        <v>216.4</v>
      </c>
      <c r="J198" s="1764">
        <f>SUMIF(G12:G187,"SB(VB)",J12:J187)</f>
        <v>486.1</v>
      </c>
    </row>
    <row r="199" spans="1:14" x14ac:dyDescent="0.2">
      <c r="A199" s="2765" t="s">
        <v>384</v>
      </c>
      <c r="B199" s="2766"/>
      <c r="C199" s="2766"/>
      <c r="D199" s="2766"/>
      <c r="E199" s="2766"/>
      <c r="F199" s="2766"/>
      <c r="G199" s="2767"/>
      <c r="H199" s="2013">
        <f>SUMIF(G10:G187,"SB(KPP)",H10:H187)</f>
        <v>400</v>
      </c>
      <c r="I199" s="1764">
        <f>SUMIF(G10:G187,"SB(KPP)",I10:I187)</f>
        <v>250</v>
      </c>
      <c r="J199" s="1764">
        <f>SUMIF(G13:G188,"SB(KPP)",J13:J188)</f>
        <v>350</v>
      </c>
      <c r="K199" s="1193"/>
      <c r="L199" s="1193"/>
      <c r="M199" s="1193"/>
      <c r="N199" s="1193"/>
    </row>
    <row r="200" spans="1:14" ht="14.25" customHeight="1" x14ac:dyDescent="0.2">
      <c r="A200" s="2768" t="s">
        <v>29</v>
      </c>
      <c r="B200" s="2769"/>
      <c r="C200" s="2769"/>
      <c r="D200" s="2769"/>
      <c r="E200" s="2769"/>
      <c r="F200" s="2769"/>
      <c r="G200" s="2770"/>
      <c r="H200" s="2013">
        <f>SUMIF(G15:G185,"ES",H15:H185)</f>
        <v>0</v>
      </c>
      <c r="I200" s="1764">
        <f>SUMIF(G15:G185,"ES",I15:I185)</f>
        <v>2450.5</v>
      </c>
      <c r="J200" s="1764">
        <f>SUMIF(G15:G185,"ES",J15:J185)</f>
        <v>5505</v>
      </c>
    </row>
    <row r="201" spans="1:14" x14ac:dyDescent="0.2">
      <c r="A201" s="2759" t="s">
        <v>344</v>
      </c>
      <c r="B201" s="2760"/>
      <c r="C201" s="2760"/>
      <c r="D201" s="2760"/>
      <c r="E201" s="2760"/>
      <c r="F201" s="2760"/>
      <c r="G201" s="2761"/>
      <c r="H201" s="2014">
        <f>SUMIF(G9:G187,"SB(SPL)",H9:H187)</f>
        <v>0</v>
      </c>
      <c r="I201" s="1765">
        <f>SUMIF(G9:G187,"SB(SPL)",I9:I187)</f>
        <v>0</v>
      </c>
      <c r="J201" s="1766">
        <f>SUMIF(G9:G187,"SB(SPL)",J9:J187)</f>
        <v>0</v>
      </c>
    </row>
    <row r="202" spans="1:14" x14ac:dyDescent="0.2">
      <c r="A202" s="2759" t="s">
        <v>348</v>
      </c>
      <c r="B202" s="2760"/>
      <c r="C202" s="2760"/>
      <c r="D202" s="2760"/>
      <c r="E202" s="2760"/>
      <c r="F202" s="2760"/>
      <c r="G202" s="2761"/>
      <c r="H202" s="2014">
        <f>SUMIF(G10:G187,"SB(ŽPL)",H10:H187)</f>
        <v>0</v>
      </c>
      <c r="I202" s="1765">
        <f>SUMIF(G10:G187,"SB(ŽPL)",I10:I187)</f>
        <v>0</v>
      </c>
      <c r="J202" s="1766">
        <f>SUMIF(G10:G187,"SB(ŽPL)",J10:J187)</f>
        <v>0</v>
      </c>
    </row>
    <row r="203" spans="1:14" x14ac:dyDescent="0.2">
      <c r="A203" s="2759" t="s">
        <v>345</v>
      </c>
      <c r="B203" s="2760"/>
      <c r="C203" s="2760"/>
      <c r="D203" s="2760"/>
      <c r="E203" s="2760"/>
      <c r="F203" s="2760"/>
      <c r="G203" s="2761"/>
      <c r="H203" s="2014">
        <f>SUMIF(G9:G187,"SB(VRL)",H9:H187)</f>
        <v>0</v>
      </c>
      <c r="I203" s="1767">
        <f>SUMIF(G10:G187,"SB(VRL)",I10:I187)</f>
        <v>0</v>
      </c>
      <c r="J203" s="1767">
        <f>SUMIF(G10:G187,"SB(VRL)",J10:J187)</f>
        <v>0</v>
      </c>
    </row>
    <row r="204" spans="1:14" x14ac:dyDescent="0.2">
      <c r="A204" s="2762" t="s">
        <v>20</v>
      </c>
      <c r="B204" s="2763"/>
      <c r="C204" s="2763"/>
      <c r="D204" s="2763"/>
      <c r="E204" s="2763"/>
      <c r="F204" s="2763"/>
      <c r="G204" s="2764"/>
      <c r="H204" s="2016">
        <f>SUM(H205:H207)</f>
        <v>90.1</v>
      </c>
      <c r="I204" s="1768">
        <f>SUM(I206:I207)</f>
        <v>121</v>
      </c>
      <c r="J204" s="1768">
        <f>SUM(J206:J207)</f>
        <v>0</v>
      </c>
    </row>
    <row r="205" spans="1:14" x14ac:dyDescent="0.2">
      <c r="A205" s="2753" t="s">
        <v>582</v>
      </c>
      <c r="B205" s="2754"/>
      <c r="C205" s="2754"/>
      <c r="D205" s="2754"/>
      <c r="E205" s="2754"/>
      <c r="F205" s="2754"/>
      <c r="G205" s="2755"/>
      <c r="H205" s="2013">
        <f>SUMIF(G13:G187,"KVJUD",H13:H187)</f>
        <v>0</v>
      </c>
      <c r="I205" s="1764">
        <f>SUMIF(G13:G189,"KVJUD",I13:I189)</f>
        <v>0</v>
      </c>
      <c r="J205" s="1764">
        <f>SUMIF(G13:G189,"KVJUD",J13:J189)</f>
        <v>0</v>
      </c>
    </row>
    <row r="206" spans="1:14" ht="13.5" customHeight="1" x14ac:dyDescent="0.2">
      <c r="A206" s="2756" t="s">
        <v>31</v>
      </c>
      <c r="B206" s="2757"/>
      <c r="C206" s="2757"/>
      <c r="D206" s="2757"/>
      <c r="E206" s="2757"/>
      <c r="F206" s="2757"/>
      <c r="G206" s="2758"/>
      <c r="H206" s="2013">
        <f>SUMIF(G10:G187,"LRVB",H10:H187)</f>
        <v>0</v>
      </c>
      <c r="I206" s="1764">
        <f>SUMIF(G10:G187,"LRVB",I10:I187)</f>
        <v>0</v>
      </c>
      <c r="J206" s="1764">
        <f>SUMIF(G10:G187,"LRVB",J10:J187)</f>
        <v>0</v>
      </c>
    </row>
    <row r="207" spans="1:14" ht="15.75" customHeight="1" x14ac:dyDescent="0.2">
      <c r="A207" s="2756" t="s">
        <v>32</v>
      </c>
      <c r="B207" s="2757"/>
      <c r="C207" s="2757"/>
      <c r="D207" s="2757"/>
      <c r="E207" s="2757"/>
      <c r="F207" s="2757"/>
      <c r="G207" s="2758"/>
      <c r="H207" s="2013">
        <f>SUMIF(G9:G187,"Kt",H9:H187)</f>
        <v>90.1</v>
      </c>
      <c r="I207" s="1764">
        <f>SUMIF(G10:G187,"Kt",I10:I187)</f>
        <v>121</v>
      </c>
      <c r="J207" s="1764">
        <f>SUMIF(G10:G187,"Kt",J10:J187)</f>
        <v>0</v>
      </c>
    </row>
    <row r="208" spans="1:14" ht="15" customHeight="1" thickBot="1" x14ac:dyDescent="0.25">
      <c r="A208" s="2747" t="s">
        <v>21</v>
      </c>
      <c r="B208" s="2748"/>
      <c r="C208" s="2748"/>
      <c r="D208" s="2748"/>
      <c r="E208" s="2748"/>
      <c r="F208" s="2748"/>
      <c r="G208" s="2749"/>
      <c r="H208" s="2009">
        <f>SUM(H191,H204)</f>
        <v>12692.4</v>
      </c>
      <c r="I208" s="1769">
        <f ca="1">SUM(I191,I204)</f>
        <v>13945.2</v>
      </c>
      <c r="J208" s="1769">
        <f>SUM(J191,J204)</f>
        <v>16692.7</v>
      </c>
      <c r="L208" s="5"/>
      <c r="M208" s="5"/>
      <c r="N208" s="5"/>
    </row>
    <row r="209" spans="8:14" x14ac:dyDescent="0.2">
      <c r="H209" s="21"/>
      <c r="I209" s="21"/>
      <c r="J209" s="21"/>
      <c r="K209" s="21"/>
      <c r="L209" s="14"/>
      <c r="M209" s="14"/>
      <c r="N209" s="14"/>
    </row>
    <row r="210" spans="8:14" x14ac:dyDescent="0.2">
      <c r="H210" s="1903"/>
      <c r="I210" s="21"/>
      <c r="J210" s="21"/>
      <c r="K210" s="1302"/>
      <c r="L210" s="14"/>
      <c r="M210" s="14"/>
      <c r="N210" s="14"/>
    </row>
    <row r="211" spans="8:14" x14ac:dyDescent="0.2">
      <c r="H211" s="1324"/>
      <c r="I211" s="1324"/>
      <c r="J211" s="1324"/>
      <c r="K211" s="21"/>
      <c r="L211" s="21"/>
      <c r="M211" s="21"/>
      <c r="N211" s="21"/>
    </row>
    <row r="214" spans="8:14" x14ac:dyDescent="0.2">
      <c r="H214" s="1193"/>
      <c r="I214" s="1193"/>
      <c r="J214" s="1193"/>
    </row>
  </sheetData>
  <mergeCells count="200">
    <mergeCell ref="K1:N1"/>
    <mergeCell ref="A193:G193"/>
    <mergeCell ref="A194:G194"/>
    <mergeCell ref="A195:G195"/>
    <mergeCell ref="A190:G190"/>
    <mergeCell ref="A191:G191"/>
    <mergeCell ref="A192:G192"/>
    <mergeCell ref="B186:G186"/>
    <mergeCell ref="B187:G187"/>
    <mergeCell ref="K187:N187"/>
    <mergeCell ref="A188:N188"/>
    <mergeCell ref="A189:G189"/>
    <mergeCell ref="K174:K175"/>
    <mergeCell ref="D182:D184"/>
    <mergeCell ref="C185:G185"/>
    <mergeCell ref="D145:D146"/>
    <mergeCell ref="K145:K146"/>
    <mergeCell ref="C158:G158"/>
    <mergeCell ref="C138:G138"/>
    <mergeCell ref="C139:N139"/>
    <mergeCell ref="D142:D144"/>
    <mergeCell ref="D140:D141"/>
    <mergeCell ref="K180:K181"/>
    <mergeCell ref="C159:N159"/>
    <mergeCell ref="A208:G208"/>
    <mergeCell ref="H6:H8"/>
    <mergeCell ref="K49:K50"/>
    <mergeCell ref="D53:D55"/>
    <mergeCell ref="E53:E55"/>
    <mergeCell ref="F53:F55"/>
    <mergeCell ref="A205:G205"/>
    <mergeCell ref="A206:G206"/>
    <mergeCell ref="A207:G207"/>
    <mergeCell ref="A202:G202"/>
    <mergeCell ref="A203:G203"/>
    <mergeCell ref="A204:G204"/>
    <mergeCell ref="A199:G199"/>
    <mergeCell ref="A200:G200"/>
    <mergeCell ref="A201:G201"/>
    <mergeCell ref="A196:G196"/>
    <mergeCell ref="A197:G197"/>
    <mergeCell ref="A198:G198"/>
    <mergeCell ref="D176:D177"/>
    <mergeCell ref="K176:K177"/>
    <mergeCell ref="C178:G178"/>
    <mergeCell ref="C179:G179"/>
    <mergeCell ref="K172:K173"/>
    <mergeCell ref="D174:D175"/>
    <mergeCell ref="A167:A168"/>
    <mergeCell ref="B167:B168"/>
    <mergeCell ref="C167:C168"/>
    <mergeCell ref="D167:D168"/>
    <mergeCell ref="E167:E168"/>
    <mergeCell ref="A165:A166"/>
    <mergeCell ref="B165:B166"/>
    <mergeCell ref="C165:C166"/>
    <mergeCell ref="D165:D166"/>
    <mergeCell ref="E165:E166"/>
    <mergeCell ref="O134:O136"/>
    <mergeCell ref="F130:F132"/>
    <mergeCell ref="D131:D133"/>
    <mergeCell ref="E131:E133"/>
    <mergeCell ref="D134:D136"/>
    <mergeCell ref="E134:E136"/>
    <mergeCell ref="K134:K136"/>
    <mergeCell ref="D122:D124"/>
    <mergeCell ref="E122:E124"/>
    <mergeCell ref="F122:F125"/>
    <mergeCell ref="D125:D127"/>
    <mergeCell ref="E125:E127"/>
    <mergeCell ref="F126:F129"/>
    <mergeCell ref="D128:D130"/>
    <mergeCell ref="E128:E130"/>
    <mergeCell ref="D119:D121"/>
    <mergeCell ref="E119:E121"/>
    <mergeCell ref="F119:F121"/>
    <mergeCell ref="D115:D118"/>
    <mergeCell ref="E115:E118"/>
    <mergeCell ref="F115:F118"/>
    <mergeCell ref="D112:D114"/>
    <mergeCell ref="E112:E114"/>
    <mergeCell ref="F112:F114"/>
    <mergeCell ref="D106:D108"/>
    <mergeCell ref="K106:K108"/>
    <mergeCell ref="D109:D111"/>
    <mergeCell ref="E109:E111"/>
    <mergeCell ref="F109:F111"/>
    <mergeCell ref="A104:A105"/>
    <mergeCell ref="B104:B105"/>
    <mergeCell ref="C104:C105"/>
    <mergeCell ref="D104:D105"/>
    <mergeCell ref="E104:E105"/>
    <mergeCell ref="F104:F105"/>
    <mergeCell ref="D96:D97"/>
    <mergeCell ref="D100:D102"/>
    <mergeCell ref="F100:F102"/>
    <mergeCell ref="K92:K93"/>
    <mergeCell ref="N92:N93"/>
    <mergeCell ref="A94:A95"/>
    <mergeCell ref="B94:B95"/>
    <mergeCell ref="C94:C95"/>
    <mergeCell ref="D94:D95"/>
    <mergeCell ref="E94:E95"/>
    <mergeCell ref="A92:A93"/>
    <mergeCell ref="B92:B93"/>
    <mergeCell ref="C92:C93"/>
    <mergeCell ref="D92:D93"/>
    <mergeCell ref="E92:E93"/>
    <mergeCell ref="F92:F93"/>
    <mergeCell ref="A88:A89"/>
    <mergeCell ref="B88:B89"/>
    <mergeCell ref="C88:C89"/>
    <mergeCell ref="D88:D89"/>
    <mergeCell ref="E88:E89"/>
    <mergeCell ref="F88:F89"/>
    <mergeCell ref="D81:D87"/>
    <mergeCell ref="E81:E87"/>
    <mergeCell ref="F94:F95"/>
    <mergeCell ref="K75:K76"/>
    <mergeCell ref="D79:D80"/>
    <mergeCell ref="K79:K80"/>
    <mergeCell ref="K71:K72"/>
    <mergeCell ref="N71:N72"/>
    <mergeCell ref="K73:K74"/>
    <mergeCell ref="N73:N74"/>
    <mergeCell ref="D63:D65"/>
    <mergeCell ref="D71:D72"/>
    <mergeCell ref="E71:E72"/>
    <mergeCell ref="A60:A62"/>
    <mergeCell ref="B60:B62"/>
    <mergeCell ref="C60:C62"/>
    <mergeCell ref="D60:D62"/>
    <mergeCell ref="A58:A59"/>
    <mergeCell ref="B58:B59"/>
    <mergeCell ref="C58:C59"/>
    <mergeCell ref="E58:E59"/>
    <mergeCell ref="F58:F59"/>
    <mergeCell ref="D41:D42"/>
    <mergeCell ref="F41:F42"/>
    <mergeCell ref="F34:F35"/>
    <mergeCell ref="D36:D38"/>
    <mergeCell ref="E36:E42"/>
    <mergeCell ref="D39:D40"/>
    <mergeCell ref="K32:K33"/>
    <mergeCell ref="F51:F52"/>
    <mergeCell ref="K47:K48"/>
    <mergeCell ref="D49:D50"/>
    <mergeCell ref="E49:E52"/>
    <mergeCell ref="F49:F50"/>
    <mergeCell ref="D51:D52"/>
    <mergeCell ref="D45:D46"/>
    <mergeCell ref="E45:E48"/>
    <mergeCell ref="F45:F46"/>
    <mergeCell ref="D47:D48"/>
    <mergeCell ref="D43:D44"/>
    <mergeCell ref="F43:F44"/>
    <mergeCell ref="A20:A26"/>
    <mergeCell ref="B20:B26"/>
    <mergeCell ref="C20:C26"/>
    <mergeCell ref="D20:D26"/>
    <mergeCell ref="E20:E26"/>
    <mergeCell ref="F20:F26"/>
    <mergeCell ref="A17:A19"/>
    <mergeCell ref="B17:B19"/>
    <mergeCell ref="C17:C19"/>
    <mergeCell ref="D17:D19"/>
    <mergeCell ref="E17:E19"/>
    <mergeCell ref="K7:K8"/>
    <mergeCell ref="L7:N7"/>
    <mergeCell ref="E6:E8"/>
    <mergeCell ref="F6:F8"/>
    <mergeCell ref="G6:G8"/>
    <mergeCell ref="D32:D33"/>
    <mergeCell ref="E32:E35"/>
    <mergeCell ref="D34:D35"/>
    <mergeCell ref="F17:F19"/>
    <mergeCell ref="D56:D57"/>
    <mergeCell ref="D66:D67"/>
    <mergeCell ref="E66:E67"/>
    <mergeCell ref="F66:F67"/>
    <mergeCell ref="K66:K67"/>
    <mergeCell ref="D68:D70"/>
    <mergeCell ref="A2:N2"/>
    <mergeCell ref="A3:N3"/>
    <mergeCell ref="A4:N4"/>
    <mergeCell ref="K5:N5"/>
    <mergeCell ref="A6:A8"/>
    <mergeCell ref="B6:B8"/>
    <mergeCell ref="C6:C8"/>
    <mergeCell ref="D6:D8"/>
    <mergeCell ref="K53:K54"/>
    <mergeCell ref="D13:D14"/>
    <mergeCell ref="A9:N9"/>
    <mergeCell ref="A10:N10"/>
    <mergeCell ref="B11:N11"/>
    <mergeCell ref="C12:N12"/>
    <mergeCell ref="D15:D16"/>
    <mergeCell ref="I6:I8"/>
    <mergeCell ref="J6:J8"/>
    <mergeCell ref="K6:N6"/>
  </mergeCells>
  <printOptions horizontalCentered="1"/>
  <pageMargins left="0.59055118110236227" right="0" top="0.59055118110236227" bottom="0" header="0" footer="0"/>
  <pageSetup paperSize="9" scale="71" orientation="portrait" r:id="rId1"/>
  <rowBreaks count="5" manualBreakCount="5">
    <brk id="52" max="13" man="1"/>
    <brk id="91" max="13" man="1"/>
    <brk id="124" max="13" man="1"/>
    <brk id="158" max="13" man="1"/>
    <brk id="188"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4"/>
  <sheetViews>
    <sheetView view="pageBreakPreview" topLeftCell="A28" zoomScaleNormal="100" zoomScaleSheetLayoutView="100" workbookViewId="0">
      <selection activeCell="E34" sqref="E34:E35"/>
    </sheetView>
  </sheetViews>
  <sheetFormatPr defaultRowHeight="12.75" x14ac:dyDescent="0.2"/>
  <cols>
    <col min="1" max="4" width="2.7109375" style="10" customWidth="1"/>
    <col min="5" max="5" width="30" style="10" customWidth="1"/>
    <col min="6" max="6" width="3.42578125" style="47" customWidth="1"/>
    <col min="7" max="7" width="5.42578125" style="47" customWidth="1"/>
    <col min="8" max="8" width="3.28515625" style="64" customWidth="1"/>
    <col min="9" max="9" width="11.5703125" style="64" customWidth="1"/>
    <col min="10" max="10" width="7.42578125" style="90" customWidth="1"/>
    <col min="11" max="14" width="10.85546875" style="10" customWidth="1"/>
    <col min="15" max="15" width="8.140625" style="10" customWidth="1"/>
    <col min="16" max="16" width="10.85546875" style="10" customWidth="1"/>
    <col min="17" max="17" width="9" style="10" customWidth="1"/>
    <col min="18" max="18" width="9.28515625" style="10" customWidth="1"/>
    <col min="19" max="19" width="35.140625" style="10" customWidth="1"/>
    <col min="20" max="23" width="6.42578125" style="10" customWidth="1"/>
    <col min="24" max="24" width="7.42578125" style="5" customWidth="1"/>
    <col min="25" max="16384" width="9.140625" style="5"/>
  </cols>
  <sheetData>
    <row r="1" spans="1:23" s="1491" customFormat="1" ht="14.25" customHeight="1" x14ac:dyDescent="0.25">
      <c r="S1" s="2939" t="s">
        <v>476</v>
      </c>
      <c r="T1" s="2940"/>
      <c r="U1" s="2940"/>
      <c r="V1" s="2940"/>
      <c r="W1" s="2940"/>
    </row>
    <row r="2" spans="1:23" s="1267" customFormat="1" ht="15.75" x14ac:dyDescent="0.2">
      <c r="A2" s="2633" t="s">
        <v>664</v>
      </c>
      <c r="B2" s="2633"/>
      <c r="C2" s="2633"/>
      <c r="D2" s="2633"/>
      <c r="E2" s="2633"/>
      <c r="F2" s="2633"/>
      <c r="G2" s="2633"/>
      <c r="H2" s="2633"/>
      <c r="I2" s="2633"/>
      <c r="J2" s="2633"/>
      <c r="K2" s="2633"/>
      <c r="L2" s="2633"/>
      <c r="M2" s="2633"/>
      <c r="N2" s="2633"/>
      <c r="O2" s="2633"/>
      <c r="P2" s="2633"/>
      <c r="Q2" s="2633"/>
      <c r="R2" s="2633"/>
      <c r="S2" s="2633"/>
      <c r="T2" s="2633"/>
      <c r="U2" s="2633"/>
      <c r="V2" s="2633"/>
      <c r="W2" s="2633"/>
    </row>
    <row r="3" spans="1:23" ht="15.75" x14ac:dyDescent="0.2">
      <c r="A3" s="2351" t="s">
        <v>37</v>
      </c>
      <c r="B3" s="2351"/>
      <c r="C3" s="2351"/>
      <c r="D3" s="2351"/>
      <c r="E3" s="2351"/>
      <c r="F3" s="2351"/>
      <c r="G3" s="2351"/>
      <c r="H3" s="2351"/>
      <c r="I3" s="2351"/>
      <c r="J3" s="2351"/>
      <c r="K3" s="2351"/>
      <c r="L3" s="2351"/>
      <c r="M3" s="2351"/>
      <c r="N3" s="2351"/>
      <c r="O3" s="2351"/>
      <c r="P3" s="2351"/>
      <c r="Q3" s="2351"/>
      <c r="R3" s="2351"/>
      <c r="S3" s="2351"/>
      <c r="T3" s="2351"/>
      <c r="U3" s="2351"/>
      <c r="V3" s="2351"/>
      <c r="W3" s="2351"/>
    </row>
    <row r="4" spans="1:23" ht="15.75" x14ac:dyDescent="0.2">
      <c r="A4" s="2352" t="s">
        <v>420</v>
      </c>
      <c r="B4" s="2352"/>
      <c r="C4" s="2352"/>
      <c r="D4" s="2352"/>
      <c r="E4" s="2352"/>
      <c r="F4" s="2352"/>
      <c r="G4" s="2352"/>
      <c r="H4" s="2352"/>
      <c r="I4" s="2352"/>
      <c r="J4" s="2352"/>
      <c r="K4" s="2352"/>
      <c r="L4" s="2352"/>
      <c r="M4" s="2352"/>
      <c r="N4" s="2352"/>
      <c r="O4" s="2352"/>
      <c r="P4" s="2352"/>
      <c r="Q4" s="2352"/>
      <c r="R4" s="2352"/>
      <c r="S4" s="2352"/>
      <c r="T4" s="2352"/>
      <c r="U4" s="2352"/>
      <c r="V4" s="2352"/>
      <c r="W4" s="2352"/>
    </row>
    <row r="5" spans="1:23" ht="13.5" thickBot="1" x14ac:dyDescent="0.25">
      <c r="S5" s="2634" t="s">
        <v>412</v>
      </c>
      <c r="T5" s="2634"/>
      <c r="U5" s="2634"/>
      <c r="V5" s="2634"/>
      <c r="W5" s="2635"/>
    </row>
    <row r="6" spans="1:23" s="1267" customFormat="1" ht="50.25" customHeight="1" x14ac:dyDescent="0.2">
      <c r="A6" s="2636" t="s">
        <v>24</v>
      </c>
      <c r="B6" s="2639" t="s">
        <v>1</v>
      </c>
      <c r="C6" s="2639" t="s">
        <v>2</v>
      </c>
      <c r="D6" s="2639" t="s">
        <v>221</v>
      </c>
      <c r="E6" s="2642" t="s">
        <v>16</v>
      </c>
      <c r="F6" s="2653" t="s">
        <v>3</v>
      </c>
      <c r="G6" s="2941" t="s">
        <v>431</v>
      </c>
      <c r="H6" s="2656" t="s">
        <v>4</v>
      </c>
      <c r="I6" s="2944" t="s">
        <v>222</v>
      </c>
      <c r="J6" s="2659" t="s">
        <v>5</v>
      </c>
      <c r="K6" s="1492" t="s">
        <v>477</v>
      </c>
      <c r="L6" s="1492" t="s">
        <v>478</v>
      </c>
      <c r="M6" s="2385" t="s">
        <v>479</v>
      </c>
      <c r="N6" s="2386"/>
      <c r="O6" s="2386"/>
      <c r="P6" s="2387"/>
      <c r="Q6" s="2947" t="s">
        <v>341</v>
      </c>
      <c r="R6" s="2947" t="s">
        <v>480</v>
      </c>
      <c r="S6" s="2391" t="s">
        <v>15</v>
      </c>
      <c r="T6" s="2392"/>
      <c r="U6" s="2392"/>
      <c r="V6" s="2392"/>
      <c r="W6" s="2393"/>
    </row>
    <row r="7" spans="1:23" s="1267" customFormat="1" ht="18.75" customHeight="1" x14ac:dyDescent="0.2">
      <c r="A7" s="2637"/>
      <c r="B7" s="2640"/>
      <c r="C7" s="2640"/>
      <c r="D7" s="2640"/>
      <c r="E7" s="2643"/>
      <c r="F7" s="2654"/>
      <c r="G7" s="2942"/>
      <c r="H7" s="2657"/>
      <c r="I7" s="2945"/>
      <c r="J7" s="2660"/>
      <c r="K7" s="2355" t="s">
        <v>6</v>
      </c>
      <c r="L7" s="2355" t="s">
        <v>6</v>
      </c>
      <c r="M7" s="2366" t="s">
        <v>6</v>
      </c>
      <c r="N7" s="2367" t="s">
        <v>7</v>
      </c>
      <c r="O7" s="2368"/>
      <c r="P7" s="2369" t="s">
        <v>22</v>
      </c>
      <c r="Q7" s="2948"/>
      <c r="R7" s="2948"/>
      <c r="S7" s="2371" t="s">
        <v>16</v>
      </c>
      <c r="T7" s="2367" t="s">
        <v>309</v>
      </c>
      <c r="U7" s="2373"/>
      <c r="V7" s="2373"/>
      <c r="W7" s="2374"/>
    </row>
    <row r="8" spans="1:23" s="1267" customFormat="1" ht="72" customHeight="1" thickBot="1" x14ac:dyDescent="0.25">
      <c r="A8" s="2638"/>
      <c r="B8" s="2641"/>
      <c r="C8" s="2641"/>
      <c r="D8" s="2641"/>
      <c r="E8" s="2644"/>
      <c r="F8" s="2655"/>
      <c r="G8" s="2943"/>
      <c r="H8" s="2658"/>
      <c r="I8" s="2946"/>
      <c r="J8" s="2661"/>
      <c r="K8" s="2356"/>
      <c r="L8" s="2356"/>
      <c r="M8" s="2356"/>
      <c r="N8" s="7" t="s">
        <v>6</v>
      </c>
      <c r="O8" s="6" t="s">
        <v>17</v>
      </c>
      <c r="P8" s="2370"/>
      <c r="Q8" s="2949"/>
      <c r="R8" s="2949"/>
      <c r="S8" s="2372"/>
      <c r="T8" s="8" t="s">
        <v>143</v>
      </c>
      <c r="U8" s="8" t="s">
        <v>235</v>
      </c>
      <c r="V8" s="1493" t="s">
        <v>342</v>
      </c>
      <c r="W8" s="9" t="s">
        <v>481</v>
      </c>
    </row>
    <row r="9" spans="1:23" s="30" customFormat="1" ht="15" customHeight="1" x14ac:dyDescent="0.2">
      <c r="A9" s="2382" t="s">
        <v>135</v>
      </c>
      <c r="B9" s="2383"/>
      <c r="C9" s="2383"/>
      <c r="D9" s="2383"/>
      <c r="E9" s="2383"/>
      <c r="F9" s="2383"/>
      <c r="G9" s="2383"/>
      <c r="H9" s="2383"/>
      <c r="I9" s="2383"/>
      <c r="J9" s="2383"/>
      <c r="K9" s="2383"/>
      <c r="L9" s="2383"/>
      <c r="M9" s="2383"/>
      <c r="N9" s="2383"/>
      <c r="O9" s="2383"/>
      <c r="P9" s="2383"/>
      <c r="Q9" s="2383"/>
      <c r="R9" s="2383"/>
      <c r="S9" s="2383"/>
      <c r="T9" s="2383"/>
      <c r="U9" s="2383"/>
      <c r="V9" s="2383"/>
      <c r="W9" s="2384"/>
    </row>
    <row r="10" spans="1:23" s="30" customFormat="1" ht="14.25" customHeight="1" x14ac:dyDescent="0.2">
      <c r="A10" s="2403" t="s">
        <v>85</v>
      </c>
      <c r="B10" s="2404"/>
      <c r="C10" s="2404"/>
      <c r="D10" s="2404"/>
      <c r="E10" s="2404"/>
      <c r="F10" s="2404"/>
      <c r="G10" s="2404"/>
      <c r="H10" s="2404"/>
      <c r="I10" s="2404"/>
      <c r="J10" s="2404"/>
      <c r="K10" s="2404"/>
      <c r="L10" s="2404"/>
      <c r="M10" s="2404"/>
      <c r="N10" s="2404"/>
      <c r="O10" s="2404"/>
      <c r="P10" s="2404"/>
      <c r="Q10" s="2404"/>
      <c r="R10" s="2404"/>
      <c r="S10" s="2404"/>
      <c r="T10" s="2404"/>
      <c r="U10" s="2404"/>
      <c r="V10" s="2404"/>
      <c r="W10" s="2405"/>
    </row>
    <row r="11" spans="1:23" ht="15" customHeight="1" x14ac:dyDescent="0.2">
      <c r="A11" s="679" t="s">
        <v>9</v>
      </c>
      <c r="B11" s="2648" t="s">
        <v>136</v>
      </c>
      <c r="C11" s="2649"/>
      <c r="D11" s="2649"/>
      <c r="E11" s="2649"/>
      <c r="F11" s="2649"/>
      <c r="G11" s="2649"/>
      <c r="H11" s="2649"/>
      <c r="I11" s="2649"/>
      <c r="J11" s="2649"/>
      <c r="K11" s="2649"/>
      <c r="L11" s="2649"/>
      <c r="M11" s="2649"/>
      <c r="N11" s="2649"/>
      <c r="O11" s="2649"/>
      <c r="P11" s="2649"/>
      <c r="Q11" s="2649"/>
      <c r="R11" s="2649"/>
      <c r="S11" s="2649"/>
      <c r="T11" s="2649"/>
      <c r="U11" s="2649"/>
      <c r="V11" s="2649"/>
      <c r="W11" s="2650"/>
    </row>
    <row r="12" spans="1:23" ht="15.75" customHeight="1" x14ac:dyDescent="0.2">
      <c r="A12" s="917" t="s">
        <v>9</v>
      </c>
      <c r="B12" s="918" t="s">
        <v>9</v>
      </c>
      <c r="C12" s="2409" t="s">
        <v>70</v>
      </c>
      <c r="D12" s="2410"/>
      <c r="E12" s="2410"/>
      <c r="F12" s="2410"/>
      <c r="G12" s="2410"/>
      <c r="H12" s="2410"/>
      <c r="I12" s="2410"/>
      <c r="J12" s="2410"/>
      <c r="K12" s="2410"/>
      <c r="L12" s="2410"/>
      <c r="M12" s="2410"/>
      <c r="N12" s="2410"/>
      <c r="O12" s="2410"/>
      <c r="P12" s="2410"/>
      <c r="Q12" s="2410"/>
      <c r="R12" s="2410"/>
      <c r="S12" s="2410"/>
      <c r="T12" s="2410"/>
      <c r="U12" s="2410"/>
      <c r="V12" s="2410"/>
      <c r="W12" s="2411"/>
    </row>
    <row r="13" spans="1:23" ht="39" customHeight="1" x14ac:dyDescent="0.2">
      <c r="A13" s="2020" t="s">
        <v>9</v>
      </c>
      <c r="B13" s="1964" t="s">
        <v>9</v>
      </c>
      <c r="C13" s="1990" t="s">
        <v>9</v>
      </c>
      <c r="D13" s="2006"/>
      <c r="E13" s="1912" t="s">
        <v>353</v>
      </c>
      <c r="F13" s="1463"/>
      <c r="G13" s="2047"/>
      <c r="H13" s="1956" t="s">
        <v>40</v>
      </c>
      <c r="I13" s="2000" t="s">
        <v>241</v>
      </c>
      <c r="J13" s="862"/>
      <c r="K13" s="1400"/>
      <c r="L13" s="1404"/>
      <c r="M13" s="1393"/>
      <c r="N13" s="1393"/>
      <c r="O13" s="1393"/>
      <c r="P13" s="1402"/>
      <c r="Q13" s="1403"/>
      <c r="R13" s="1393"/>
      <c r="S13" s="1977"/>
      <c r="T13" s="1562"/>
      <c r="U13" s="1989"/>
      <c r="V13" s="1989"/>
      <c r="W13" s="1563"/>
    </row>
    <row r="14" spans="1:23" ht="16.5" customHeight="1" x14ac:dyDescent="0.2">
      <c r="A14" s="2020"/>
      <c r="B14" s="1964"/>
      <c r="C14" s="1990"/>
      <c r="D14" s="2005" t="s">
        <v>9</v>
      </c>
      <c r="E14" s="2651" t="s">
        <v>430</v>
      </c>
      <c r="F14" s="1999"/>
      <c r="G14" s="2961" t="s">
        <v>433</v>
      </c>
      <c r="H14" s="2022"/>
      <c r="I14" s="2820"/>
      <c r="J14" s="1290" t="s">
        <v>36</v>
      </c>
      <c r="K14" s="1482">
        <v>81.2</v>
      </c>
      <c r="L14" s="1403">
        <v>81.2</v>
      </c>
      <c r="M14" s="1392">
        <f>+N14</f>
        <v>99</v>
      </c>
      <c r="N14" s="1392">
        <v>99</v>
      </c>
      <c r="O14" s="1392"/>
      <c r="P14" s="1482"/>
      <c r="Q14" s="1403">
        <v>99</v>
      </c>
      <c r="R14" s="1482">
        <v>99</v>
      </c>
      <c r="S14" s="1194" t="s">
        <v>548</v>
      </c>
      <c r="T14" s="1497">
        <v>3</v>
      </c>
      <c r="U14" s="1532">
        <v>3.4</v>
      </c>
      <c r="V14" s="1532">
        <v>3.4</v>
      </c>
      <c r="W14" s="1518">
        <v>3.4</v>
      </c>
    </row>
    <row r="15" spans="1:23" ht="27" customHeight="1" x14ac:dyDescent="0.2">
      <c r="A15" s="2020"/>
      <c r="B15" s="1964"/>
      <c r="C15" s="1990"/>
      <c r="D15" s="1981"/>
      <c r="E15" s="2652"/>
      <c r="F15" s="1999"/>
      <c r="G15" s="2962"/>
      <c r="H15" s="2022"/>
      <c r="I15" s="2960"/>
      <c r="J15" s="850"/>
      <c r="K15" s="1402"/>
      <c r="L15" s="2034"/>
      <c r="M15" s="1393"/>
      <c r="N15" s="1393"/>
      <c r="O15" s="1393"/>
      <c r="P15" s="1402"/>
      <c r="Q15" s="2034"/>
      <c r="R15" s="1402"/>
      <c r="S15" s="1977" t="s">
        <v>351</v>
      </c>
      <c r="T15" s="1498" t="s">
        <v>352</v>
      </c>
      <c r="U15" s="2311" t="s">
        <v>549</v>
      </c>
      <c r="V15" s="2311" t="s">
        <v>652</v>
      </c>
      <c r="W15" s="2312" t="s">
        <v>653</v>
      </c>
    </row>
    <row r="16" spans="1:23" ht="16.5" customHeight="1" x14ac:dyDescent="0.2">
      <c r="A16" s="2668"/>
      <c r="B16" s="2521"/>
      <c r="C16" s="2910"/>
      <c r="D16" s="2818" t="s">
        <v>11</v>
      </c>
      <c r="E16" s="2651" t="s">
        <v>47</v>
      </c>
      <c r="F16" s="2674" t="s">
        <v>377</v>
      </c>
      <c r="G16" s="2814" t="s">
        <v>434</v>
      </c>
      <c r="H16" s="2687"/>
      <c r="I16" s="2817"/>
      <c r="J16" s="2024" t="s">
        <v>36</v>
      </c>
      <c r="K16" s="1482">
        <v>24</v>
      </c>
      <c r="L16" s="1403">
        <v>24</v>
      </c>
      <c r="M16" s="1392">
        <f>+N16+P16</f>
        <v>15.4</v>
      </c>
      <c r="N16" s="1392">
        <v>15.4</v>
      </c>
      <c r="O16" s="1392"/>
      <c r="P16" s="1482"/>
      <c r="Q16" s="1403">
        <v>14.4</v>
      </c>
      <c r="R16" s="1482">
        <v>14.4</v>
      </c>
      <c r="S16" s="1985" t="s">
        <v>49</v>
      </c>
      <c r="T16" s="1499">
        <v>3</v>
      </c>
      <c r="U16" s="1335">
        <v>4</v>
      </c>
      <c r="V16" s="1335">
        <v>4</v>
      </c>
      <c r="W16" s="1519">
        <v>4</v>
      </c>
    </row>
    <row r="17" spans="1:23" ht="16.5" customHeight="1" x14ac:dyDescent="0.2">
      <c r="A17" s="2668"/>
      <c r="B17" s="2521"/>
      <c r="C17" s="2910"/>
      <c r="D17" s="2414"/>
      <c r="E17" s="2673"/>
      <c r="F17" s="2675"/>
      <c r="G17" s="2907"/>
      <c r="H17" s="2687"/>
      <c r="I17" s="2817"/>
      <c r="J17" s="2007"/>
      <c r="K17" s="1402"/>
      <c r="L17" s="2034"/>
      <c r="M17" s="1393"/>
      <c r="N17" s="1393"/>
      <c r="O17" s="1393"/>
      <c r="P17" s="1402"/>
      <c r="Q17" s="2034"/>
      <c r="R17" s="1574"/>
      <c r="S17" s="693" t="s">
        <v>278</v>
      </c>
      <c r="T17" s="728">
        <v>3</v>
      </c>
      <c r="U17" s="694">
        <v>3</v>
      </c>
      <c r="V17" s="694">
        <v>3</v>
      </c>
      <c r="W17" s="1520">
        <v>3</v>
      </c>
    </row>
    <row r="18" spans="1:23" ht="26.25" customHeight="1" x14ac:dyDescent="0.2">
      <c r="A18" s="2668"/>
      <c r="B18" s="2521"/>
      <c r="C18" s="2910"/>
      <c r="D18" s="2414"/>
      <c r="E18" s="2662"/>
      <c r="F18" s="2676"/>
      <c r="G18" s="2963"/>
      <c r="H18" s="2687"/>
      <c r="I18" s="2829"/>
      <c r="J18" s="1197" t="s">
        <v>94</v>
      </c>
      <c r="K18" s="1400"/>
      <c r="L18" s="1404"/>
      <c r="M18" s="1391">
        <v>64.099999999999994</v>
      </c>
      <c r="N18" s="1391"/>
      <c r="O18" s="1391"/>
      <c r="P18" s="1400">
        <v>64.099999999999994</v>
      </c>
      <c r="Q18" s="1404"/>
      <c r="R18" s="1400"/>
      <c r="S18" s="1986" t="s">
        <v>559</v>
      </c>
      <c r="T18" s="1803"/>
      <c r="U18" s="1987">
        <v>100</v>
      </c>
      <c r="V18" s="1987"/>
      <c r="W18" s="1804"/>
    </row>
    <row r="19" spans="1:23" ht="15" customHeight="1" x14ac:dyDescent="0.2">
      <c r="A19" s="2668"/>
      <c r="B19" s="2521"/>
      <c r="C19" s="2910"/>
      <c r="D19" s="2959" t="s">
        <v>38</v>
      </c>
      <c r="E19" s="2662" t="s">
        <v>48</v>
      </c>
      <c r="F19" s="2670"/>
      <c r="G19" s="1342"/>
      <c r="H19" s="2687"/>
      <c r="I19" s="2817"/>
      <c r="J19" s="16" t="s">
        <v>36</v>
      </c>
      <c r="K19" s="1402">
        <v>91.2</v>
      </c>
      <c r="L19" s="2034">
        <v>99.2</v>
      </c>
      <c r="M19" s="1393">
        <v>124.9</v>
      </c>
      <c r="N19" s="1393">
        <v>119.2</v>
      </c>
      <c r="O19" s="1393"/>
      <c r="P19" s="1402">
        <v>5.7</v>
      </c>
      <c r="Q19" s="2034">
        <v>193.4</v>
      </c>
      <c r="R19" s="1402">
        <v>197.4</v>
      </c>
      <c r="S19" s="1968" t="s">
        <v>415</v>
      </c>
      <c r="T19" s="2052">
        <v>8</v>
      </c>
      <c r="U19" s="1983">
        <v>18</v>
      </c>
      <c r="V19" s="1983">
        <v>18</v>
      </c>
      <c r="W19" s="2051">
        <v>18</v>
      </c>
    </row>
    <row r="20" spans="1:23" ht="26.25" customHeight="1" x14ac:dyDescent="0.2">
      <c r="A20" s="2668"/>
      <c r="B20" s="2521"/>
      <c r="C20" s="2910"/>
      <c r="D20" s="2959"/>
      <c r="E20" s="2669"/>
      <c r="F20" s="2671"/>
      <c r="G20" s="2907" t="s">
        <v>435</v>
      </c>
      <c r="H20" s="2687"/>
      <c r="I20" s="2829"/>
      <c r="J20" s="2007"/>
      <c r="K20" s="1402"/>
      <c r="L20" s="2034"/>
      <c r="M20" s="1393"/>
      <c r="N20" s="1393"/>
      <c r="O20" s="1393"/>
      <c r="P20" s="1402"/>
      <c r="Q20" s="2034"/>
      <c r="R20" s="1402"/>
      <c r="S20" s="693" t="s">
        <v>511</v>
      </c>
      <c r="T20" s="728">
        <v>54</v>
      </c>
      <c r="U20" s="694">
        <v>60</v>
      </c>
      <c r="V20" s="694">
        <v>60</v>
      </c>
      <c r="W20" s="1520">
        <v>60</v>
      </c>
    </row>
    <row r="21" spans="1:23" ht="18" customHeight="1" x14ac:dyDescent="0.2">
      <c r="A21" s="2668"/>
      <c r="B21" s="2521"/>
      <c r="C21" s="2910"/>
      <c r="D21" s="2959"/>
      <c r="E21" s="2669"/>
      <c r="F21" s="2671"/>
      <c r="G21" s="2964"/>
      <c r="H21" s="2687"/>
      <c r="I21" s="1997"/>
      <c r="J21" s="2007"/>
      <c r="K21" s="1402"/>
      <c r="L21" s="2034"/>
      <c r="M21" s="1393"/>
      <c r="N21" s="1393"/>
      <c r="O21" s="1393"/>
      <c r="P21" s="1402"/>
      <c r="Q21" s="2034"/>
      <c r="R21" s="1402"/>
      <c r="S21" s="698" t="s">
        <v>645</v>
      </c>
      <c r="T21" s="728">
        <v>1</v>
      </c>
      <c r="U21" s="694">
        <v>1</v>
      </c>
      <c r="V21" s="694">
        <v>1</v>
      </c>
      <c r="W21" s="1520">
        <v>1</v>
      </c>
    </row>
    <row r="22" spans="1:23" ht="18" customHeight="1" x14ac:dyDescent="0.2">
      <c r="A22" s="2668"/>
      <c r="B22" s="2521"/>
      <c r="C22" s="2910"/>
      <c r="D22" s="2959"/>
      <c r="E22" s="2669"/>
      <c r="F22" s="2671"/>
      <c r="G22" s="2964"/>
      <c r="H22" s="2687"/>
      <c r="I22" s="1997"/>
      <c r="J22" s="2007"/>
      <c r="K22" s="1402"/>
      <c r="L22" s="2034"/>
      <c r="M22" s="1393"/>
      <c r="N22" s="1393"/>
      <c r="O22" s="1393"/>
      <c r="P22" s="1402"/>
      <c r="Q22" s="2034"/>
      <c r="R22" s="1402"/>
      <c r="S22" s="698" t="s">
        <v>267</v>
      </c>
      <c r="T22" s="1500" t="s">
        <v>506</v>
      </c>
      <c r="U22" s="899" t="s">
        <v>553</v>
      </c>
      <c r="V22" s="899" t="s">
        <v>553</v>
      </c>
      <c r="W22" s="1521" t="s">
        <v>553</v>
      </c>
    </row>
    <row r="23" spans="1:23" ht="15.75" customHeight="1" x14ac:dyDescent="0.2">
      <c r="A23" s="2668"/>
      <c r="B23" s="2521"/>
      <c r="C23" s="2910"/>
      <c r="D23" s="2959"/>
      <c r="E23" s="2669"/>
      <c r="F23" s="2671"/>
      <c r="G23" s="2964"/>
      <c r="H23" s="2687"/>
      <c r="I23" s="1997"/>
      <c r="J23" s="2099"/>
      <c r="K23" s="1402"/>
      <c r="L23" s="2310"/>
      <c r="M23" s="1393"/>
      <c r="N23" s="1393"/>
      <c r="O23" s="1393"/>
      <c r="P23" s="1402"/>
      <c r="Q23" s="2310"/>
      <c r="R23" s="1574"/>
      <c r="S23" s="698" t="s">
        <v>640</v>
      </c>
      <c r="T23" s="1500" t="s">
        <v>409</v>
      </c>
      <c r="U23" s="899" t="s">
        <v>552</v>
      </c>
      <c r="V23" s="899" t="s">
        <v>552</v>
      </c>
      <c r="W23" s="1521" t="s">
        <v>552</v>
      </c>
    </row>
    <row r="24" spans="1:23" ht="15" customHeight="1" x14ac:dyDescent="0.2">
      <c r="A24" s="2668"/>
      <c r="B24" s="2521"/>
      <c r="C24" s="2910"/>
      <c r="D24" s="2818"/>
      <c r="E24" s="2669"/>
      <c r="F24" s="2671"/>
      <c r="G24" s="2964"/>
      <c r="H24" s="2687"/>
      <c r="I24" s="1997"/>
      <c r="J24" s="2099"/>
      <c r="K24" s="1402"/>
      <c r="L24" s="2310"/>
      <c r="M24" s="1393"/>
      <c r="N24" s="1393"/>
      <c r="O24" s="1393"/>
      <c r="P24" s="1402"/>
      <c r="Q24" s="2310"/>
      <c r="R24" s="1574"/>
      <c r="S24" s="698" t="s">
        <v>52</v>
      </c>
      <c r="T24" s="1500" t="s">
        <v>350</v>
      </c>
      <c r="U24" s="899" t="s">
        <v>551</v>
      </c>
      <c r="V24" s="899" t="s">
        <v>551</v>
      </c>
      <c r="W24" s="1521" t="s">
        <v>551</v>
      </c>
    </row>
    <row r="25" spans="1:23" ht="20.25" customHeight="1" x14ac:dyDescent="0.2">
      <c r="A25" s="2668"/>
      <c r="B25" s="2521"/>
      <c r="C25" s="2910"/>
      <c r="D25" s="2818"/>
      <c r="E25" s="2651"/>
      <c r="F25" s="2672"/>
      <c r="G25" s="1614"/>
      <c r="H25" s="2687"/>
      <c r="I25" s="1997"/>
      <c r="J25" s="16"/>
      <c r="K25" s="1420"/>
      <c r="L25" s="1494"/>
      <c r="M25" s="2182"/>
      <c r="N25" s="2324"/>
      <c r="O25" s="2324"/>
      <c r="P25" s="1399"/>
      <c r="Q25" s="1494"/>
      <c r="R25" s="2325"/>
      <c r="S25" s="1564" t="s">
        <v>641</v>
      </c>
      <c r="T25" s="1565" t="s">
        <v>261</v>
      </c>
      <c r="U25" s="1551" t="s">
        <v>551</v>
      </c>
      <c r="V25" s="1551" t="s">
        <v>551</v>
      </c>
      <c r="W25" s="1566" t="s">
        <v>551</v>
      </c>
    </row>
    <row r="26" spans="1:23" ht="25.5" customHeight="1" x14ac:dyDescent="0.2">
      <c r="A26" s="2020"/>
      <c r="B26" s="1964"/>
      <c r="C26" s="1990"/>
      <c r="D26" s="1981"/>
      <c r="E26" s="1993"/>
      <c r="F26" s="1999"/>
      <c r="G26" s="1614"/>
      <c r="H26" s="2022"/>
      <c r="I26" s="1997"/>
      <c r="J26" s="2007" t="s">
        <v>36</v>
      </c>
      <c r="K26" s="1402"/>
      <c r="L26" s="2034"/>
      <c r="M26" s="1393">
        <v>1.4</v>
      </c>
      <c r="N26" s="1393"/>
      <c r="O26" s="1393"/>
      <c r="P26" s="1402">
        <v>1.4</v>
      </c>
      <c r="Q26" s="2034"/>
      <c r="R26" s="1402"/>
      <c r="S26" s="1149" t="s">
        <v>554</v>
      </c>
      <c r="T26" s="1810"/>
      <c r="U26" s="1811">
        <v>2</v>
      </c>
      <c r="V26" s="1811">
        <v>2</v>
      </c>
      <c r="W26" s="1812">
        <v>2</v>
      </c>
    </row>
    <row r="27" spans="1:23" ht="31.5" customHeight="1" x14ac:dyDescent="0.2">
      <c r="A27" s="2020"/>
      <c r="B27" s="1964"/>
      <c r="C27" s="1990"/>
      <c r="D27" s="1981"/>
      <c r="E27" s="1993"/>
      <c r="F27" s="1999"/>
      <c r="G27" s="2021"/>
      <c r="H27" s="2022"/>
      <c r="I27" s="1997"/>
      <c r="J27" s="2007" t="s">
        <v>36</v>
      </c>
      <c r="K27" s="1402"/>
      <c r="L27" s="2034"/>
      <c r="M27" s="1393">
        <v>30</v>
      </c>
      <c r="N27" s="1393"/>
      <c r="O27" s="1393"/>
      <c r="P27" s="1402">
        <v>30</v>
      </c>
      <c r="Q27" s="2034"/>
      <c r="R27" s="1402"/>
      <c r="S27" s="882" t="s">
        <v>660</v>
      </c>
      <c r="T27" s="1807"/>
      <c r="U27" s="1808">
        <v>10</v>
      </c>
      <c r="V27" s="1808">
        <v>10</v>
      </c>
      <c r="W27" s="1809">
        <v>10</v>
      </c>
    </row>
    <row r="28" spans="1:23" ht="15" customHeight="1" x14ac:dyDescent="0.2">
      <c r="A28" s="2020"/>
      <c r="B28" s="1964"/>
      <c r="C28" s="1990"/>
      <c r="D28" s="1981"/>
      <c r="E28" s="1993"/>
      <c r="F28" s="1999"/>
      <c r="G28" s="2021"/>
      <c r="H28" s="2022"/>
      <c r="I28" s="1997"/>
      <c r="J28" s="2007" t="s">
        <v>36</v>
      </c>
      <c r="K28" s="1402"/>
      <c r="L28" s="2034"/>
      <c r="M28" s="1393">
        <v>54.4</v>
      </c>
      <c r="N28" s="1393">
        <v>54.4</v>
      </c>
      <c r="O28" s="1393"/>
      <c r="P28" s="1402"/>
      <c r="Q28" s="2034"/>
      <c r="R28" s="1402"/>
      <c r="S28" s="1740" t="s">
        <v>619</v>
      </c>
      <c r="T28" s="1807"/>
      <c r="U28" s="1808">
        <v>170</v>
      </c>
      <c r="V28" s="1808">
        <v>26</v>
      </c>
      <c r="W28" s="1809">
        <v>26</v>
      </c>
    </row>
    <row r="29" spans="1:23" ht="24.75" customHeight="1" x14ac:dyDescent="0.2">
      <c r="A29" s="2020"/>
      <c r="B29" s="1964"/>
      <c r="C29" s="1990"/>
      <c r="D29" s="1981"/>
      <c r="E29" s="1993"/>
      <c r="F29" s="1999"/>
      <c r="G29" s="2021"/>
      <c r="H29" s="2022"/>
      <c r="I29" s="1997"/>
      <c r="J29" s="2007" t="s">
        <v>36</v>
      </c>
      <c r="K29" s="1402"/>
      <c r="L29" s="2034"/>
      <c r="M29" s="1393">
        <v>40.5</v>
      </c>
      <c r="N29" s="1393">
        <v>40.5</v>
      </c>
      <c r="O29" s="1393"/>
      <c r="P29" s="1402"/>
      <c r="Q29" s="2034"/>
      <c r="R29" s="1402"/>
      <c r="S29" s="1740" t="s">
        <v>620</v>
      </c>
      <c r="T29" s="1807"/>
      <c r="U29" s="1808">
        <v>900</v>
      </c>
      <c r="V29" s="1808">
        <v>350</v>
      </c>
      <c r="W29" s="1809">
        <v>350</v>
      </c>
    </row>
    <row r="30" spans="1:23" ht="42" customHeight="1" x14ac:dyDescent="0.2">
      <c r="A30" s="2020"/>
      <c r="B30" s="1964"/>
      <c r="C30" s="1990"/>
      <c r="D30" s="1981"/>
      <c r="E30" s="1993"/>
      <c r="F30" s="1999"/>
      <c r="G30" s="2021"/>
      <c r="H30" s="2022"/>
      <c r="I30" s="1997"/>
      <c r="J30" s="2007" t="s">
        <v>36</v>
      </c>
      <c r="K30" s="1402"/>
      <c r="L30" s="2034"/>
      <c r="M30" s="1393">
        <v>100</v>
      </c>
      <c r="N30" s="1393"/>
      <c r="O30" s="1393"/>
      <c r="P30" s="1402">
        <v>100</v>
      </c>
      <c r="Q30" s="2034"/>
      <c r="R30" s="1402">
        <v>100</v>
      </c>
      <c r="S30" s="1740" t="s">
        <v>599</v>
      </c>
      <c r="T30" s="1807"/>
      <c r="U30" s="1808">
        <v>2</v>
      </c>
      <c r="V30" s="1808"/>
      <c r="W30" s="1809">
        <v>2</v>
      </c>
    </row>
    <row r="31" spans="1:23" ht="26.25" customHeight="1" x14ac:dyDescent="0.2">
      <c r="A31" s="2020"/>
      <c r="B31" s="1964"/>
      <c r="C31" s="1990"/>
      <c r="D31" s="2006"/>
      <c r="E31" s="2339"/>
      <c r="F31" s="2029"/>
      <c r="G31" s="1351"/>
      <c r="H31" s="2022"/>
      <c r="I31" s="1997"/>
      <c r="J31" s="1197"/>
      <c r="K31" s="1400"/>
      <c r="L31" s="1404"/>
      <c r="M31" s="1391"/>
      <c r="N31" s="1391"/>
      <c r="O31" s="1391"/>
      <c r="P31" s="1391"/>
      <c r="Q31" s="1404"/>
      <c r="R31" s="1404"/>
      <c r="S31" s="2105" t="s">
        <v>414</v>
      </c>
      <c r="T31" s="2106">
        <v>65</v>
      </c>
      <c r="U31" s="886"/>
      <c r="V31" s="886"/>
      <c r="W31" s="2107"/>
    </row>
    <row r="32" spans="1:23" ht="15.75" customHeight="1" x14ac:dyDescent="0.2">
      <c r="A32" s="2020"/>
      <c r="B32" s="1964"/>
      <c r="C32" s="1315"/>
      <c r="D32" s="2818" t="s">
        <v>53</v>
      </c>
      <c r="E32" s="2651" t="s">
        <v>427</v>
      </c>
      <c r="F32" s="2663" t="s">
        <v>600</v>
      </c>
      <c r="G32" s="2814" t="s">
        <v>460</v>
      </c>
      <c r="H32" s="2022"/>
      <c r="I32" s="2820" t="s">
        <v>230</v>
      </c>
      <c r="J32" s="787" t="s">
        <v>36</v>
      </c>
      <c r="K32" s="1482">
        <v>51.1</v>
      </c>
      <c r="L32" s="1403">
        <v>51.1</v>
      </c>
      <c r="M32" s="1392">
        <v>34.5</v>
      </c>
      <c r="N32" s="1392"/>
      <c r="O32" s="1392"/>
      <c r="P32" s="1482">
        <v>34.5</v>
      </c>
      <c r="Q32" s="1403"/>
      <c r="R32" s="1482"/>
      <c r="S32" s="2680" t="s">
        <v>615</v>
      </c>
      <c r="T32" s="1829">
        <v>70</v>
      </c>
      <c r="U32" s="1828">
        <v>100</v>
      </c>
      <c r="V32" s="1828"/>
      <c r="W32" s="2108"/>
    </row>
    <row r="33" spans="1:25" ht="22.5" customHeight="1" x14ac:dyDescent="0.2">
      <c r="A33" s="2020"/>
      <c r="B33" s="1964"/>
      <c r="C33" s="1315"/>
      <c r="D33" s="2819"/>
      <c r="E33" s="2662"/>
      <c r="F33" s="2664"/>
      <c r="G33" s="2815"/>
      <c r="H33" s="2022"/>
      <c r="I33" s="2820"/>
      <c r="J33" s="785"/>
      <c r="K33" s="1400"/>
      <c r="L33" s="1404"/>
      <c r="M33" s="1391"/>
      <c r="N33" s="1391"/>
      <c r="O33" s="1391"/>
      <c r="P33" s="1400"/>
      <c r="Q33" s="1404"/>
      <c r="R33" s="1400"/>
      <c r="S33" s="2681"/>
      <c r="T33" s="1501"/>
      <c r="U33" s="1534"/>
      <c r="V33" s="1534"/>
      <c r="W33" s="2109"/>
      <c r="X33" s="2191"/>
      <c r="Y33" s="2191"/>
    </row>
    <row r="34" spans="1:25" ht="22.5" customHeight="1" x14ac:dyDescent="0.2">
      <c r="A34" s="2020"/>
      <c r="B34" s="1964"/>
      <c r="C34" s="1283"/>
      <c r="D34" s="2818" t="s">
        <v>54</v>
      </c>
      <c r="E34" s="2625" t="s">
        <v>558</v>
      </c>
      <c r="F34" s="2665"/>
      <c r="G34" s="2814"/>
      <c r="H34" s="2816"/>
      <c r="I34" s="2817"/>
      <c r="J34" s="1290" t="s">
        <v>36</v>
      </c>
      <c r="K34" s="1482"/>
      <c r="L34" s="1403"/>
      <c r="M34" s="1482">
        <v>4</v>
      </c>
      <c r="N34" s="1541"/>
      <c r="O34" s="1392"/>
      <c r="P34" s="1482">
        <f>+M34</f>
        <v>4</v>
      </c>
      <c r="Q34" s="1403">
        <v>300</v>
      </c>
      <c r="R34" s="1482"/>
      <c r="S34" s="2041" t="s">
        <v>556</v>
      </c>
      <c r="T34" s="1549"/>
      <c r="U34" s="1336">
        <v>1</v>
      </c>
      <c r="V34" s="1508"/>
      <c r="W34" s="2110"/>
    </row>
    <row r="35" spans="1:25" ht="30.75" customHeight="1" x14ac:dyDescent="0.2">
      <c r="A35" s="2020"/>
      <c r="B35" s="1964"/>
      <c r="C35" s="1990"/>
      <c r="D35" s="2819"/>
      <c r="E35" s="2667"/>
      <c r="F35" s="2666"/>
      <c r="G35" s="2815"/>
      <c r="H35" s="2816"/>
      <c r="I35" s="2817"/>
      <c r="J35" s="1197"/>
      <c r="K35" s="1400"/>
      <c r="L35" s="1404"/>
      <c r="M35" s="1400"/>
      <c r="N35" s="1543"/>
      <c r="O35" s="1391"/>
      <c r="P35" s="1400"/>
      <c r="Q35" s="1404"/>
      <c r="R35" s="1400"/>
      <c r="S35" s="1552" t="s">
        <v>557</v>
      </c>
      <c r="T35" s="1550"/>
      <c r="U35" s="1323"/>
      <c r="V35" s="1511">
        <v>100</v>
      </c>
      <c r="W35" s="1309"/>
    </row>
    <row r="36" spans="1:25" ht="19.5" customHeight="1" x14ac:dyDescent="0.2">
      <c r="A36" s="2020"/>
      <c r="B36" s="1964"/>
      <c r="C36" s="1315"/>
      <c r="D36" s="2818" t="s">
        <v>41</v>
      </c>
      <c r="E36" s="2651" t="s">
        <v>595</v>
      </c>
      <c r="F36" s="2663" t="s">
        <v>600</v>
      </c>
      <c r="G36" s="2814"/>
      <c r="H36" s="2022"/>
      <c r="I36" s="2820"/>
      <c r="J36" s="1290" t="s">
        <v>94</v>
      </c>
      <c r="K36" s="1482"/>
      <c r="L36" s="1403"/>
      <c r="M36" s="1392">
        <v>16</v>
      </c>
      <c r="N36" s="1392"/>
      <c r="O36" s="1392"/>
      <c r="P36" s="1482">
        <v>16</v>
      </c>
      <c r="Q36" s="1403"/>
      <c r="R36" s="1482"/>
      <c r="S36" s="1994" t="s">
        <v>373</v>
      </c>
      <c r="T36" s="1503"/>
      <c r="U36" s="1535">
        <v>1</v>
      </c>
      <c r="V36" s="1535"/>
      <c r="W36" s="1523"/>
    </row>
    <row r="37" spans="1:25" ht="19.5" customHeight="1" x14ac:dyDescent="0.2">
      <c r="A37" s="2020"/>
      <c r="B37" s="1964"/>
      <c r="C37" s="1315"/>
      <c r="D37" s="2414"/>
      <c r="E37" s="2673"/>
      <c r="F37" s="2679"/>
      <c r="G37" s="2907"/>
      <c r="H37" s="2022"/>
      <c r="I37" s="2820"/>
      <c r="J37" s="365" t="s">
        <v>94</v>
      </c>
      <c r="K37" s="1402"/>
      <c r="L37" s="2034"/>
      <c r="M37" s="1393"/>
      <c r="N37" s="1393"/>
      <c r="O37" s="1393"/>
      <c r="P37" s="1402"/>
      <c r="Q37" s="2034">
        <v>121</v>
      </c>
      <c r="R37" s="1402"/>
      <c r="S37" s="2053" t="s">
        <v>598</v>
      </c>
      <c r="T37" s="1948"/>
      <c r="U37" s="75"/>
      <c r="V37" s="75">
        <v>1</v>
      </c>
      <c r="W37" s="1949"/>
    </row>
    <row r="38" spans="1:25" ht="27" customHeight="1" x14ac:dyDescent="0.2">
      <c r="A38" s="2020"/>
      <c r="B38" s="1964"/>
      <c r="C38" s="1315"/>
      <c r="D38" s="2819"/>
      <c r="E38" s="2662"/>
      <c r="F38" s="2679"/>
      <c r="G38" s="2815"/>
      <c r="H38" s="2022"/>
      <c r="I38" s="2820"/>
      <c r="J38" s="1305" t="s">
        <v>36</v>
      </c>
      <c r="K38" s="1438"/>
      <c r="L38" s="1405"/>
      <c r="M38" s="1394"/>
      <c r="N38" s="1394"/>
      <c r="O38" s="1394"/>
      <c r="P38" s="1438"/>
      <c r="Q38" s="1405">
        <v>198</v>
      </c>
      <c r="R38" s="1438"/>
      <c r="S38" s="1771" t="s">
        <v>592</v>
      </c>
      <c r="T38" s="1511"/>
      <c r="U38" s="1323"/>
      <c r="V38" s="1323">
        <v>100</v>
      </c>
      <c r="W38" s="1524"/>
    </row>
    <row r="39" spans="1:25" ht="19.5" customHeight="1" x14ac:dyDescent="0.2">
      <c r="A39" s="2020"/>
      <c r="B39" s="1964"/>
      <c r="C39" s="1315"/>
      <c r="D39" s="2818" t="s">
        <v>55</v>
      </c>
      <c r="E39" s="2651" t="s">
        <v>594</v>
      </c>
      <c r="F39" s="2679"/>
      <c r="G39" s="2814"/>
      <c r="H39" s="2022"/>
      <c r="I39" s="2820"/>
      <c r="J39" s="1290" t="s">
        <v>94</v>
      </c>
      <c r="K39" s="1482"/>
      <c r="L39" s="1403"/>
      <c r="M39" s="1392">
        <v>10</v>
      </c>
      <c r="N39" s="1392"/>
      <c r="O39" s="1392"/>
      <c r="P39" s="1482">
        <v>10</v>
      </c>
      <c r="Q39" s="1403"/>
      <c r="R39" s="1482"/>
      <c r="S39" s="1994" t="s">
        <v>373</v>
      </c>
      <c r="T39" s="1503"/>
      <c r="U39" s="1535">
        <v>1</v>
      </c>
      <c r="V39" s="1535"/>
      <c r="W39" s="1523"/>
    </row>
    <row r="40" spans="1:25" ht="29.25" customHeight="1" x14ac:dyDescent="0.2">
      <c r="A40" s="2020"/>
      <c r="B40" s="1964"/>
      <c r="C40" s="1315"/>
      <c r="D40" s="2819"/>
      <c r="E40" s="2662"/>
      <c r="F40" s="2679"/>
      <c r="G40" s="2815"/>
      <c r="H40" s="2022"/>
      <c r="I40" s="2820"/>
      <c r="J40" s="1291" t="s">
        <v>36</v>
      </c>
      <c r="K40" s="1400"/>
      <c r="L40" s="1404"/>
      <c r="M40" s="1391"/>
      <c r="N40" s="1391"/>
      <c r="O40" s="1391"/>
      <c r="P40" s="1400"/>
      <c r="Q40" s="1404">
        <v>100</v>
      </c>
      <c r="R40" s="1400"/>
      <c r="S40" s="1771" t="s">
        <v>593</v>
      </c>
      <c r="T40" s="1511"/>
      <c r="U40" s="1323"/>
      <c r="V40" s="1323">
        <v>100</v>
      </c>
      <c r="W40" s="1524"/>
    </row>
    <row r="41" spans="1:25" ht="22.5" customHeight="1" x14ac:dyDescent="0.2">
      <c r="A41" s="2020"/>
      <c r="B41" s="1964"/>
      <c r="C41" s="1283"/>
      <c r="D41" s="2818" t="s">
        <v>44</v>
      </c>
      <c r="E41" s="2651" t="s">
        <v>543</v>
      </c>
      <c r="F41" s="2679"/>
      <c r="G41" s="2814"/>
      <c r="H41" s="2965"/>
      <c r="I41" s="2820"/>
      <c r="J41" s="1290" t="s">
        <v>36</v>
      </c>
      <c r="K41" s="1482"/>
      <c r="L41" s="2034"/>
      <c r="M41" s="1479">
        <v>29</v>
      </c>
      <c r="N41" s="1542"/>
      <c r="O41" s="1542"/>
      <c r="P41" s="1266">
        <v>29</v>
      </c>
      <c r="Q41" s="2034">
        <v>200</v>
      </c>
      <c r="R41" s="1402">
        <v>300</v>
      </c>
      <c r="S41" s="1994" t="s">
        <v>373</v>
      </c>
      <c r="T41" s="1644"/>
      <c r="U41" s="1682">
        <v>1</v>
      </c>
      <c r="V41" s="1682"/>
      <c r="W41" s="1661"/>
    </row>
    <row r="42" spans="1:25" ht="30.75" customHeight="1" x14ac:dyDescent="0.2">
      <c r="A42" s="2020"/>
      <c r="B42" s="1964"/>
      <c r="C42" s="1990"/>
      <c r="D42" s="2819"/>
      <c r="E42" s="2662"/>
      <c r="F42" s="2938"/>
      <c r="G42" s="2815"/>
      <c r="H42" s="2966"/>
      <c r="I42" s="2820"/>
      <c r="J42" s="1197"/>
      <c r="K42" s="1400"/>
      <c r="L42" s="1404"/>
      <c r="M42" s="1391"/>
      <c r="N42" s="1391"/>
      <c r="O42" s="1391"/>
      <c r="P42" s="1400"/>
      <c r="Q42" s="1404"/>
      <c r="R42" s="1340"/>
      <c r="S42" s="1771" t="s">
        <v>592</v>
      </c>
      <c r="T42" s="1511"/>
      <c r="U42" s="1323"/>
      <c r="V42" s="1323"/>
      <c r="W42" s="1662">
        <v>100</v>
      </c>
    </row>
    <row r="43" spans="1:25" ht="22.5" customHeight="1" x14ac:dyDescent="0.2">
      <c r="A43" s="2020"/>
      <c r="B43" s="1964"/>
      <c r="C43" s="1283"/>
      <c r="D43" s="2818" t="s">
        <v>161</v>
      </c>
      <c r="E43" s="2625" t="s">
        <v>486</v>
      </c>
      <c r="F43" s="2683" t="s">
        <v>411</v>
      </c>
      <c r="G43" s="2814"/>
      <c r="H43" s="2687"/>
      <c r="I43" s="2820"/>
      <c r="J43" s="1290" t="s">
        <v>36</v>
      </c>
      <c r="K43" s="1482"/>
      <c r="L43" s="1403"/>
      <c r="M43" s="1392">
        <v>67</v>
      </c>
      <c r="N43" s="1392"/>
      <c r="O43" s="1392"/>
      <c r="P43" s="1482">
        <v>67</v>
      </c>
      <c r="Q43" s="1403">
        <v>200</v>
      </c>
      <c r="R43" s="1482">
        <v>333</v>
      </c>
      <c r="S43" s="1994" t="s">
        <v>373</v>
      </c>
      <c r="T43" s="1644"/>
      <c r="U43" s="1682">
        <v>1</v>
      </c>
      <c r="V43" s="1682"/>
      <c r="W43" s="1661"/>
    </row>
    <row r="44" spans="1:25" ht="30.75" customHeight="1" x14ac:dyDescent="0.2">
      <c r="A44" s="2020"/>
      <c r="B44" s="1964"/>
      <c r="C44" s="1990"/>
      <c r="D44" s="2819"/>
      <c r="E44" s="2667"/>
      <c r="F44" s="2684"/>
      <c r="G44" s="2815"/>
      <c r="H44" s="2687"/>
      <c r="I44" s="2820"/>
      <c r="J44" s="1291" t="s">
        <v>349</v>
      </c>
      <c r="K44" s="1400"/>
      <c r="L44" s="1404"/>
      <c r="M44" s="1391"/>
      <c r="N44" s="1391"/>
      <c r="O44" s="1391"/>
      <c r="P44" s="1400"/>
      <c r="Q44" s="1404">
        <v>250</v>
      </c>
      <c r="R44" s="1340">
        <v>350</v>
      </c>
      <c r="S44" s="1771" t="s">
        <v>518</v>
      </c>
      <c r="T44" s="1511"/>
      <c r="U44" s="1323"/>
      <c r="V44" s="1323">
        <v>30</v>
      </c>
      <c r="W44" s="1662">
        <v>100</v>
      </c>
    </row>
    <row r="45" spans="1:25" ht="18" customHeight="1" x14ac:dyDescent="0.2">
      <c r="A45" s="2020"/>
      <c r="B45" s="1964"/>
      <c r="C45" s="1990"/>
      <c r="D45" s="1981" t="s">
        <v>42</v>
      </c>
      <c r="E45" s="2673" t="s">
        <v>404</v>
      </c>
      <c r="F45" s="2665"/>
      <c r="G45" s="2907" t="s">
        <v>461</v>
      </c>
      <c r="H45" s="2022"/>
      <c r="I45" s="2820" t="s">
        <v>230</v>
      </c>
      <c r="J45" s="365" t="s">
        <v>36</v>
      </c>
      <c r="K45" s="1402">
        <v>145</v>
      </c>
      <c r="L45" s="2034">
        <v>145</v>
      </c>
      <c r="M45" s="2033">
        <v>599.5</v>
      </c>
      <c r="N45" s="1542"/>
      <c r="O45" s="1402"/>
      <c r="P45" s="1266">
        <v>599.5</v>
      </c>
      <c r="Q45" s="2034"/>
      <c r="R45" s="1402"/>
      <c r="S45" s="2680" t="s">
        <v>537</v>
      </c>
      <c r="T45" s="1829"/>
      <c r="U45" s="1828">
        <v>100</v>
      </c>
      <c r="V45" s="1828"/>
      <c r="W45" s="2035"/>
      <c r="X45" s="14"/>
      <c r="Y45" s="14"/>
    </row>
    <row r="46" spans="1:25" ht="21.75" customHeight="1" x14ac:dyDescent="0.2">
      <c r="A46" s="2020"/>
      <c r="B46" s="1964"/>
      <c r="C46" s="1990"/>
      <c r="D46" s="1913"/>
      <c r="E46" s="2673"/>
      <c r="F46" s="2665"/>
      <c r="G46" s="2964"/>
      <c r="H46" s="2022"/>
      <c r="I46" s="2820"/>
      <c r="J46" s="365" t="s">
        <v>94</v>
      </c>
      <c r="K46" s="1402"/>
      <c r="L46" s="2034"/>
      <c r="M46" s="2033"/>
      <c r="N46" s="1542"/>
      <c r="O46" s="1544"/>
      <c r="P46" s="1266"/>
      <c r="Q46" s="2034"/>
      <c r="R46" s="1402"/>
      <c r="S46" s="2682"/>
      <c r="T46" s="1802"/>
      <c r="U46" s="1533"/>
      <c r="V46" s="1533"/>
      <c r="W46" s="2036"/>
      <c r="X46" s="14"/>
      <c r="Y46" s="14"/>
    </row>
    <row r="47" spans="1:25" ht="15.75" customHeight="1" x14ac:dyDescent="0.2">
      <c r="A47" s="2020"/>
      <c r="B47" s="1964"/>
      <c r="C47" s="1990"/>
      <c r="D47" s="1914"/>
      <c r="E47" s="2926"/>
      <c r="F47" s="2666"/>
      <c r="G47" s="2967"/>
      <c r="H47" s="2022"/>
      <c r="I47" s="1998"/>
      <c r="J47" s="1291"/>
      <c r="K47" s="1400"/>
      <c r="L47" s="1404"/>
      <c r="M47" s="1553"/>
      <c r="N47" s="1543"/>
      <c r="O47" s="1545"/>
      <c r="P47" s="1548"/>
      <c r="Q47" s="1404"/>
      <c r="R47" s="1400"/>
      <c r="S47" s="2111" t="s">
        <v>373</v>
      </c>
      <c r="T47" s="2112">
        <v>1</v>
      </c>
      <c r="U47" s="1815"/>
      <c r="V47" s="1815"/>
      <c r="W47" s="1816"/>
      <c r="X47" s="685"/>
      <c r="Y47" s="2222"/>
    </row>
    <row r="48" spans="1:25" ht="30.75" customHeight="1" x14ac:dyDescent="0.2">
      <c r="A48" s="2020"/>
      <c r="B48" s="1964"/>
      <c r="C48" s="1283"/>
      <c r="D48" s="2818" t="s">
        <v>483</v>
      </c>
      <c r="E48" s="2625" t="s">
        <v>273</v>
      </c>
      <c r="F48" s="2663" t="s">
        <v>411</v>
      </c>
      <c r="G48" s="2814" t="s">
        <v>482</v>
      </c>
      <c r="H48" s="2816"/>
      <c r="I48" s="2817"/>
      <c r="J48" s="1290" t="s">
        <v>36</v>
      </c>
      <c r="K48" s="1482"/>
      <c r="L48" s="1403">
        <v>2.5</v>
      </c>
      <c r="M48" s="1482">
        <v>351.5</v>
      </c>
      <c r="N48" s="1541"/>
      <c r="O48" s="1392"/>
      <c r="P48" s="1482">
        <f>+M48</f>
        <v>351.5</v>
      </c>
      <c r="Q48" s="1403"/>
      <c r="R48" s="1482"/>
      <c r="S48" s="2040" t="s">
        <v>512</v>
      </c>
      <c r="T48" s="1682"/>
      <c r="U48" s="1682">
        <v>100</v>
      </c>
      <c r="V48" s="1682"/>
      <c r="W48" s="1817"/>
      <c r="X48" s="14"/>
      <c r="Y48" s="14"/>
    </row>
    <row r="49" spans="1:25" ht="21" customHeight="1" x14ac:dyDescent="0.2">
      <c r="A49" s="2020"/>
      <c r="B49" s="1964"/>
      <c r="C49" s="1990"/>
      <c r="D49" s="2819"/>
      <c r="E49" s="2667"/>
      <c r="F49" s="2664"/>
      <c r="G49" s="2815"/>
      <c r="H49" s="2816"/>
      <c r="I49" s="2817"/>
      <c r="J49" s="1197"/>
      <c r="K49" s="1400"/>
      <c r="L49" s="1404"/>
      <c r="M49" s="1400"/>
      <c r="N49" s="1543"/>
      <c r="O49" s="1391"/>
      <c r="P49" s="1400"/>
      <c r="Q49" s="1404"/>
      <c r="R49" s="1400"/>
      <c r="S49" s="2113" t="s">
        <v>274</v>
      </c>
      <c r="T49" s="2114">
        <v>1</v>
      </c>
      <c r="U49" s="1683"/>
      <c r="V49" s="1683"/>
      <c r="W49" s="1904"/>
      <c r="X49" s="2223"/>
      <c r="Y49" s="32"/>
    </row>
    <row r="50" spans="1:25" ht="18" customHeight="1" x14ac:dyDescent="0.2">
      <c r="A50" s="2020"/>
      <c r="B50" s="1964"/>
      <c r="C50" s="1283"/>
      <c r="D50" s="2818" t="s">
        <v>586</v>
      </c>
      <c r="E50" s="2625" t="s">
        <v>484</v>
      </c>
      <c r="F50" s="2665"/>
      <c r="G50" s="2814"/>
      <c r="H50" s="2816"/>
      <c r="I50" s="2817"/>
      <c r="J50" s="1290" t="s">
        <v>36</v>
      </c>
      <c r="K50" s="1482"/>
      <c r="L50" s="1403"/>
      <c r="M50" s="1482">
        <v>300</v>
      </c>
      <c r="N50" s="1541"/>
      <c r="O50" s="1392"/>
      <c r="P50" s="1482">
        <v>300</v>
      </c>
      <c r="Q50" s="1403"/>
      <c r="R50" s="1482"/>
      <c r="S50" s="2041" t="s">
        <v>485</v>
      </c>
      <c r="T50" s="1549"/>
      <c r="U50" s="1336">
        <v>1</v>
      </c>
      <c r="V50" s="1502"/>
      <c r="W50" s="76"/>
      <c r="X50" s="14"/>
      <c r="Y50" s="14"/>
    </row>
    <row r="51" spans="1:25" ht="25.5" customHeight="1" x14ac:dyDescent="0.2">
      <c r="A51" s="2020"/>
      <c r="B51" s="1964"/>
      <c r="C51" s="1990"/>
      <c r="D51" s="2819"/>
      <c r="E51" s="2667"/>
      <c r="F51" s="2666"/>
      <c r="G51" s="2815"/>
      <c r="H51" s="2816"/>
      <c r="I51" s="2817"/>
      <c r="J51" s="1197"/>
      <c r="K51" s="1400"/>
      <c r="L51" s="1404"/>
      <c r="M51" s="1400"/>
      <c r="N51" s="1543"/>
      <c r="O51" s="1391"/>
      <c r="P51" s="1400"/>
      <c r="Q51" s="1404"/>
      <c r="R51" s="1400"/>
      <c r="S51" s="1552" t="s">
        <v>512</v>
      </c>
      <c r="T51" s="1550"/>
      <c r="U51" s="1323">
        <v>100</v>
      </c>
      <c r="V51" s="1511"/>
      <c r="W51" s="1309"/>
      <c r="X51" s="14"/>
      <c r="Y51" s="14"/>
    </row>
    <row r="52" spans="1:25" ht="18" customHeight="1" x14ac:dyDescent="0.2">
      <c r="A52" s="2275"/>
      <c r="B52" s="2273"/>
      <c r="C52" s="1283"/>
      <c r="D52" s="2818" t="s">
        <v>589</v>
      </c>
      <c r="E52" s="2625" t="s">
        <v>555</v>
      </c>
      <c r="F52" s="2278"/>
      <c r="G52" s="2814"/>
      <c r="H52" s="2816"/>
      <c r="I52" s="2817"/>
      <c r="J52" s="1290" t="s">
        <v>36</v>
      </c>
      <c r="K52" s="1482"/>
      <c r="L52" s="1403"/>
      <c r="M52" s="1482"/>
      <c r="N52" s="1541"/>
      <c r="O52" s="1392"/>
      <c r="P52" s="1482"/>
      <c r="Q52" s="1403">
        <v>300</v>
      </c>
      <c r="R52" s="1482"/>
      <c r="S52" s="2274" t="s">
        <v>556</v>
      </c>
      <c r="T52" s="1549"/>
      <c r="U52" s="1336"/>
      <c r="V52" s="1508">
        <v>1</v>
      </c>
      <c r="W52" s="2110"/>
    </row>
    <row r="53" spans="1:25" ht="28.5" customHeight="1" x14ac:dyDescent="0.2">
      <c r="A53" s="2275"/>
      <c r="B53" s="2273"/>
      <c r="C53" s="2276"/>
      <c r="D53" s="2819"/>
      <c r="E53" s="2667"/>
      <c r="F53" s="2279"/>
      <c r="G53" s="2815"/>
      <c r="H53" s="2816"/>
      <c r="I53" s="2817"/>
      <c r="J53" s="1197"/>
      <c r="K53" s="1400"/>
      <c r="L53" s="1404"/>
      <c r="M53" s="1400"/>
      <c r="N53" s="1543"/>
      <c r="O53" s="1391"/>
      <c r="P53" s="1400"/>
      <c r="Q53" s="1404"/>
      <c r="R53" s="1400"/>
      <c r="S53" s="1552" t="s">
        <v>513</v>
      </c>
      <c r="T53" s="1550"/>
      <c r="U53" s="1323"/>
      <c r="V53" s="1511">
        <v>100</v>
      </c>
      <c r="W53" s="1309"/>
    </row>
    <row r="54" spans="1:25" ht="17.25" customHeight="1" x14ac:dyDescent="0.2">
      <c r="A54" s="2020"/>
      <c r="B54" s="1964"/>
      <c r="C54" s="1990"/>
      <c r="D54" s="2933" t="s">
        <v>590</v>
      </c>
      <c r="E54" s="2662" t="s">
        <v>413</v>
      </c>
      <c r="F54" s="2936" t="s">
        <v>411</v>
      </c>
      <c r="G54" s="2907" t="s">
        <v>462</v>
      </c>
      <c r="H54" s="2687" t="s">
        <v>90</v>
      </c>
      <c r="I54" s="2985" t="s">
        <v>392</v>
      </c>
      <c r="J54" s="2007" t="s">
        <v>349</v>
      </c>
      <c r="K54" s="1402">
        <v>26</v>
      </c>
      <c r="L54" s="2034">
        <v>82.3</v>
      </c>
      <c r="M54" s="1555">
        <v>400</v>
      </c>
      <c r="N54" s="1542"/>
      <c r="O54" s="1544"/>
      <c r="P54" s="1266">
        <v>400</v>
      </c>
      <c r="Q54" s="1625"/>
      <c r="R54" s="1402"/>
      <c r="S54" s="2954" t="s">
        <v>517</v>
      </c>
      <c r="T54" s="1502"/>
      <c r="U54" s="1336">
        <v>70</v>
      </c>
      <c r="V54" s="1336">
        <v>100</v>
      </c>
      <c r="W54" s="1069"/>
      <c r="X54" s="14"/>
      <c r="Y54" s="14"/>
    </row>
    <row r="55" spans="1:25" ht="24" customHeight="1" x14ac:dyDescent="0.2">
      <c r="A55" s="2020"/>
      <c r="B55" s="1964"/>
      <c r="C55" s="1990"/>
      <c r="D55" s="2934"/>
      <c r="E55" s="2935"/>
      <c r="F55" s="2936"/>
      <c r="G55" s="2964"/>
      <c r="H55" s="2687"/>
      <c r="I55" s="2840"/>
      <c r="J55" s="2007" t="s">
        <v>36</v>
      </c>
      <c r="K55" s="1402"/>
      <c r="L55" s="2034"/>
      <c r="M55" s="1555">
        <v>600</v>
      </c>
      <c r="N55" s="1542"/>
      <c r="O55" s="1544"/>
      <c r="P55" s="1266">
        <v>600</v>
      </c>
      <c r="Q55" s="2034">
        <v>344.2</v>
      </c>
      <c r="R55" s="1402"/>
      <c r="S55" s="2646"/>
      <c r="T55" s="1502"/>
      <c r="U55" s="1336"/>
      <c r="V55" s="1336"/>
      <c r="W55" s="1522"/>
    </row>
    <row r="56" spans="1:25" ht="24.75" customHeight="1" x14ac:dyDescent="0.2">
      <c r="A56" s="2020"/>
      <c r="B56" s="1964"/>
      <c r="C56" s="1990"/>
      <c r="D56" s="2934"/>
      <c r="E56" s="2935"/>
      <c r="F56" s="2937"/>
      <c r="G56" s="2967"/>
      <c r="H56" s="2732"/>
      <c r="I56" s="2840"/>
      <c r="J56" s="1197"/>
      <c r="K56" s="1400"/>
      <c r="L56" s="1404"/>
      <c r="M56" s="1400"/>
      <c r="N56" s="1543"/>
      <c r="O56" s="1545"/>
      <c r="P56" s="1548"/>
      <c r="Q56" s="1404"/>
      <c r="R56" s="1400"/>
      <c r="S56" s="2115" t="s">
        <v>491</v>
      </c>
      <c r="T56" s="2116">
        <v>1</v>
      </c>
      <c r="U56" s="1323"/>
      <c r="V56" s="1323"/>
      <c r="W56" s="1529"/>
    </row>
    <row r="57" spans="1:25" ht="18" customHeight="1" x14ac:dyDescent="0.2">
      <c r="A57" s="2020"/>
      <c r="B57" s="1964"/>
      <c r="C57" s="1283"/>
      <c r="D57" s="2818" t="s">
        <v>591</v>
      </c>
      <c r="E57" s="2651" t="s">
        <v>467</v>
      </c>
      <c r="F57" s="2927" t="s">
        <v>91</v>
      </c>
      <c r="G57" s="2814" t="s">
        <v>468</v>
      </c>
      <c r="H57" s="2983" t="s">
        <v>90</v>
      </c>
      <c r="I57" s="2981" t="s">
        <v>385</v>
      </c>
      <c r="J57" s="1290" t="s">
        <v>346</v>
      </c>
      <c r="K57" s="1482">
        <v>500</v>
      </c>
      <c r="L57" s="1403">
        <v>500</v>
      </c>
      <c r="M57" s="1482"/>
      <c r="N57" s="1541"/>
      <c r="O57" s="1546"/>
      <c r="P57" s="1547"/>
      <c r="Q57" s="1403"/>
      <c r="R57" s="1482"/>
      <c r="S57" s="1994" t="s">
        <v>373</v>
      </c>
      <c r="T57" s="1644">
        <v>1</v>
      </c>
      <c r="U57" s="2117"/>
      <c r="V57" s="2117"/>
      <c r="W57" s="2118"/>
    </row>
    <row r="58" spans="1:25" ht="38.25" customHeight="1" x14ac:dyDescent="0.2">
      <c r="A58" s="2020"/>
      <c r="B58" s="1964"/>
      <c r="C58" s="1990"/>
      <c r="D58" s="2819"/>
      <c r="E58" s="2926"/>
      <c r="F58" s="2928"/>
      <c r="G58" s="2815"/>
      <c r="H58" s="2984"/>
      <c r="I58" s="2982"/>
      <c r="J58" s="1197"/>
      <c r="K58" s="1400"/>
      <c r="L58" s="1404"/>
      <c r="M58" s="1391"/>
      <c r="N58" s="1391"/>
      <c r="O58" s="1400"/>
      <c r="P58" s="1548"/>
      <c r="Q58" s="1404"/>
      <c r="R58" s="1400"/>
      <c r="S58" s="1339" t="s">
        <v>516</v>
      </c>
      <c r="T58" s="1645">
        <v>100</v>
      </c>
      <c r="U58" s="2114"/>
      <c r="V58" s="2114"/>
      <c r="W58" s="2119"/>
    </row>
    <row r="59" spans="1:25" ht="15.75" customHeight="1" x14ac:dyDescent="0.2">
      <c r="A59" s="2020"/>
      <c r="B59" s="1964"/>
      <c r="C59" s="1315"/>
      <c r="D59" s="2005"/>
      <c r="E59" s="2669" t="s">
        <v>238</v>
      </c>
      <c r="F59" s="2929" t="s">
        <v>255</v>
      </c>
      <c r="G59" s="2986" t="s">
        <v>436</v>
      </c>
      <c r="H59" s="2022"/>
      <c r="I59" s="2817"/>
      <c r="J59" s="1290" t="s">
        <v>36</v>
      </c>
      <c r="K59" s="1482">
        <v>173.2</v>
      </c>
      <c r="L59" s="1403">
        <v>159.30000000000001</v>
      </c>
      <c r="M59" s="1392"/>
      <c r="N59" s="1392"/>
      <c r="O59" s="1392"/>
      <c r="P59" s="1482"/>
      <c r="Q59" s="1403"/>
      <c r="R59" s="1482"/>
      <c r="S59" s="2955" t="s">
        <v>428</v>
      </c>
      <c r="T59" s="2120">
        <v>100</v>
      </c>
      <c r="U59" s="2121"/>
      <c r="V59" s="2121"/>
      <c r="W59" s="2122"/>
    </row>
    <row r="60" spans="1:25" ht="13.5" customHeight="1" x14ac:dyDescent="0.2">
      <c r="A60" s="2020"/>
      <c r="B60" s="1964"/>
      <c r="C60" s="1315"/>
      <c r="D60" s="1981"/>
      <c r="E60" s="2669"/>
      <c r="F60" s="2930"/>
      <c r="G60" s="2975"/>
      <c r="H60" s="2022"/>
      <c r="I60" s="2817"/>
      <c r="J60" s="365" t="s">
        <v>349</v>
      </c>
      <c r="K60" s="1402">
        <v>100</v>
      </c>
      <c r="L60" s="2034"/>
      <c r="M60" s="1393"/>
      <c r="N60" s="1393"/>
      <c r="O60" s="1393"/>
      <c r="P60" s="1402"/>
      <c r="Q60" s="2034"/>
      <c r="R60" s="1402"/>
      <c r="S60" s="2956"/>
      <c r="T60" s="2123"/>
      <c r="U60" s="2124"/>
      <c r="V60" s="2124"/>
      <c r="W60" s="2125"/>
    </row>
    <row r="61" spans="1:25" ht="18.75" customHeight="1" x14ac:dyDescent="0.2">
      <c r="A61" s="2020"/>
      <c r="B61" s="1964"/>
      <c r="C61" s="1315"/>
      <c r="D61" s="1981"/>
      <c r="E61" s="2669"/>
      <c r="F61" s="2930"/>
      <c r="G61" s="2987"/>
      <c r="H61" s="2022"/>
      <c r="I61" s="2829"/>
      <c r="J61" s="1291"/>
      <c r="K61" s="1400"/>
      <c r="L61" s="1404"/>
      <c r="M61" s="1391"/>
      <c r="N61" s="1391"/>
      <c r="O61" s="1391"/>
      <c r="P61" s="1400"/>
      <c r="Q61" s="1404"/>
      <c r="R61" s="1400"/>
      <c r="S61" s="2957"/>
      <c r="T61" s="2126"/>
      <c r="U61" s="2127"/>
      <c r="V61" s="2127"/>
      <c r="W61" s="2128"/>
    </row>
    <row r="62" spans="1:25" ht="27" customHeight="1" x14ac:dyDescent="0.2">
      <c r="A62" s="2020"/>
      <c r="B62" s="1964"/>
      <c r="C62" s="1315"/>
      <c r="D62" s="2818"/>
      <c r="E62" s="2651" t="s">
        <v>239</v>
      </c>
      <c r="F62" s="2931"/>
      <c r="G62" s="2814" t="s">
        <v>459</v>
      </c>
      <c r="H62" s="2022"/>
      <c r="I62" s="2820"/>
      <c r="J62" s="1290" t="s">
        <v>36</v>
      </c>
      <c r="K62" s="1482">
        <v>309.8</v>
      </c>
      <c r="L62" s="1403">
        <v>321.2</v>
      </c>
      <c r="M62" s="1481"/>
      <c r="N62" s="1392"/>
      <c r="O62" s="1392"/>
      <c r="P62" s="1576"/>
      <c r="Q62" s="1403"/>
      <c r="R62" s="1482"/>
      <c r="S62" s="2129" t="s">
        <v>513</v>
      </c>
      <c r="T62" s="2112">
        <v>100</v>
      </c>
      <c r="U62" s="2130"/>
      <c r="V62" s="2130"/>
      <c r="W62" s="2131"/>
    </row>
    <row r="63" spans="1:25" ht="26.25" customHeight="1" x14ac:dyDescent="0.2">
      <c r="A63" s="2020"/>
      <c r="B63" s="1964"/>
      <c r="C63" s="1315"/>
      <c r="D63" s="2819"/>
      <c r="E63" s="2662"/>
      <c r="F63" s="2932"/>
      <c r="G63" s="2815"/>
      <c r="H63" s="2022"/>
      <c r="I63" s="2820"/>
      <c r="J63" s="1305" t="s">
        <v>349</v>
      </c>
      <c r="K63" s="1438">
        <v>190</v>
      </c>
      <c r="L63" s="1405"/>
      <c r="M63" s="1877"/>
      <c r="N63" s="1394"/>
      <c r="O63" s="1394"/>
      <c r="P63" s="1579"/>
      <c r="Q63" s="1405"/>
      <c r="R63" s="1438"/>
      <c r="S63" s="2132" t="s">
        <v>514</v>
      </c>
      <c r="T63" s="2133">
        <v>100</v>
      </c>
      <c r="U63" s="2130"/>
      <c r="V63" s="2130"/>
      <c r="W63" s="2131"/>
    </row>
    <row r="64" spans="1:25" ht="34.5" customHeight="1" x14ac:dyDescent="0.2">
      <c r="A64" s="2020"/>
      <c r="B64" s="1964"/>
      <c r="C64" s="1990"/>
      <c r="D64" s="2028"/>
      <c r="E64" s="2031" t="s">
        <v>487</v>
      </c>
      <c r="F64" s="1434"/>
      <c r="G64" s="1464" t="s">
        <v>437</v>
      </c>
      <c r="H64" s="2025"/>
      <c r="I64" s="2001"/>
      <c r="J64" s="1291" t="s">
        <v>36</v>
      </c>
      <c r="K64" s="1400">
        <v>45</v>
      </c>
      <c r="L64" s="1404">
        <f>45+45</f>
        <v>90</v>
      </c>
      <c r="M64" s="1400"/>
      <c r="N64" s="1543"/>
      <c r="O64" s="1391"/>
      <c r="P64" s="1400"/>
      <c r="Q64" s="1404"/>
      <c r="R64" s="1400"/>
      <c r="S64" s="2134" t="s">
        <v>515</v>
      </c>
      <c r="T64" s="2135">
        <v>200</v>
      </c>
      <c r="U64" s="2136"/>
      <c r="V64" s="2136"/>
      <c r="W64" s="2109"/>
    </row>
    <row r="65" spans="1:23" ht="14.25" customHeight="1" thickBot="1" x14ac:dyDescent="0.25">
      <c r="A65" s="2049"/>
      <c r="B65" s="1965"/>
      <c r="C65" s="1278"/>
      <c r="D65" s="687"/>
      <c r="E65" s="688"/>
      <c r="F65" s="689"/>
      <c r="G65" s="689"/>
      <c r="H65" s="690"/>
      <c r="I65" s="2827" t="s">
        <v>224</v>
      </c>
      <c r="J65" s="2844"/>
      <c r="K65" s="1395">
        <f t="shared" ref="K65:R65" si="0">SUM(K14:K64)</f>
        <v>1736.5</v>
      </c>
      <c r="L65" s="1395">
        <f t="shared" si="0"/>
        <v>1555.8</v>
      </c>
      <c r="M65" s="1395">
        <f t="shared" si="0"/>
        <v>2941.2</v>
      </c>
      <c r="N65" s="1395">
        <f t="shared" si="0"/>
        <v>328.5</v>
      </c>
      <c r="O65" s="1395">
        <f t="shared" si="0"/>
        <v>0</v>
      </c>
      <c r="P65" s="1395">
        <f t="shared" si="0"/>
        <v>2612.6999999999998</v>
      </c>
      <c r="Q65" s="1395">
        <f t="shared" si="0"/>
        <v>2320</v>
      </c>
      <c r="R65" s="1395">
        <f t="shared" si="0"/>
        <v>1393.8</v>
      </c>
      <c r="S65" s="1329"/>
      <c r="T65" s="1618"/>
      <c r="U65" s="1618"/>
      <c r="V65" s="1618"/>
      <c r="W65" s="1348"/>
    </row>
    <row r="66" spans="1:23" ht="27" customHeight="1" x14ac:dyDescent="0.2">
      <c r="A66" s="2020" t="s">
        <v>9</v>
      </c>
      <c r="B66" s="1975" t="s">
        <v>9</v>
      </c>
      <c r="C66" s="1990" t="s">
        <v>11</v>
      </c>
      <c r="D66" s="1319"/>
      <c r="E66" s="1349" t="s">
        <v>114</v>
      </c>
      <c r="F66" s="1343"/>
      <c r="G66" s="1350"/>
      <c r="H66" s="2023" t="s">
        <v>40</v>
      </c>
      <c r="I66" s="2973" t="s">
        <v>225</v>
      </c>
      <c r="J66" s="1295"/>
      <c r="K66" s="1396"/>
      <c r="L66" s="1396"/>
      <c r="M66" s="1396"/>
      <c r="N66" s="1558"/>
      <c r="O66" s="1558"/>
      <c r="P66" s="1398"/>
      <c r="Q66" s="1396"/>
      <c r="R66" s="1571"/>
      <c r="S66" s="1568"/>
      <c r="T66" s="1506"/>
      <c r="U66" s="1536"/>
      <c r="V66" s="1536"/>
      <c r="W66" s="1525"/>
    </row>
    <row r="67" spans="1:23" ht="53.25" customHeight="1" x14ac:dyDescent="0.2">
      <c r="A67" s="2668"/>
      <c r="B67" s="2413"/>
      <c r="C67" s="2910"/>
      <c r="D67" s="2414" t="s">
        <v>9</v>
      </c>
      <c r="E67" s="1993" t="s">
        <v>191</v>
      </c>
      <c r="F67" s="2925"/>
      <c r="G67" s="2814" t="s">
        <v>469</v>
      </c>
      <c r="H67" s="2687"/>
      <c r="I67" s="2974"/>
      <c r="J67" s="16" t="s">
        <v>36</v>
      </c>
      <c r="K67" s="1479">
        <v>2044.6</v>
      </c>
      <c r="L67" s="1479">
        <f>2044.6+150.5</f>
        <v>2195.1</v>
      </c>
      <c r="M67" s="2033">
        <f>+N67</f>
        <v>2646.5</v>
      </c>
      <c r="N67" s="1542">
        <v>2646.5</v>
      </c>
      <c r="O67" s="1542"/>
      <c r="P67" s="1393"/>
      <c r="Q67" s="1479">
        <v>2746.3</v>
      </c>
      <c r="R67" s="2034">
        <v>2851.1</v>
      </c>
      <c r="S67" s="1285" t="s">
        <v>621</v>
      </c>
      <c r="T67" s="1507">
        <v>3.9</v>
      </c>
      <c r="U67" s="1537">
        <v>8.6</v>
      </c>
      <c r="V67" s="1537">
        <v>8.6</v>
      </c>
      <c r="W67" s="1526">
        <v>8.6</v>
      </c>
    </row>
    <row r="68" spans="1:23" ht="27.75" customHeight="1" x14ac:dyDescent="0.2">
      <c r="A68" s="2668"/>
      <c r="B68" s="2413"/>
      <c r="C68" s="2910"/>
      <c r="D68" s="2414"/>
      <c r="E68" s="1995" t="s">
        <v>562</v>
      </c>
      <c r="F68" s="2627"/>
      <c r="G68" s="2975"/>
      <c r="H68" s="2687"/>
      <c r="I68" s="2974"/>
      <c r="J68" s="1197" t="s">
        <v>36</v>
      </c>
      <c r="K68" s="1397"/>
      <c r="L68" s="1397"/>
      <c r="M68" s="1340">
        <v>137.4</v>
      </c>
      <c r="N68" s="1543">
        <v>137.4</v>
      </c>
      <c r="O68" s="1543"/>
      <c r="P68" s="1391"/>
      <c r="Q68" s="1397"/>
      <c r="R68" s="1404"/>
      <c r="S68" s="1478" t="s">
        <v>587</v>
      </c>
      <c r="T68" s="1511"/>
      <c r="U68" s="1323">
        <v>648</v>
      </c>
      <c r="V68" s="1511"/>
      <c r="W68" s="1799"/>
    </row>
    <row r="69" spans="1:23" ht="18" customHeight="1" x14ac:dyDescent="0.2">
      <c r="A69" s="2668"/>
      <c r="B69" s="2413"/>
      <c r="C69" s="2910"/>
      <c r="D69" s="2818" t="s">
        <v>11</v>
      </c>
      <c r="E69" s="2625" t="s">
        <v>56</v>
      </c>
      <c r="F69" s="2043"/>
      <c r="G69" s="2911" t="s">
        <v>438</v>
      </c>
      <c r="H69" s="2022"/>
      <c r="I69" s="2817"/>
      <c r="J69" s="12" t="s">
        <v>36</v>
      </c>
      <c r="K69" s="1481">
        <v>76</v>
      </c>
      <c r="L69" s="1481">
        <v>76</v>
      </c>
      <c r="M69" s="1416">
        <f>+N69+P69</f>
        <v>78.400000000000006</v>
      </c>
      <c r="N69" s="1541">
        <v>78.400000000000006</v>
      </c>
      <c r="O69" s="1541"/>
      <c r="P69" s="1392"/>
      <c r="Q69" s="1481">
        <f>+M69</f>
        <v>78.400000000000006</v>
      </c>
      <c r="R69" s="1403">
        <f>+Q69</f>
        <v>78.400000000000006</v>
      </c>
      <c r="S69" s="1284" t="s">
        <v>58</v>
      </c>
      <c r="T69" s="1508">
        <v>55</v>
      </c>
      <c r="U69" s="808">
        <v>55</v>
      </c>
      <c r="V69" s="808">
        <v>55</v>
      </c>
      <c r="W69" s="1527">
        <v>55</v>
      </c>
    </row>
    <row r="70" spans="1:23" ht="26.25" customHeight="1" x14ac:dyDescent="0.2">
      <c r="A70" s="2668"/>
      <c r="B70" s="2413"/>
      <c r="C70" s="2910"/>
      <c r="D70" s="2414"/>
      <c r="E70" s="2685"/>
      <c r="F70" s="2044"/>
      <c r="G70" s="2912"/>
      <c r="H70" s="2022"/>
      <c r="I70" s="2817"/>
      <c r="J70" s="692" t="s">
        <v>61</v>
      </c>
      <c r="K70" s="1818">
        <v>0.8</v>
      </c>
      <c r="L70" s="1818">
        <v>0.8</v>
      </c>
      <c r="M70" s="1422">
        <v>0.8</v>
      </c>
      <c r="N70" s="1584">
        <v>0.8</v>
      </c>
      <c r="O70" s="1584"/>
      <c r="P70" s="1819"/>
      <c r="Q70" s="1818">
        <v>0.8</v>
      </c>
      <c r="R70" s="1583">
        <v>0.8</v>
      </c>
      <c r="S70" s="1820" t="s">
        <v>194</v>
      </c>
      <c r="T70" s="1821">
        <v>1227</v>
      </c>
      <c r="U70" s="1805">
        <v>1985</v>
      </c>
      <c r="V70" s="1805">
        <v>1985</v>
      </c>
      <c r="W70" s="1806">
        <v>1985</v>
      </c>
    </row>
    <row r="71" spans="1:23" ht="30" customHeight="1" x14ac:dyDescent="0.2">
      <c r="A71" s="2668"/>
      <c r="B71" s="2413"/>
      <c r="C71" s="2910"/>
      <c r="D71" s="2819"/>
      <c r="E71" s="2686"/>
      <c r="F71" s="1772"/>
      <c r="G71" s="2976"/>
      <c r="H71" s="2022"/>
      <c r="I71" s="2829"/>
      <c r="J71" s="16" t="s">
        <v>36</v>
      </c>
      <c r="K71" s="1479"/>
      <c r="L71" s="1479"/>
      <c r="M71" s="1340">
        <f>+P71</f>
        <v>19</v>
      </c>
      <c r="N71" s="1543"/>
      <c r="O71" s="1543"/>
      <c r="P71" s="1391">
        <v>19</v>
      </c>
      <c r="Q71" s="1397"/>
      <c r="R71" s="1404"/>
      <c r="S71" s="1610" t="s">
        <v>643</v>
      </c>
      <c r="T71" s="1777"/>
      <c r="U71" s="1778">
        <v>1</v>
      </c>
      <c r="V71" s="1778"/>
      <c r="W71" s="1779"/>
    </row>
    <row r="72" spans="1:23" ht="16.5" customHeight="1" x14ac:dyDescent="0.2">
      <c r="A72" s="2020"/>
      <c r="B72" s="1975"/>
      <c r="C72" s="1990"/>
      <c r="D72" s="2005" t="s">
        <v>38</v>
      </c>
      <c r="E72" s="2625" t="s">
        <v>507</v>
      </c>
      <c r="F72" s="1557"/>
      <c r="G72" s="2911" t="s">
        <v>439</v>
      </c>
      <c r="H72" s="2022"/>
      <c r="I72" s="1997"/>
      <c r="J72" s="2024" t="s">
        <v>36</v>
      </c>
      <c r="K72" s="1481">
        <v>50.6</v>
      </c>
      <c r="L72" s="1481">
        <v>69.400000000000006</v>
      </c>
      <c r="M72" s="1416">
        <v>65.5</v>
      </c>
      <c r="N72" s="1541">
        <v>65.5</v>
      </c>
      <c r="O72" s="1541"/>
      <c r="P72" s="1392"/>
      <c r="Q72" s="1481">
        <v>53.8</v>
      </c>
      <c r="R72" s="1403">
        <v>45.9</v>
      </c>
      <c r="S72" s="2286" t="s">
        <v>622</v>
      </c>
      <c r="T72" s="1785" t="s">
        <v>295</v>
      </c>
      <c r="U72" s="1786" t="s">
        <v>492</v>
      </c>
      <c r="V72" s="1785" t="s">
        <v>492</v>
      </c>
      <c r="W72" s="1787" t="s">
        <v>492</v>
      </c>
    </row>
    <row r="73" spans="1:23" ht="19.5" customHeight="1" x14ac:dyDescent="0.2">
      <c r="A73" s="2020"/>
      <c r="B73" s="1975"/>
      <c r="C73" s="1990"/>
      <c r="D73" s="1981"/>
      <c r="E73" s="2694"/>
      <c r="F73" s="1614"/>
      <c r="G73" s="2917"/>
      <c r="H73" s="2022"/>
      <c r="I73" s="1997"/>
      <c r="J73" s="2007" t="s">
        <v>36</v>
      </c>
      <c r="K73" s="1479"/>
      <c r="L73" s="1479"/>
      <c r="M73" s="2033"/>
      <c r="N73" s="1542"/>
      <c r="O73" s="1542"/>
      <c r="P73" s="1393"/>
      <c r="Q73" s="1479"/>
      <c r="R73" s="2034"/>
      <c r="S73" s="1781" t="s">
        <v>623</v>
      </c>
      <c r="T73" s="1782" t="s">
        <v>488</v>
      </c>
      <c r="U73" s="1782" t="s">
        <v>488</v>
      </c>
      <c r="V73" s="1783" t="s">
        <v>488</v>
      </c>
      <c r="W73" s="1784"/>
    </row>
    <row r="74" spans="1:23" ht="30" customHeight="1" x14ac:dyDescent="0.2">
      <c r="A74" s="2020"/>
      <c r="B74" s="1975"/>
      <c r="C74" s="1990"/>
      <c r="D74" s="1981"/>
      <c r="E74" s="2695"/>
      <c r="F74" s="1351"/>
      <c r="G74" s="2976"/>
      <c r="H74" s="2022"/>
      <c r="I74" s="1997"/>
      <c r="J74" s="145"/>
      <c r="K74" s="1397"/>
      <c r="L74" s="1397"/>
      <c r="M74" s="1340"/>
      <c r="N74" s="1543"/>
      <c r="O74" s="1543"/>
      <c r="P74" s="1391"/>
      <c r="Q74" s="1397"/>
      <c r="R74" s="1404"/>
      <c r="S74" s="1490" t="s">
        <v>489</v>
      </c>
      <c r="T74" s="724" t="s">
        <v>490</v>
      </c>
      <c r="U74" s="724" t="s">
        <v>560</v>
      </c>
      <c r="V74" s="1598" t="s">
        <v>561</v>
      </c>
      <c r="W74" s="1567" t="s">
        <v>561</v>
      </c>
    </row>
    <row r="75" spans="1:23" ht="35.25" customHeight="1" x14ac:dyDescent="0.2">
      <c r="A75" s="2020"/>
      <c r="B75" s="1975"/>
      <c r="C75" s="1990"/>
      <c r="D75" s="2028" t="s">
        <v>53</v>
      </c>
      <c r="E75" s="2045" t="s">
        <v>129</v>
      </c>
      <c r="F75" s="1351"/>
      <c r="G75" s="1435" t="s">
        <v>440</v>
      </c>
      <c r="H75" s="2025"/>
      <c r="I75" s="1947"/>
      <c r="J75" s="145" t="s">
        <v>36</v>
      </c>
      <c r="K75" s="1397">
        <v>109</v>
      </c>
      <c r="L75" s="1397">
        <v>109</v>
      </c>
      <c r="M75" s="1340">
        <v>95</v>
      </c>
      <c r="N75" s="1543">
        <v>95</v>
      </c>
      <c r="O75" s="1554"/>
      <c r="P75" s="1775"/>
      <c r="Q75" s="1776">
        <v>95</v>
      </c>
      <c r="R75" s="1406">
        <v>95</v>
      </c>
      <c r="S75" s="1569" t="s">
        <v>57</v>
      </c>
      <c r="T75" s="1509">
        <v>9</v>
      </c>
      <c r="U75" s="851">
        <v>8</v>
      </c>
      <c r="V75" s="1509">
        <v>8</v>
      </c>
      <c r="W75" s="1070">
        <v>8</v>
      </c>
    </row>
    <row r="76" spans="1:23" ht="16.5" customHeight="1" thickBot="1" x14ac:dyDescent="0.25">
      <c r="A76" s="681"/>
      <c r="B76" s="1979"/>
      <c r="C76" s="686"/>
      <c r="D76" s="687"/>
      <c r="E76" s="688"/>
      <c r="F76" s="689"/>
      <c r="G76" s="689"/>
      <c r="H76" s="690"/>
      <c r="I76" s="2827" t="s">
        <v>224</v>
      </c>
      <c r="J76" s="2828"/>
      <c r="K76" s="1395">
        <f t="shared" ref="K76:R76" si="1">SUM(K67:K75)</f>
        <v>2281</v>
      </c>
      <c r="L76" s="1395">
        <f t="shared" si="1"/>
        <v>2450.3000000000002</v>
      </c>
      <c r="M76" s="1395">
        <f t="shared" si="1"/>
        <v>3042.6</v>
      </c>
      <c r="N76" s="1395">
        <f t="shared" si="1"/>
        <v>3023.6</v>
      </c>
      <c r="O76" s="1395">
        <f t="shared" si="1"/>
        <v>0</v>
      </c>
      <c r="P76" s="1395">
        <f t="shared" si="1"/>
        <v>19</v>
      </c>
      <c r="Q76" s="1395">
        <f t="shared" si="1"/>
        <v>2974.3</v>
      </c>
      <c r="R76" s="1407">
        <f t="shared" si="1"/>
        <v>3071.2</v>
      </c>
      <c r="S76" s="1570"/>
      <c r="T76" s="1505"/>
      <c r="U76" s="1505"/>
      <c r="V76" s="1505"/>
      <c r="W76" s="1348"/>
    </row>
    <row r="77" spans="1:23" ht="25.5" customHeight="1" x14ac:dyDescent="0.2">
      <c r="A77" s="2048" t="s">
        <v>9</v>
      </c>
      <c r="B77" s="1978" t="s">
        <v>9</v>
      </c>
      <c r="C77" s="1314" t="s">
        <v>38</v>
      </c>
      <c r="D77" s="1320"/>
      <c r="E77" s="1362" t="s">
        <v>115</v>
      </c>
      <c r="F77" s="1456"/>
      <c r="G77" s="1457"/>
      <c r="H77" s="2023" t="s">
        <v>40</v>
      </c>
      <c r="I77" s="1321"/>
      <c r="J77" s="1295"/>
      <c r="K77" s="1398"/>
      <c r="L77" s="1571"/>
      <c r="M77" s="1396"/>
      <c r="N77" s="1558"/>
      <c r="O77" s="1558"/>
      <c r="P77" s="1573"/>
      <c r="Q77" s="1398"/>
      <c r="R77" s="1571"/>
      <c r="S77" s="1322"/>
      <c r="T77" s="1506"/>
      <c r="U77" s="1536"/>
      <c r="V77" s="1536"/>
      <c r="W77" s="1525"/>
    </row>
    <row r="78" spans="1:23" ht="20.25" customHeight="1" x14ac:dyDescent="0.2">
      <c r="A78" s="2020"/>
      <c r="B78" s="1975"/>
      <c r="C78" s="1315"/>
      <c r="D78" s="1981" t="s">
        <v>9</v>
      </c>
      <c r="E78" s="2651" t="s">
        <v>429</v>
      </c>
      <c r="F78" s="2696" t="s">
        <v>170</v>
      </c>
      <c r="G78" s="2912" t="s">
        <v>463</v>
      </c>
      <c r="H78" s="2022"/>
      <c r="I78" s="2831" t="s">
        <v>225</v>
      </c>
      <c r="J78" s="1290" t="s">
        <v>36</v>
      </c>
      <c r="K78" s="1482">
        <v>22.8</v>
      </c>
      <c r="L78" s="1403">
        <v>22.8</v>
      </c>
      <c r="M78" s="2033">
        <f>+P78</f>
        <v>45</v>
      </c>
      <c r="N78" s="1541"/>
      <c r="O78" s="1542"/>
      <c r="P78" s="1574">
        <v>45</v>
      </c>
      <c r="Q78" s="1574"/>
      <c r="R78" s="1586"/>
      <c r="S78" s="2680" t="s">
        <v>624</v>
      </c>
      <c r="T78" s="2958">
        <v>20</v>
      </c>
      <c r="U78" s="1828">
        <v>60</v>
      </c>
      <c r="V78" s="1828">
        <v>80</v>
      </c>
      <c r="W78" s="2691">
        <v>100</v>
      </c>
    </row>
    <row r="79" spans="1:23" ht="20.25" customHeight="1" x14ac:dyDescent="0.2">
      <c r="A79" s="2020"/>
      <c r="B79" s="1975"/>
      <c r="C79" s="1315"/>
      <c r="D79" s="1981"/>
      <c r="E79" s="2673"/>
      <c r="F79" s="2696"/>
      <c r="G79" s="2912"/>
      <c r="H79" s="2022"/>
      <c r="I79" s="2953"/>
      <c r="J79" s="1305" t="s">
        <v>181</v>
      </c>
      <c r="K79" s="1402">
        <v>13</v>
      </c>
      <c r="L79" s="2034">
        <v>13</v>
      </c>
      <c r="M79" s="1553"/>
      <c r="N79" s="1542"/>
      <c r="O79" s="1542"/>
      <c r="P79" s="1574"/>
      <c r="Q79" s="1579">
        <v>7.1</v>
      </c>
      <c r="R79" s="1587"/>
      <c r="S79" s="2690"/>
      <c r="T79" s="2950"/>
      <c r="U79" s="1533"/>
      <c r="V79" s="1533"/>
      <c r="W79" s="2692"/>
    </row>
    <row r="80" spans="1:23" ht="26.25" customHeight="1" x14ac:dyDescent="0.2">
      <c r="A80" s="2020"/>
      <c r="B80" s="1975"/>
      <c r="C80" s="1315"/>
      <c r="D80" s="1981"/>
      <c r="E80" s="2673"/>
      <c r="F80" s="2696"/>
      <c r="G80" s="2912"/>
      <c r="H80" s="2022"/>
      <c r="I80" s="1306" t="s">
        <v>410</v>
      </c>
      <c r="J80" s="1307" t="s">
        <v>36</v>
      </c>
      <c r="K80" s="1422">
        <v>4</v>
      </c>
      <c r="L80" s="1583">
        <v>3</v>
      </c>
      <c r="M80" s="1422">
        <f>+N80+P80</f>
        <v>31</v>
      </c>
      <c r="N80" s="1584">
        <v>1</v>
      </c>
      <c r="O80" s="1584"/>
      <c r="P80" s="1585">
        <v>30</v>
      </c>
      <c r="Q80" s="1585">
        <v>1.5</v>
      </c>
      <c r="R80" s="1585">
        <v>1.5</v>
      </c>
      <c r="S80" s="2690"/>
      <c r="T80" s="2950"/>
      <c r="U80" s="1533"/>
      <c r="V80" s="1533"/>
      <c r="W80" s="2692"/>
    </row>
    <row r="81" spans="1:28" ht="20.25" customHeight="1" x14ac:dyDescent="0.2">
      <c r="A81" s="2020"/>
      <c r="B81" s="1975"/>
      <c r="C81" s="1315"/>
      <c r="D81" s="1981"/>
      <c r="E81" s="1993"/>
      <c r="F81" s="2696"/>
      <c r="G81" s="1344"/>
      <c r="H81" s="2022"/>
      <c r="I81" s="1822" t="s">
        <v>393</v>
      </c>
      <c r="J81" s="1823" t="s">
        <v>36</v>
      </c>
      <c r="K81" s="1824">
        <v>2</v>
      </c>
      <c r="L81" s="1825">
        <v>2</v>
      </c>
      <c r="M81" s="1824">
        <v>2</v>
      </c>
      <c r="N81" s="1826">
        <v>2</v>
      </c>
      <c r="O81" s="1826"/>
      <c r="P81" s="1827"/>
      <c r="Q81" s="1827">
        <v>1.6</v>
      </c>
      <c r="R81" s="1827">
        <v>2</v>
      </c>
      <c r="S81" s="2830"/>
      <c r="T81" s="2951"/>
      <c r="U81" s="1534"/>
      <c r="V81" s="1534"/>
      <c r="W81" s="2952"/>
    </row>
    <row r="82" spans="1:28" ht="22.5" customHeight="1" x14ac:dyDescent="0.2">
      <c r="A82" s="2020"/>
      <c r="B82" s="1975"/>
      <c r="C82" s="1315"/>
      <c r="D82" s="1981"/>
      <c r="E82" s="1993"/>
      <c r="F82" s="1360"/>
      <c r="G82" s="1344"/>
      <c r="H82" s="2022"/>
      <c r="I82" s="2832" t="s">
        <v>225</v>
      </c>
      <c r="J82" s="365" t="s">
        <v>36</v>
      </c>
      <c r="K82" s="1402">
        <v>12.4</v>
      </c>
      <c r="L82" s="2034">
        <v>12.4</v>
      </c>
      <c r="M82" s="2033"/>
      <c r="N82" s="1542"/>
      <c r="O82" s="1542"/>
      <c r="P82" s="1574"/>
      <c r="Q82" s="1574"/>
      <c r="R82" s="2034"/>
      <c r="S82" s="2680" t="s">
        <v>625</v>
      </c>
      <c r="T82" s="2950">
        <v>50</v>
      </c>
      <c r="U82" s="1533">
        <v>60</v>
      </c>
      <c r="V82" s="1533">
        <v>80</v>
      </c>
      <c r="W82" s="2692">
        <v>100</v>
      </c>
    </row>
    <row r="83" spans="1:28" ht="21" customHeight="1" x14ac:dyDescent="0.2">
      <c r="A83" s="2020"/>
      <c r="B83" s="1975"/>
      <c r="C83" s="1315"/>
      <c r="D83" s="1981"/>
      <c r="E83" s="1993"/>
      <c r="F83" s="1360"/>
      <c r="G83" s="1344"/>
      <c r="H83" s="2022"/>
      <c r="I83" s="2953"/>
      <c r="J83" s="365" t="s">
        <v>181</v>
      </c>
      <c r="K83" s="1402">
        <v>2.2999999999999998</v>
      </c>
      <c r="L83" s="2034">
        <v>2.2999999999999998</v>
      </c>
      <c r="M83" s="1553">
        <v>5</v>
      </c>
      <c r="N83" s="1542">
        <v>5</v>
      </c>
      <c r="O83" s="1542"/>
      <c r="P83" s="1574"/>
      <c r="Q83" s="1579"/>
      <c r="R83" s="2034"/>
      <c r="S83" s="2690"/>
      <c r="T83" s="2950"/>
      <c r="U83" s="1533"/>
      <c r="V83" s="1533"/>
      <c r="W83" s="2692"/>
      <c r="Y83" s="14"/>
      <c r="Z83" s="14"/>
      <c r="AA83" s="14"/>
      <c r="AB83" s="14"/>
    </row>
    <row r="84" spans="1:28" ht="25.5" customHeight="1" x14ac:dyDescent="0.2">
      <c r="A84" s="2020"/>
      <c r="B84" s="1975"/>
      <c r="C84" s="1315"/>
      <c r="D84" s="1981"/>
      <c r="E84" s="1993"/>
      <c r="F84" s="1360"/>
      <c r="G84" s="1344"/>
      <c r="H84" s="2022"/>
      <c r="I84" s="1304" t="s">
        <v>410</v>
      </c>
      <c r="J84" s="1307" t="s">
        <v>36</v>
      </c>
      <c r="K84" s="1572">
        <v>5</v>
      </c>
      <c r="L84" s="1583">
        <v>5</v>
      </c>
      <c r="M84" s="1553">
        <f>+N84+P84</f>
        <v>9</v>
      </c>
      <c r="N84" s="1584">
        <v>4</v>
      </c>
      <c r="O84" s="1584"/>
      <c r="P84" s="1585">
        <v>5</v>
      </c>
      <c r="Q84" s="1579">
        <f>1+35</f>
        <v>36</v>
      </c>
      <c r="R84" s="1583">
        <v>1.5</v>
      </c>
      <c r="S84" s="2690"/>
      <c r="T84" s="2950"/>
      <c r="U84" s="1533"/>
      <c r="V84" s="1533"/>
      <c r="W84" s="2692"/>
      <c r="Y84" s="2331" t="s">
        <v>36</v>
      </c>
      <c r="Z84" s="2332">
        <f>SUMIF(J78:J117,"SB",M78:M117)</f>
        <v>1182.8</v>
      </c>
      <c r="AA84" s="2332">
        <f>SUMIF(J78:J117,"SB",Q78:Q117)</f>
        <v>1115</v>
      </c>
      <c r="AB84" s="2332">
        <f>SUMIF(J78:J117,"SB",R78:R117)</f>
        <v>740.8</v>
      </c>
    </row>
    <row r="85" spans="1:28" ht="18" customHeight="1" x14ac:dyDescent="0.2">
      <c r="A85" s="2020"/>
      <c r="B85" s="1975"/>
      <c r="C85" s="1315"/>
      <c r="D85" s="1981"/>
      <c r="E85" s="1993"/>
      <c r="F85" s="1360"/>
      <c r="G85" s="1344"/>
      <c r="H85" s="2022"/>
      <c r="I85" s="1308" t="s">
        <v>393</v>
      </c>
      <c r="J85" s="1291" t="s">
        <v>36</v>
      </c>
      <c r="K85" s="1400">
        <v>2</v>
      </c>
      <c r="L85" s="1404">
        <v>2</v>
      </c>
      <c r="M85" s="1340">
        <v>2</v>
      </c>
      <c r="N85" s="1543">
        <v>2</v>
      </c>
      <c r="O85" s="1543"/>
      <c r="P85" s="1575"/>
      <c r="Q85" s="1575">
        <v>1.6</v>
      </c>
      <c r="R85" s="1404">
        <v>2</v>
      </c>
      <c r="S85" s="2830"/>
      <c r="T85" s="2951"/>
      <c r="U85" s="1534"/>
      <c r="V85" s="1534"/>
      <c r="W85" s="2952"/>
      <c r="Y85" s="2331" t="s">
        <v>605</v>
      </c>
      <c r="Z85" s="2332">
        <f>SUMIF(J79:J117,"SB(VR)",M79:M117)</f>
        <v>14.3</v>
      </c>
      <c r="AA85" s="2332">
        <f>SUMIF(J79:J117,"SB(VR)",Q79:Q117)</f>
        <v>14.3</v>
      </c>
      <c r="AB85" s="2332">
        <f>SUMIF(J79:J117,"SB(VR)",R79:R117)</f>
        <v>0</v>
      </c>
    </row>
    <row r="86" spans="1:28" ht="19.5" customHeight="1" x14ac:dyDescent="0.2">
      <c r="A86" s="2020"/>
      <c r="B86" s="1975"/>
      <c r="C86" s="1315"/>
      <c r="D86" s="1981"/>
      <c r="E86" s="1993"/>
      <c r="F86" s="1360"/>
      <c r="G86" s="1344"/>
      <c r="H86" s="2022"/>
      <c r="I86" s="2831" t="s">
        <v>225</v>
      </c>
      <c r="J86" s="1290" t="s">
        <v>36</v>
      </c>
      <c r="K86" s="1482">
        <v>54.8</v>
      </c>
      <c r="L86" s="1403">
        <v>54.8</v>
      </c>
      <c r="M86" s="1416">
        <f>+N86+P86</f>
        <v>45.9</v>
      </c>
      <c r="N86" s="1541">
        <v>0.9</v>
      </c>
      <c r="O86" s="1541"/>
      <c r="P86" s="1576">
        <v>45</v>
      </c>
      <c r="Q86" s="1576">
        <v>0.6</v>
      </c>
      <c r="R86" s="1403"/>
      <c r="S86" s="2680" t="s">
        <v>626</v>
      </c>
      <c r="T86" s="1802">
        <v>40</v>
      </c>
      <c r="U86" s="1533">
        <v>60</v>
      </c>
      <c r="V86" s="1533">
        <v>80</v>
      </c>
      <c r="W86" s="2036">
        <v>100</v>
      </c>
      <c r="Y86" s="2331" t="s">
        <v>61</v>
      </c>
      <c r="Z86" s="2332">
        <f>SUMIF(J80:J117,"SB(SP)",M80:M117)</f>
        <v>32.700000000000003</v>
      </c>
      <c r="AA86" s="2332">
        <f>SUMIF(J80:J117,"SB(SP)",Q80:Q117)</f>
        <v>12.8</v>
      </c>
      <c r="AB86" s="2332">
        <f>SUMIF(J80:J117,"SB(SP)",R80:R117)</f>
        <v>12.8</v>
      </c>
    </row>
    <row r="87" spans="1:28" ht="19.5" customHeight="1" x14ac:dyDescent="0.2">
      <c r="A87" s="2020"/>
      <c r="B87" s="1975"/>
      <c r="C87" s="1315"/>
      <c r="D87" s="1981"/>
      <c r="E87" s="1993"/>
      <c r="F87" s="1360"/>
      <c r="G87" s="1344"/>
      <c r="H87" s="2022"/>
      <c r="I87" s="2953"/>
      <c r="J87" s="1305" t="s">
        <v>181</v>
      </c>
      <c r="K87" s="1438">
        <v>24.5</v>
      </c>
      <c r="L87" s="1405">
        <v>24.5</v>
      </c>
      <c r="M87" s="1553">
        <f>+N87</f>
        <v>9.3000000000000007</v>
      </c>
      <c r="N87" s="1559">
        <v>9.3000000000000007</v>
      </c>
      <c r="O87" s="1559"/>
      <c r="P87" s="1579"/>
      <c r="Q87" s="1579">
        <v>7.2</v>
      </c>
      <c r="R87" s="1405"/>
      <c r="S87" s="2690"/>
      <c r="T87" s="1802"/>
      <c r="U87" s="1533"/>
      <c r="V87" s="1533"/>
      <c r="W87" s="2036"/>
      <c r="Y87" s="2331" t="s">
        <v>340</v>
      </c>
      <c r="Z87" s="2332">
        <f>SUMIF(J81:J118,"SB(SPL)",M81:M118)</f>
        <v>0</v>
      </c>
      <c r="AA87" s="2332">
        <f>SUMIF(J81:J118,"SB(SPL)",Q81:Q118)</f>
        <v>0</v>
      </c>
      <c r="AB87" s="2332">
        <f>SUMIF(J81:J118,"SB(SPL)",R81:R118)</f>
        <v>0</v>
      </c>
    </row>
    <row r="88" spans="1:28" ht="27" customHeight="1" x14ac:dyDescent="0.2">
      <c r="A88" s="2020"/>
      <c r="B88" s="1975"/>
      <c r="C88" s="1315"/>
      <c r="D88" s="1981"/>
      <c r="E88" s="1993"/>
      <c r="F88" s="1360"/>
      <c r="G88" s="1344"/>
      <c r="H88" s="2022"/>
      <c r="I88" s="1308" t="s">
        <v>410</v>
      </c>
      <c r="J88" s="1291" t="s">
        <v>36</v>
      </c>
      <c r="K88" s="1438">
        <v>3</v>
      </c>
      <c r="L88" s="1405">
        <v>3</v>
      </c>
      <c r="M88" s="1422">
        <f>+N88+P88</f>
        <v>31</v>
      </c>
      <c r="N88" s="1542">
        <v>1</v>
      </c>
      <c r="O88" s="1542"/>
      <c r="P88" s="1574">
        <v>30</v>
      </c>
      <c r="Q88" s="1402">
        <v>1.5</v>
      </c>
      <c r="R88" s="2034">
        <v>1.5</v>
      </c>
      <c r="S88" s="2830"/>
      <c r="T88" s="1501"/>
      <c r="U88" s="1534"/>
      <c r="V88" s="1534"/>
      <c r="W88" s="2037"/>
      <c r="Y88" s="2331"/>
      <c r="Z88" s="2331"/>
      <c r="AA88" s="2331"/>
      <c r="AB88" s="2331"/>
    </row>
    <row r="89" spans="1:28" ht="25.5" customHeight="1" x14ac:dyDescent="0.2">
      <c r="A89" s="2020"/>
      <c r="B89" s="1975"/>
      <c r="C89" s="1315"/>
      <c r="D89" s="1981"/>
      <c r="E89" s="1993"/>
      <c r="F89" s="1390"/>
      <c r="G89" s="1344"/>
      <c r="H89" s="2022"/>
      <c r="I89" s="2831" t="s">
        <v>225</v>
      </c>
      <c r="J89" s="1290" t="s">
        <v>36</v>
      </c>
      <c r="K89" s="1482">
        <v>29.8</v>
      </c>
      <c r="L89" s="1403">
        <v>29.8</v>
      </c>
      <c r="M89" s="1481">
        <f>+P89</f>
        <v>177.8</v>
      </c>
      <c r="N89" s="1541"/>
      <c r="O89" s="1541"/>
      <c r="P89" s="1547">
        <v>177.8</v>
      </c>
      <c r="Q89" s="1482">
        <v>350</v>
      </c>
      <c r="R89" s="1403">
        <v>176</v>
      </c>
      <c r="S89" s="2040" t="s">
        <v>627</v>
      </c>
      <c r="T89" s="1829">
        <v>1</v>
      </c>
      <c r="U89" s="1828">
        <v>3</v>
      </c>
      <c r="V89" s="1828">
        <v>3</v>
      </c>
      <c r="W89" s="2035">
        <v>2</v>
      </c>
      <c r="Y89" s="2331"/>
      <c r="Z89" s="2333">
        <f>Z88+Z87+Z86+Z85+Z84</f>
        <v>1229.8</v>
      </c>
      <c r="AA89" s="2333">
        <f>AA88+AA87+AA86+AA85+AA84</f>
        <v>1142.0999999999999</v>
      </c>
      <c r="AB89" s="2333">
        <f t="shared" ref="AB89" si="2">AB88+AB87+AB86+AB85+AB84</f>
        <v>753.6</v>
      </c>
    </row>
    <row r="90" spans="1:28" ht="20.25" customHeight="1" x14ac:dyDescent="0.2">
      <c r="A90" s="2020"/>
      <c r="B90" s="1975"/>
      <c r="C90" s="1315"/>
      <c r="D90" s="1981"/>
      <c r="E90" s="1993"/>
      <c r="F90" s="1390"/>
      <c r="G90" s="1344"/>
      <c r="H90" s="2022"/>
      <c r="I90" s="2832"/>
      <c r="J90" s="1305"/>
      <c r="K90" s="1438"/>
      <c r="L90" s="1405"/>
      <c r="M90" s="1553"/>
      <c r="N90" s="1559"/>
      <c r="O90" s="1559"/>
      <c r="P90" s="1579"/>
      <c r="Q90" s="1438"/>
      <c r="R90" s="1405"/>
      <c r="S90" s="1830"/>
      <c r="T90" s="1831"/>
      <c r="U90" s="1832"/>
      <c r="V90" s="1832"/>
      <c r="W90" s="1833"/>
      <c r="Y90" s="14"/>
      <c r="Z90" s="14"/>
      <c r="AA90" s="14"/>
      <c r="AB90" s="14"/>
    </row>
    <row r="91" spans="1:28" ht="25.5" customHeight="1" x14ac:dyDescent="0.2">
      <c r="A91" s="2020"/>
      <c r="B91" s="1975"/>
      <c r="C91" s="1315"/>
      <c r="D91" s="2006"/>
      <c r="E91" s="1991"/>
      <c r="F91" s="1436"/>
      <c r="G91" s="1345"/>
      <c r="H91" s="2025"/>
      <c r="I91" s="2833"/>
      <c r="J91" s="1291" t="s">
        <v>36</v>
      </c>
      <c r="K91" s="1400">
        <v>2</v>
      </c>
      <c r="L91" s="1404">
        <v>2</v>
      </c>
      <c r="M91" s="1340">
        <f>+P91</f>
        <v>15</v>
      </c>
      <c r="N91" s="1543"/>
      <c r="O91" s="1543"/>
      <c r="P91" s="1575">
        <v>15</v>
      </c>
      <c r="Q91" s="1400">
        <v>10</v>
      </c>
      <c r="R91" s="1404">
        <v>1</v>
      </c>
      <c r="S91" s="2042" t="s">
        <v>386</v>
      </c>
      <c r="T91" s="1501">
        <v>2</v>
      </c>
      <c r="U91" s="1534">
        <v>2</v>
      </c>
      <c r="V91" s="1534">
        <v>2</v>
      </c>
      <c r="W91" s="2037">
        <v>1</v>
      </c>
      <c r="Z91" s="2191"/>
    </row>
    <row r="92" spans="1:28" ht="21" customHeight="1" x14ac:dyDescent="0.2">
      <c r="A92" s="2020"/>
      <c r="B92" s="1975"/>
      <c r="C92" s="1990"/>
      <c r="D92" s="2066" t="s">
        <v>11</v>
      </c>
      <c r="E92" s="2673" t="s">
        <v>495</v>
      </c>
      <c r="F92" s="1999"/>
      <c r="G92" s="2903"/>
      <c r="H92" s="2022"/>
      <c r="I92" s="2823" t="s">
        <v>225</v>
      </c>
      <c r="J92" s="2024" t="s">
        <v>36</v>
      </c>
      <c r="K92" s="1482"/>
      <c r="L92" s="1403"/>
      <c r="M92" s="1416">
        <v>10</v>
      </c>
      <c r="N92" s="1541">
        <v>10</v>
      </c>
      <c r="O92" s="1541"/>
      <c r="P92" s="1576"/>
      <c r="Q92" s="1482">
        <v>10</v>
      </c>
      <c r="R92" s="1403">
        <v>10</v>
      </c>
      <c r="S92" s="2680" t="s">
        <v>563</v>
      </c>
      <c r="T92" s="1829"/>
      <c r="U92" s="1828">
        <v>1</v>
      </c>
      <c r="V92" s="1828">
        <v>1</v>
      </c>
      <c r="W92" s="2035">
        <v>1</v>
      </c>
    </row>
    <row r="93" spans="1:28" ht="21.75" customHeight="1" x14ac:dyDescent="0.2">
      <c r="A93" s="2020"/>
      <c r="B93" s="1975"/>
      <c r="C93" s="1315"/>
      <c r="D93" s="2006"/>
      <c r="E93" s="2662"/>
      <c r="F93" s="2029"/>
      <c r="G93" s="2904"/>
      <c r="H93" s="2025"/>
      <c r="I93" s="2824"/>
      <c r="J93" s="145"/>
      <c r="K93" s="1400"/>
      <c r="L93" s="1404"/>
      <c r="M93" s="1340"/>
      <c r="N93" s="1543"/>
      <c r="O93" s="1543"/>
      <c r="P93" s="1575"/>
      <c r="Q93" s="1404"/>
      <c r="R93" s="1404"/>
      <c r="S93" s="2689"/>
      <c r="T93" s="1511"/>
      <c r="U93" s="1323"/>
      <c r="V93" s="1323"/>
      <c r="W93" s="1529"/>
    </row>
    <row r="94" spans="1:28" ht="15.75" customHeight="1" x14ac:dyDescent="0.2">
      <c r="A94" s="2020"/>
      <c r="B94" s="1975"/>
      <c r="C94" s="1315"/>
      <c r="D94" s="2005" t="s">
        <v>38</v>
      </c>
      <c r="E94" s="2651" t="s">
        <v>332</v>
      </c>
      <c r="F94" s="2834" t="s">
        <v>170</v>
      </c>
      <c r="G94" s="2979" t="s">
        <v>443</v>
      </c>
      <c r="H94" s="2022"/>
      <c r="I94" s="2817" t="s">
        <v>245</v>
      </c>
      <c r="J94" s="2024" t="s">
        <v>36</v>
      </c>
      <c r="K94" s="1401">
        <v>520.6</v>
      </c>
      <c r="L94" s="1580">
        <v>520.6</v>
      </c>
      <c r="M94" s="1577">
        <v>610.4</v>
      </c>
      <c r="N94" s="1582">
        <v>610.4</v>
      </c>
      <c r="O94" s="1582">
        <v>321.5</v>
      </c>
      <c r="P94" s="1578"/>
      <c r="Q94" s="1401">
        <v>560.79999999999995</v>
      </c>
      <c r="R94" s="1580">
        <v>536.20000000000005</v>
      </c>
      <c r="S94" s="1480" t="s">
        <v>521</v>
      </c>
      <c r="T94" s="1507">
        <v>20.5</v>
      </c>
      <c r="U94" s="1537">
        <v>20.5</v>
      </c>
      <c r="V94" s="1537">
        <v>20.5</v>
      </c>
      <c r="W94" s="1526">
        <v>20.5</v>
      </c>
    </row>
    <row r="95" spans="1:28" ht="15.75" customHeight="1" x14ac:dyDescent="0.2">
      <c r="A95" s="2020"/>
      <c r="B95" s="1975"/>
      <c r="C95" s="1315"/>
      <c r="D95" s="1316"/>
      <c r="E95" s="2673"/>
      <c r="F95" s="2835"/>
      <c r="G95" s="2980"/>
      <c r="H95" s="2022"/>
      <c r="I95" s="2829"/>
      <c r="J95" s="2007"/>
      <c r="K95" s="1402"/>
      <c r="L95" s="2034"/>
      <c r="M95" s="2033"/>
      <c r="N95" s="1542"/>
      <c r="O95" s="1542"/>
      <c r="P95" s="1574"/>
      <c r="Q95" s="1402"/>
      <c r="R95" s="2034"/>
      <c r="S95" s="1480" t="s">
        <v>522</v>
      </c>
      <c r="T95" s="1510">
        <v>107</v>
      </c>
      <c r="U95" s="1538">
        <v>107</v>
      </c>
      <c r="V95" s="1538">
        <v>107</v>
      </c>
      <c r="W95" s="1528">
        <v>107</v>
      </c>
    </row>
    <row r="96" spans="1:28" ht="15.75" customHeight="1" x14ac:dyDescent="0.2">
      <c r="A96" s="2020"/>
      <c r="B96" s="1964"/>
      <c r="C96" s="1990"/>
      <c r="D96" s="1981"/>
      <c r="E96" s="2673"/>
      <c r="F96" s="2835"/>
      <c r="G96" s="2980"/>
      <c r="H96" s="2022"/>
      <c r="I96" s="2829"/>
      <c r="J96" s="2007"/>
      <c r="K96" s="2309"/>
      <c r="L96" s="2310"/>
      <c r="M96" s="2033"/>
      <c r="N96" s="1542"/>
      <c r="O96" s="1542"/>
      <c r="P96" s="1574"/>
      <c r="Q96" s="1402"/>
      <c r="R96" s="2034"/>
      <c r="S96" s="1560" t="s">
        <v>519</v>
      </c>
      <c r="T96" s="1502">
        <v>5</v>
      </c>
      <c r="U96" s="1336">
        <v>5</v>
      </c>
      <c r="V96" s="1336">
        <v>5</v>
      </c>
      <c r="W96" s="1522">
        <v>5</v>
      </c>
    </row>
    <row r="97" spans="1:23" ht="27" customHeight="1" x14ac:dyDescent="0.2">
      <c r="A97" s="2020"/>
      <c r="B97" s="1975"/>
      <c r="C97" s="1315"/>
      <c r="D97" s="1316"/>
      <c r="E97" s="2673"/>
      <c r="F97" s="2835"/>
      <c r="G97" s="2980"/>
      <c r="H97" s="2022"/>
      <c r="I97" s="2829"/>
      <c r="J97" s="2007"/>
      <c r="K97" s="2033"/>
      <c r="L97" s="2034"/>
      <c r="M97" s="2033"/>
      <c r="N97" s="1542"/>
      <c r="O97" s="1542"/>
      <c r="P97" s="1574"/>
      <c r="Q97" s="1402"/>
      <c r="R97" s="2034"/>
      <c r="S97" s="693" t="s">
        <v>644</v>
      </c>
      <c r="T97" s="1510">
        <v>1</v>
      </c>
      <c r="U97" s="1538">
        <v>1</v>
      </c>
      <c r="V97" s="1538">
        <v>1</v>
      </c>
      <c r="W97" s="1528">
        <v>1</v>
      </c>
    </row>
    <row r="98" spans="1:23" ht="39.75" customHeight="1" x14ac:dyDescent="0.2">
      <c r="A98" s="2020"/>
      <c r="B98" s="1975"/>
      <c r="C98" s="1315"/>
      <c r="D98" s="1316"/>
      <c r="E98" s="2673"/>
      <c r="F98" s="2835"/>
      <c r="G98" s="2980"/>
      <c r="H98" s="2022"/>
      <c r="I98" s="2829"/>
      <c r="J98" s="2007"/>
      <c r="K98" s="1402"/>
      <c r="L98" s="2034"/>
      <c r="M98" s="2033"/>
      <c r="N98" s="1542"/>
      <c r="O98" s="1542"/>
      <c r="P98" s="1574"/>
      <c r="Q98" s="1402"/>
      <c r="R98" s="2034"/>
      <c r="S98" s="1968" t="s">
        <v>564</v>
      </c>
      <c r="T98" s="1510"/>
      <c r="U98" s="1538">
        <v>584</v>
      </c>
      <c r="V98" s="1538">
        <v>28</v>
      </c>
      <c r="W98" s="1528"/>
    </row>
    <row r="99" spans="1:23" ht="29.25" customHeight="1" x14ac:dyDescent="0.2">
      <c r="A99" s="2020"/>
      <c r="B99" s="1975"/>
      <c r="C99" s="1315"/>
      <c r="D99" s="1316"/>
      <c r="E99" s="2673"/>
      <c r="F99" s="2835"/>
      <c r="G99" s="2980"/>
      <c r="H99" s="2022"/>
      <c r="I99" s="2829"/>
      <c r="J99" s="16" t="s">
        <v>36</v>
      </c>
      <c r="K99" s="1402"/>
      <c r="L99" s="2034"/>
      <c r="M99" s="2033"/>
      <c r="N99" s="1542"/>
      <c r="O99" s="1542"/>
      <c r="P99" s="1574"/>
      <c r="Q99" s="1402">
        <v>108.1</v>
      </c>
      <c r="R99" s="2034"/>
      <c r="S99" s="2285" t="s">
        <v>628</v>
      </c>
      <c r="T99" s="1510"/>
      <c r="U99" s="1538"/>
      <c r="V99" s="1538">
        <v>100</v>
      </c>
      <c r="W99" s="1528"/>
    </row>
    <row r="100" spans="1:23" ht="15.75" customHeight="1" x14ac:dyDescent="0.2">
      <c r="A100" s="2020"/>
      <c r="B100" s="1964"/>
      <c r="C100" s="1990"/>
      <c r="D100" s="1981"/>
      <c r="E100" s="2673"/>
      <c r="F100" s="2835"/>
      <c r="G100" s="2980"/>
      <c r="H100" s="2022"/>
      <c r="I100" s="2829"/>
      <c r="J100" s="2007"/>
      <c r="K100" s="1402"/>
      <c r="L100" s="2034"/>
      <c r="M100" s="2033"/>
      <c r="N100" s="1542"/>
      <c r="O100" s="1542"/>
      <c r="P100" s="1574"/>
      <c r="Q100" s="1402"/>
      <c r="R100" s="2034"/>
      <c r="S100" s="2137" t="s">
        <v>523</v>
      </c>
      <c r="T100" s="2116">
        <v>2</v>
      </c>
      <c r="U100" s="1834"/>
      <c r="V100" s="1834"/>
      <c r="W100" s="1835"/>
    </row>
    <row r="101" spans="1:23" ht="29.25" customHeight="1" x14ac:dyDescent="0.2">
      <c r="A101" s="680"/>
      <c r="B101" s="1975"/>
      <c r="C101" s="1315"/>
      <c r="D101" s="1316"/>
      <c r="E101" s="2673"/>
      <c r="F101" s="2835"/>
      <c r="G101" s="2980"/>
      <c r="H101" s="2022"/>
      <c r="I101" s="2829"/>
      <c r="J101" s="1437"/>
      <c r="K101" s="1438"/>
      <c r="L101" s="1405"/>
      <c r="M101" s="1553"/>
      <c r="N101" s="1559"/>
      <c r="O101" s="1559"/>
      <c r="P101" s="1579"/>
      <c r="Q101" s="1438"/>
      <c r="R101" s="1405"/>
      <c r="S101" s="2138" t="s">
        <v>403</v>
      </c>
      <c r="T101" s="2139">
        <v>100</v>
      </c>
      <c r="U101" s="1836"/>
      <c r="V101" s="1836"/>
      <c r="W101" s="1837"/>
    </row>
    <row r="102" spans="1:23" ht="15" customHeight="1" x14ac:dyDescent="0.2">
      <c r="A102" s="2020"/>
      <c r="B102" s="1975"/>
      <c r="C102" s="1315"/>
      <c r="D102" s="1316"/>
      <c r="E102" s="2673"/>
      <c r="F102" s="2835"/>
      <c r="G102" s="2980"/>
      <c r="H102" s="2022"/>
      <c r="I102" s="2829"/>
      <c r="J102" s="1588" t="s">
        <v>61</v>
      </c>
      <c r="K102" s="1589">
        <v>6.7</v>
      </c>
      <c r="L102" s="1590">
        <v>6.7</v>
      </c>
      <c r="M102" s="1591">
        <f>+N102</f>
        <v>7.7</v>
      </c>
      <c r="N102" s="1592">
        <v>7.7</v>
      </c>
      <c r="O102" s="1592"/>
      <c r="P102" s="1593"/>
      <c r="Q102" s="1589">
        <v>7.7</v>
      </c>
      <c r="R102" s="1590">
        <v>7.7</v>
      </c>
      <c r="S102" s="2825" t="s">
        <v>354</v>
      </c>
      <c r="T102" s="1594"/>
      <c r="U102" s="1596"/>
      <c r="V102" s="1594"/>
      <c r="W102" s="1595"/>
    </row>
    <row r="103" spans="1:23" ht="14.25" customHeight="1" x14ac:dyDescent="0.2">
      <c r="A103" s="2020"/>
      <c r="B103" s="1975"/>
      <c r="C103" s="1315"/>
      <c r="D103" s="1316"/>
      <c r="E103" s="1597"/>
      <c r="F103" s="2835"/>
      <c r="G103" s="2980"/>
      <c r="H103" s="2022"/>
      <c r="I103" s="2829"/>
      <c r="J103" s="1437" t="s">
        <v>340</v>
      </c>
      <c r="K103" s="1438">
        <v>1.1000000000000001</v>
      </c>
      <c r="L103" s="1405">
        <v>1.1000000000000001</v>
      </c>
      <c r="M103" s="1553"/>
      <c r="N103" s="1559"/>
      <c r="O103" s="1559"/>
      <c r="P103" s="1579"/>
      <c r="Q103" s="1438"/>
      <c r="R103" s="1405"/>
      <c r="S103" s="2826"/>
      <c r="T103" s="1537"/>
      <c r="U103" s="1537"/>
      <c r="V103" s="1537"/>
      <c r="W103" s="1526"/>
    </row>
    <row r="104" spans="1:23" ht="14.25" customHeight="1" x14ac:dyDescent="0.2">
      <c r="A104" s="2020"/>
      <c r="B104" s="1964"/>
      <c r="C104" s="1990"/>
      <c r="D104" s="1981"/>
      <c r="E104" s="2673" t="s">
        <v>421</v>
      </c>
      <c r="F104" s="1999"/>
      <c r="G104" s="1439"/>
      <c r="H104" s="2022"/>
      <c r="I104" s="1997"/>
      <c r="J104" s="2007" t="s">
        <v>36</v>
      </c>
      <c r="K104" s="1402">
        <v>62.4</v>
      </c>
      <c r="L104" s="2034">
        <v>62.4</v>
      </c>
      <c r="M104" s="2033"/>
      <c r="N104" s="1542"/>
      <c r="O104" s="1542"/>
      <c r="P104" s="1574"/>
      <c r="Q104" s="1402"/>
      <c r="R104" s="2034"/>
      <c r="S104" s="1148"/>
      <c r="T104" s="744"/>
      <c r="U104" s="744"/>
      <c r="V104" s="744"/>
      <c r="W104" s="1165"/>
    </row>
    <row r="105" spans="1:23" ht="14.25" customHeight="1" x14ac:dyDescent="0.2">
      <c r="A105" s="2020"/>
      <c r="B105" s="1975"/>
      <c r="C105" s="1315"/>
      <c r="D105" s="1981"/>
      <c r="E105" s="2673"/>
      <c r="F105" s="1999"/>
      <c r="G105" s="1439"/>
      <c r="H105" s="2022"/>
      <c r="I105" s="1997"/>
      <c r="J105" s="2007" t="s">
        <v>36</v>
      </c>
      <c r="K105" s="1402"/>
      <c r="L105" s="2034"/>
      <c r="M105" s="2033">
        <v>24.2</v>
      </c>
      <c r="N105" s="1542"/>
      <c r="O105" s="1542"/>
      <c r="P105" s="1574">
        <v>24.2</v>
      </c>
      <c r="Q105" s="1402">
        <v>24.2</v>
      </c>
      <c r="R105" s="2034"/>
      <c r="S105" s="1148" t="s">
        <v>493</v>
      </c>
      <c r="T105" s="744"/>
      <c r="U105" s="744">
        <v>2</v>
      </c>
      <c r="V105" s="744">
        <v>2</v>
      </c>
      <c r="W105" s="1165"/>
    </row>
    <row r="106" spans="1:23" ht="14.25" customHeight="1" x14ac:dyDescent="0.2">
      <c r="A106" s="2020"/>
      <c r="B106" s="1975"/>
      <c r="C106" s="1315"/>
      <c r="D106" s="1981"/>
      <c r="E106" s="2673"/>
      <c r="F106" s="1999"/>
      <c r="G106" s="1439"/>
      <c r="H106" s="2022"/>
      <c r="I106" s="1997"/>
      <c r="J106" s="2007" t="s">
        <v>36</v>
      </c>
      <c r="K106" s="1402"/>
      <c r="L106" s="2034"/>
      <c r="M106" s="2033">
        <v>20.3</v>
      </c>
      <c r="N106" s="1542"/>
      <c r="O106" s="1542"/>
      <c r="P106" s="1574">
        <v>20.3</v>
      </c>
      <c r="Q106" s="1402"/>
      <c r="R106" s="2034"/>
      <c r="S106" s="1148" t="s">
        <v>494</v>
      </c>
      <c r="T106" s="744"/>
      <c r="U106" s="744">
        <v>12</v>
      </c>
      <c r="V106" s="744"/>
      <c r="W106" s="1165"/>
    </row>
    <row r="107" spans="1:23" ht="14.25" customHeight="1" x14ac:dyDescent="0.2">
      <c r="A107" s="2020"/>
      <c r="B107" s="1975"/>
      <c r="C107" s="1315"/>
      <c r="D107" s="1981"/>
      <c r="E107" s="2673"/>
      <c r="F107" s="1999"/>
      <c r="G107" s="1439"/>
      <c r="H107" s="2022"/>
      <c r="I107" s="1997"/>
      <c r="J107" s="2007" t="s">
        <v>36</v>
      </c>
      <c r="K107" s="1402"/>
      <c r="L107" s="2034"/>
      <c r="M107" s="2033">
        <v>101.4</v>
      </c>
      <c r="N107" s="1542"/>
      <c r="O107" s="1542"/>
      <c r="P107" s="1574">
        <v>101.4</v>
      </c>
      <c r="Q107" s="1402"/>
      <c r="R107" s="2034"/>
      <c r="S107" s="1840" t="s">
        <v>565</v>
      </c>
      <c r="T107" s="1841"/>
      <c r="U107" s="1841">
        <v>1</v>
      </c>
      <c r="V107" s="1841"/>
      <c r="W107" s="1522"/>
    </row>
    <row r="108" spans="1:23" ht="14.25" customHeight="1" x14ac:dyDescent="0.2">
      <c r="A108" s="2020"/>
      <c r="B108" s="1975"/>
      <c r="C108" s="1315"/>
      <c r="D108" s="1981"/>
      <c r="E108" s="2673"/>
      <c r="F108" s="1999"/>
      <c r="G108" s="1439"/>
      <c r="H108" s="2022"/>
      <c r="I108" s="1997"/>
      <c r="J108" s="2007" t="s">
        <v>36</v>
      </c>
      <c r="K108" s="1402"/>
      <c r="L108" s="2034"/>
      <c r="M108" s="2033">
        <v>12.2</v>
      </c>
      <c r="N108" s="1542"/>
      <c r="O108" s="1542"/>
      <c r="P108" s="1574">
        <v>12.2</v>
      </c>
      <c r="Q108" s="1402"/>
      <c r="R108" s="2034"/>
      <c r="S108" s="1842" t="s">
        <v>566</v>
      </c>
      <c r="T108" s="744"/>
      <c r="U108" s="744">
        <v>1</v>
      </c>
      <c r="V108" s="744"/>
      <c r="W108" s="1916"/>
    </row>
    <row r="109" spans="1:23" ht="14.25" customHeight="1" x14ac:dyDescent="0.2">
      <c r="A109" s="2020"/>
      <c r="B109" s="1975"/>
      <c r="C109" s="1315"/>
      <c r="D109" s="1981"/>
      <c r="E109" s="2673"/>
      <c r="F109" s="1999"/>
      <c r="G109" s="1439"/>
      <c r="H109" s="2022"/>
      <c r="I109" s="1997"/>
      <c r="J109" s="2007" t="s">
        <v>36</v>
      </c>
      <c r="K109" s="1402"/>
      <c r="L109" s="2034"/>
      <c r="M109" s="2033">
        <v>36.299999999999997</v>
      </c>
      <c r="N109" s="1542"/>
      <c r="O109" s="1542"/>
      <c r="P109" s="1574">
        <v>36.299999999999997</v>
      </c>
      <c r="Q109" s="1402"/>
      <c r="R109" s="2034"/>
      <c r="S109" s="1842" t="s">
        <v>567</v>
      </c>
      <c r="T109" s="744"/>
      <c r="U109" s="744">
        <v>1</v>
      </c>
      <c r="V109" s="744"/>
      <c r="W109" s="1916"/>
    </row>
    <row r="110" spans="1:23" ht="14.25" customHeight="1" x14ac:dyDescent="0.2">
      <c r="A110" s="2020"/>
      <c r="B110" s="1975"/>
      <c r="C110" s="1315"/>
      <c r="D110" s="1981"/>
      <c r="E110" s="2673"/>
      <c r="F110" s="1999"/>
      <c r="G110" s="1439"/>
      <c r="H110" s="2022"/>
      <c r="I110" s="1997"/>
      <c r="J110" s="2007" t="s">
        <v>36</v>
      </c>
      <c r="K110" s="1402"/>
      <c r="L110" s="2034"/>
      <c r="M110" s="2033"/>
      <c r="N110" s="1542"/>
      <c r="O110" s="1542"/>
      <c r="P110" s="1574"/>
      <c r="Q110" s="1402"/>
      <c r="R110" s="2034"/>
      <c r="S110" s="2140" t="s">
        <v>520</v>
      </c>
      <c r="T110" s="1834">
        <v>2</v>
      </c>
      <c r="U110" s="1834"/>
      <c r="V110" s="1834"/>
      <c r="W110" s="1835"/>
    </row>
    <row r="111" spans="1:23" ht="13.5" customHeight="1" x14ac:dyDescent="0.2">
      <c r="A111" s="2020"/>
      <c r="B111" s="1975"/>
      <c r="C111" s="1315"/>
      <c r="D111" s="1981"/>
      <c r="E111" s="2673"/>
      <c r="F111" s="1999"/>
      <c r="G111" s="1439"/>
      <c r="H111" s="2022"/>
      <c r="I111" s="1997"/>
      <c r="J111" s="2007"/>
      <c r="K111" s="2033"/>
      <c r="L111" s="2034"/>
      <c r="M111" s="2033"/>
      <c r="N111" s="1542"/>
      <c r="O111" s="1542"/>
      <c r="P111" s="1574"/>
      <c r="Q111" s="1402"/>
      <c r="R111" s="2034"/>
      <c r="S111" s="2137" t="s">
        <v>407</v>
      </c>
      <c r="T111" s="2116">
        <v>2</v>
      </c>
      <c r="U111" s="2116"/>
      <c r="V111" s="1834"/>
      <c r="W111" s="1835"/>
    </row>
    <row r="112" spans="1:23" ht="14.25" customHeight="1" x14ac:dyDescent="0.2">
      <c r="A112" s="2020"/>
      <c r="B112" s="1975"/>
      <c r="C112" s="1315"/>
      <c r="D112" s="1981"/>
      <c r="E112" s="2802"/>
      <c r="F112" s="1351"/>
      <c r="G112" s="1440"/>
      <c r="H112" s="2022"/>
      <c r="I112" s="1997"/>
      <c r="J112" s="1197"/>
      <c r="K112" s="1340"/>
      <c r="L112" s="1404"/>
      <c r="M112" s="1340"/>
      <c r="N112" s="1543"/>
      <c r="O112" s="1543"/>
      <c r="P112" s="1575"/>
      <c r="Q112" s="1400"/>
      <c r="R112" s="1404"/>
      <c r="S112" s="2141" t="s">
        <v>406</v>
      </c>
      <c r="T112" s="2142">
        <v>1</v>
      </c>
      <c r="U112" s="1838"/>
      <c r="V112" s="1838"/>
      <c r="W112" s="1839"/>
    </row>
    <row r="113" spans="1:28" ht="14.25" customHeight="1" x14ac:dyDescent="0.2">
      <c r="A113" s="2668"/>
      <c r="B113" s="2521"/>
      <c r="C113" s="2910"/>
      <c r="D113" s="2818" t="s">
        <v>38</v>
      </c>
      <c r="E113" s="2651" t="s">
        <v>355</v>
      </c>
      <c r="F113" s="2836"/>
      <c r="G113" s="2977" t="s">
        <v>441</v>
      </c>
      <c r="H113" s="2381"/>
      <c r="I113" s="1997"/>
      <c r="J113" s="16" t="s">
        <v>36</v>
      </c>
      <c r="K113" s="1402">
        <v>9</v>
      </c>
      <c r="L113" s="2034">
        <v>9</v>
      </c>
      <c r="M113" s="2033">
        <v>9.3000000000000007</v>
      </c>
      <c r="N113" s="1542">
        <v>9.3000000000000007</v>
      </c>
      <c r="O113" s="1542">
        <v>2.9</v>
      </c>
      <c r="P113" s="1574"/>
      <c r="Q113" s="1402">
        <v>9.1</v>
      </c>
      <c r="R113" s="2034">
        <v>9.1</v>
      </c>
      <c r="S113" s="1480" t="s">
        <v>568</v>
      </c>
      <c r="T113" s="1502">
        <v>2</v>
      </c>
      <c r="U113" s="1336">
        <v>1</v>
      </c>
      <c r="V113" s="1336">
        <v>1</v>
      </c>
      <c r="W113" s="1522">
        <v>1</v>
      </c>
    </row>
    <row r="114" spans="1:28" ht="13.5" customHeight="1" x14ac:dyDescent="0.2">
      <c r="A114" s="2668"/>
      <c r="B114" s="2521"/>
      <c r="C114" s="2910"/>
      <c r="D114" s="2414"/>
      <c r="E114" s="2673"/>
      <c r="F114" s="2836"/>
      <c r="G114" s="2978"/>
      <c r="H114" s="2381"/>
      <c r="I114" s="1997"/>
      <c r="J114" s="2007" t="s">
        <v>61</v>
      </c>
      <c r="K114" s="1402">
        <v>5</v>
      </c>
      <c r="L114" s="2034">
        <v>5</v>
      </c>
      <c r="M114" s="2033">
        <f>+N114</f>
        <v>5</v>
      </c>
      <c r="N114" s="1542">
        <v>5</v>
      </c>
      <c r="O114" s="1542">
        <f>3</f>
        <v>3</v>
      </c>
      <c r="P114" s="1574"/>
      <c r="Q114" s="1402">
        <v>5.0999999999999996</v>
      </c>
      <c r="R114" s="2034">
        <v>5.0999999999999996</v>
      </c>
      <c r="S114" s="1328" t="s">
        <v>522</v>
      </c>
      <c r="T114" s="1512">
        <v>3</v>
      </c>
      <c r="U114" s="1539">
        <v>3</v>
      </c>
      <c r="V114" s="1539">
        <v>3</v>
      </c>
      <c r="W114" s="1530">
        <v>3</v>
      </c>
    </row>
    <row r="115" spans="1:28" ht="15.75" customHeight="1" x14ac:dyDescent="0.2">
      <c r="A115" s="2668"/>
      <c r="B115" s="2521"/>
      <c r="C115" s="2910"/>
      <c r="D115" s="2819"/>
      <c r="E115" s="2662"/>
      <c r="F115" s="2837"/>
      <c r="G115" s="2971"/>
      <c r="H115" s="2381"/>
      <c r="I115" s="1997"/>
      <c r="J115" s="145" t="s">
        <v>340</v>
      </c>
      <c r="K115" s="1400"/>
      <c r="L115" s="1404"/>
      <c r="M115" s="1340"/>
      <c r="N115" s="1543"/>
      <c r="O115" s="1543"/>
      <c r="P115" s="1575"/>
      <c r="Q115" s="1400"/>
      <c r="R115" s="1404"/>
      <c r="S115" s="1339"/>
      <c r="T115" s="1511"/>
      <c r="U115" s="1323"/>
      <c r="V115" s="1323"/>
      <c r="W115" s="1529"/>
    </row>
    <row r="116" spans="1:28" ht="15" customHeight="1" x14ac:dyDescent="0.2">
      <c r="A116" s="2020"/>
      <c r="B116" s="1975"/>
      <c r="C116" s="1990"/>
      <c r="D116" s="2066" t="s">
        <v>54</v>
      </c>
      <c r="E116" s="2673" t="s">
        <v>144</v>
      </c>
      <c r="F116" s="1999"/>
      <c r="G116" s="2903" t="s">
        <v>442</v>
      </c>
      <c r="H116" s="2022"/>
      <c r="I116" s="1997"/>
      <c r="J116" s="2024" t="s">
        <v>61</v>
      </c>
      <c r="K116" s="1482">
        <v>20</v>
      </c>
      <c r="L116" s="1403">
        <v>20</v>
      </c>
      <c r="M116" s="1416">
        <f>+N116</f>
        <v>20</v>
      </c>
      <c r="N116" s="1541">
        <v>20</v>
      </c>
      <c r="O116" s="1541">
        <f>9.5</f>
        <v>9.5</v>
      </c>
      <c r="P116" s="1576"/>
      <c r="Q116" s="1482"/>
      <c r="R116" s="1403"/>
      <c r="S116" s="1994" t="s">
        <v>609</v>
      </c>
      <c r="T116" s="1508">
        <v>2</v>
      </c>
      <c r="U116" s="808">
        <v>2</v>
      </c>
      <c r="V116" s="808">
        <v>2</v>
      </c>
      <c r="W116" s="1527">
        <v>2</v>
      </c>
    </row>
    <row r="117" spans="1:28" ht="14.25" customHeight="1" x14ac:dyDescent="0.2">
      <c r="A117" s="2020"/>
      <c r="B117" s="1975"/>
      <c r="C117" s="1315"/>
      <c r="D117" s="2006"/>
      <c r="E117" s="2662"/>
      <c r="F117" s="2029"/>
      <c r="G117" s="2904"/>
      <c r="H117" s="2025"/>
      <c r="I117" s="1947"/>
      <c r="J117" s="145" t="s">
        <v>340</v>
      </c>
      <c r="K117" s="1400">
        <v>3.1</v>
      </c>
      <c r="L117" s="1404">
        <v>3.1</v>
      </c>
      <c r="M117" s="1340"/>
      <c r="N117" s="1543"/>
      <c r="O117" s="1543"/>
      <c r="P117" s="1575"/>
      <c r="Q117" s="1400"/>
      <c r="R117" s="1404"/>
      <c r="S117" s="1339"/>
      <c r="T117" s="1511"/>
      <c r="U117" s="1323"/>
      <c r="V117" s="1323"/>
      <c r="W117" s="1529"/>
    </row>
    <row r="118" spans="1:28" ht="16.5" customHeight="1" thickBot="1" x14ac:dyDescent="0.25">
      <c r="A118" s="681"/>
      <c r="B118" s="1979"/>
      <c r="C118" s="686"/>
      <c r="D118" s="687"/>
      <c r="E118" s="688"/>
      <c r="F118" s="689"/>
      <c r="G118" s="689"/>
      <c r="H118" s="690"/>
      <c r="I118" s="2827" t="s">
        <v>224</v>
      </c>
      <c r="J118" s="2828"/>
      <c r="K118" s="1395">
        <f t="shared" ref="K118:R118" si="3">SUM(K78:K117)</f>
        <v>805.5</v>
      </c>
      <c r="L118" s="1395">
        <f t="shared" si="3"/>
        <v>804.5</v>
      </c>
      <c r="M118" s="1395">
        <f t="shared" si="3"/>
        <v>1229.8</v>
      </c>
      <c r="N118" s="1599">
        <f t="shared" si="3"/>
        <v>687.6</v>
      </c>
      <c r="O118" s="1599">
        <f t="shared" si="3"/>
        <v>336.9</v>
      </c>
      <c r="P118" s="1603">
        <f t="shared" si="3"/>
        <v>542.20000000000005</v>
      </c>
      <c r="Q118" s="1407">
        <f t="shared" si="3"/>
        <v>1142.0999999999999</v>
      </c>
      <c r="R118" s="1485">
        <f t="shared" si="3"/>
        <v>753.6</v>
      </c>
      <c r="S118" s="1329"/>
      <c r="T118" s="1505"/>
      <c r="U118" s="1618"/>
      <c r="V118" s="1618"/>
      <c r="W118" s="1348"/>
    </row>
    <row r="119" spans="1:28" ht="18" customHeight="1" x14ac:dyDescent="0.2">
      <c r="A119" s="2705" t="s">
        <v>9</v>
      </c>
      <c r="B119" s="2458" t="s">
        <v>9</v>
      </c>
      <c r="C119" s="2922" t="s">
        <v>53</v>
      </c>
      <c r="D119" s="2523"/>
      <c r="E119" s="2706" t="s">
        <v>116</v>
      </c>
      <c r="F119" s="2920" t="s">
        <v>432</v>
      </c>
      <c r="G119" s="1354"/>
      <c r="H119" s="2710" t="s">
        <v>40</v>
      </c>
      <c r="I119" s="1312"/>
      <c r="J119" s="1359"/>
      <c r="K119" s="1488"/>
      <c r="L119" s="1473"/>
      <c r="M119" s="1486"/>
      <c r="N119" s="1601"/>
      <c r="O119" s="1601"/>
      <c r="P119" s="2143"/>
      <c r="Q119" s="1473"/>
      <c r="R119" s="1488"/>
      <c r="S119" s="2470"/>
      <c r="T119" s="2901"/>
      <c r="U119" s="1982"/>
      <c r="V119" s="1982"/>
      <c r="W119" s="2701"/>
    </row>
    <row r="120" spans="1:28" ht="11.25" customHeight="1" x14ac:dyDescent="0.2">
      <c r="A120" s="2668"/>
      <c r="B120" s="2413"/>
      <c r="C120" s="2910"/>
      <c r="D120" s="2524"/>
      <c r="E120" s="2707"/>
      <c r="F120" s="2921"/>
      <c r="G120" s="1466"/>
      <c r="H120" s="2687"/>
      <c r="I120" s="1313"/>
      <c r="J120" s="1356"/>
      <c r="K120" s="1340"/>
      <c r="L120" s="1404"/>
      <c r="M120" s="1400"/>
      <c r="N120" s="1543"/>
      <c r="O120" s="1543"/>
      <c r="P120" s="1545"/>
      <c r="Q120" s="1404"/>
      <c r="R120" s="1340"/>
      <c r="S120" s="2439"/>
      <c r="T120" s="2902"/>
      <c r="U120" s="1983"/>
      <c r="V120" s="1983"/>
      <c r="W120" s="2702"/>
    </row>
    <row r="121" spans="1:28" ht="15.75" customHeight="1" x14ac:dyDescent="0.2">
      <c r="A121" s="2668"/>
      <c r="B121" s="2521"/>
      <c r="C121" s="2910"/>
      <c r="D121" s="2818" t="s">
        <v>9</v>
      </c>
      <c r="E121" s="2651" t="s">
        <v>387</v>
      </c>
      <c r="F121" s="2703" t="s">
        <v>184</v>
      </c>
      <c r="G121" s="2908" t="s">
        <v>464</v>
      </c>
      <c r="H121" s="2687"/>
      <c r="I121" s="1992"/>
      <c r="J121" s="1355" t="s">
        <v>36</v>
      </c>
      <c r="K121" s="1416">
        <v>2011.3</v>
      </c>
      <c r="L121" s="1403">
        <f>2011.3-33</f>
        <v>1978.3</v>
      </c>
      <c r="M121" s="1482">
        <f>+N121</f>
        <v>2108.4</v>
      </c>
      <c r="N121" s="1541">
        <v>2108.4</v>
      </c>
      <c r="O121" s="1541"/>
      <c r="P121" s="1546"/>
      <c r="Q121" s="1403">
        <v>2150.6</v>
      </c>
      <c r="R121" s="1416">
        <v>2193.6</v>
      </c>
      <c r="S121" s="1994" t="s">
        <v>196</v>
      </c>
      <c r="T121" s="1513">
        <v>14.6</v>
      </c>
      <c r="U121" s="1540">
        <v>14.9</v>
      </c>
      <c r="V121" s="1540">
        <v>15.2</v>
      </c>
      <c r="W121" s="1531">
        <v>15.5</v>
      </c>
    </row>
    <row r="122" spans="1:28" ht="24.75" customHeight="1" x14ac:dyDescent="0.2">
      <c r="A122" s="2668"/>
      <c r="B122" s="2521"/>
      <c r="C122" s="2910"/>
      <c r="D122" s="2819"/>
      <c r="E122" s="2662"/>
      <c r="F122" s="2704"/>
      <c r="G122" s="2909"/>
      <c r="H122" s="2687"/>
      <c r="I122" s="1317"/>
      <c r="J122" s="1356" t="s">
        <v>130</v>
      </c>
      <c r="K122" s="1340"/>
      <c r="L122" s="1404"/>
      <c r="M122" s="1400"/>
      <c r="N122" s="1543"/>
      <c r="O122" s="1543"/>
      <c r="P122" s="1545"/>
      <c r="Q122" s="1404"/>
      <c r="R122" s="1340"/>
      <c r="S122" s="61" t="s">
        <v>100</v>
      </c>
      <c r="T122" s="1514">
        <v>8.1999999999999993</v>
      </c>
      <c r="U122" s="2064">
        <v>9.1</v>
      </c>
      <c r="V122" s="1514">
        <v>9.3000000000000007</v>
      </c>
      <c r="W122" s="2063">
        <v>9.5</v>
      </c>
    </row>
    <row r="123" spans="1:28" ht="21" customHeight="1" x14ac:dyDescent="0.2">
      <c r="A123" s="2020"/>
      <c r="B123" s="1975"/>
      <c r="C123" s="1990"/>
      <c r="D123" s="1981" t="s">
        <v>11</v>
      </c>
      <c r="E123" s="2651" t="s">
        <v>470</v>
      </c>
      <c r="F123" s="2030"/>
      <c r="G123" s="2915" t="s">
        <v>444</v>
      </c>
      <c r="H123" s="2022"/>
      <c r="I123" s="3028" t="s">
        <v>223</v>
      </c>
      <c r="J123" s="1357" t="s">
        <v>36</v>
      </c>
      <c r="K123" s="1553">
        <v>25.9</v>
      </c>
      <c r="L123" s="1405">
        <f>25.9+33</f>
        <v>58.9</v>
      </c>
      <c r="M123" s="1438">
        <f>+N123</f>
        <v>65</v>
      </c>
      <c r="N123" s="1559">
        <v>65</v>
      </c>
      <c r="O123" s="1559"/>
      <c r="P123" s="1604"/>
      <c r="Q123" s="1405">
        <v>71.599999999999994</v>
      </c>
      <c r="R123" s="1553">
        <v>78.8</v>
      </c>
      <c r="S123" s="1144" t="s">
        <v>100</v>
      </c>
      <c r="T123" s="1515">
        <v>0.2</v>
      </c>
      <c r="U123" s="1515">
        <v>0.4</v>
      </c>
      <c r="V123" s="1515">
        <v>0.4</v>
      </c>
      <c r="W123" s="1151">
        <v>0.4</v>
      </c>
      <c r="Y123" s="14"/>
      <c r="Z123" s="14"/>
      <c r="AA123" s="14"/>
      <c r="AB123" s="14"/>
    </row>
    <row r="124" spans="1:28" ht="20.25" customHeight="1" x14ac:dyDescent="0.2">
      <c r="A124" s="2020"/>
      <c r="B124" s="1975"/>
      <c r="C124" s="1990"/>
      <c r="D124" s="2006"/>
      <c r="E124" s="2662"/>
      <c r="F124" s="1363"/>
      <c r="G124" s="2916"/>
      <c r="H124" s="2022"/>
      <c r="I124" s="3028"/>
      <c r="J124" s="312" t="s">
        <v>36</v>
      </c>
      <c r="K124" s="2033">
        <v>72.3</v>
      </c>
      <c r="L124" s="2034">
        <v>72.3</v>
      </c>
      <c r="M124" s="1402">
        <f>+N124</f>
        <v>89.1</v>
      </c>
      <c r="N124" s="1542">
        <v>89.1</v>
      </c>
      <c r="O124" s="1542"/>
      <c r="P124" s="1544"/>
      <c r="Q124" s="2034">
        <v>91.9</v>
      </c>
      <c r="R124" s="2033">
        <v>94.7</v>
      </c>
      <c r="S124" s="1560" t="s">
        <v>378</v>
      </c>
      <c r="T124" s="1516">
        <v>553</v>
      </c>
      <c r="U124" s="1516">
        <v>966</v>
      </c>
      <c r="V124" s="1516">
        <f>966+26</f>
        <v>992</v>
      </c>
      <c r="W124" s="1612">
        <f>966+26+26</f>
        <v>1018</v>
      </c>
      <c r="Y124" s="14"/>
      <c r="Z124" s="14"/>
      <c r="AA124" s="14"/>
      <c r="AB124" s="14"/>
    </row>
    <row r="125" spans="1:28" ht="27" customHeight="1" x14ac:dyDescent="0.2">
      <c r="A125" s="2020"/>
      <c r="B125" s="1975"/>
      <c r="C125" s="1990"/>
      <c r="D125" s="1289" t="s">
        <v>38</v>
      </c>
      <c r="E125" s="1991" t="s">
        <v>416</v>
      </c>
      <c r="F125" s="2029"/>
      <c r="G125" s="1441" t="s">
        <v>445</v>
      </c>
      <c r="H125" s="2022"/>
      <c r="I125" s="1992"/>
      <c r="J125" s="1358" t="s">
        <v>94</v>
      </c>
      <c r="K125" s="1615">
        <v>165.6</v>
      </c>
      <c r="L125" s="1406">
        <v>165.6</v>
      </c>
      <c r="M125" s="1483"/>
      <c r="N125" s="1554"/>
      <c r="O125" s="1554"/>
      <c r="P125" s="1605"/>
      <c r="Q125" s="1406"/>
      <c r="R125" s="1615"/>
      <c r="S125" s="66" t="s">
        <v>388</v>
      </c>
      <c r="T125" s="1499">
        <v>69</v>
      </c>
      <c r="U125" s="1335"/>
      <c r="V125" s="1499"/>
      <c r="W125" s="740"/>
      <c r="Y125" s="2331" t="s">
        <v>36</v>
      </c>
      <c r="Z125" s="2332">
        <f>SUMIF(J121:J133,"SB",M121:M133)</f>
        <v>2744.6</v>
      </c>
      <c r="AA125" s="2332">
        <f>SUMIF(J121:J133,"SB",Q121:Q133)</f>
        <v>2548.8000000000002</v>
      </c>
      <c r="AB125" s="2332">
        <f>SUMIF(J121:J133,"SB",R121:R133)</f>
        <v>2467.1</v>
      </c>
    </row>
    <row r="126" spans="1:28" ht="40.5" customHeight="1" x14ac:dyDescent="0.2">
      <c r="A126" s="2020"/>
      <c r="B126" s="1975"/>
      <c r="C126" s="1990"/>
      <c r="D126" s="1561" t="s">
        <v>53</v>
      </c>
      <c r="E126" s="1995" t="s">
        <v>422</v>
      </c>
      <c r="F126" s="1474"/>
      <c r="G126" s="1475" t="s">
        <v>465</v>
      </c>
      <c r="H126" s="2025"/>
      <c r="I126" s="1997"/>
      <c r="J126" s="1476" t="s">
        <v>36</v>
      </c>
      <c r="K126" s="1616"/>
      <c r="L126" s="1477"/>
      <c r="M126" s="1484">
        <v>10</v>
      </c>
      <c r="N126" s="1600"/>
      <c r="O126" s="1600"/>
      <c r="P126" s="1606">
        <v>10</v>
      </c>
      <c r="Q126" s="1607"/>
      <c r="R126" s="1617"/>
      <c r="S126" s="1918" t="s">
        <v>646</v>
      </c>
      <c r="T126" s="1517"/>
      <c r="U126" s="67">
        <v>100</v>
      </c>
      <c r="V126" s="1517"/>
      <c r="W126" s="68"/>
      <c r="Y126" s="2331" t="s">
        <v>181</v>
      </c>
      <c r="Z126" s="2333">
        <f>M128</f>
        <v>70.2</v>
      </c>
      <c r="AA126" s="2333">
        <f>Q128</f>
        <v>0</v>
      </c>
      <c r="AB126" s="2333">
        <f>R128</f>
        <v>0</v>
      </c>
    </row>
    <row r="127" spans="1:28" ht="59.25" customHeight="1" x14ac:dyDescent="0.2">
      <c r="A127" s="2020"/>
      <c r="B127" s="1975"/>
      <c r="C127" s="1990"/>
      <c r="D127" s="2846" t="s">
        <v>54</v>
      </c>
      <c r="E127" s="2625" t="s">
        <v>133</v>
      </c>
      <c r="F127" s="1614"/>
      <c r="G127" s="2911" t="s">
        <v>472</v>
      </c>
      <c r="H127" s="2687"/>
      <c r="I127" s="2820"/>
      <c r="J127" s="2007" t="s">
        <v>36</v>
      </c>
      <c r="K127" s="1402"/>
      <c r="L127" s="2034">
        <f>65.1+0.8</f>
        <v>65.900000000000006</v>
      </c>
      <c r="M127" s="1846">
        <v>105.9</v>
      </c>
      <c r="N127" s="1847"/>
      <c r="O127" s="1847"/>
      <c r="P127" s="1848">
        <v>105.9</v>
      </c>
      <c r="Q127" s="1849">
        <v>100</v>
      </c>
      <c r="R127" s="1917">
        <v>100</v>
      </c>
      <c r="S127" s="1740" t="s">
        <v>647</v>
      </c>
      <c r="T127" s="1843"/>
      <c r="U127" s="1841">
        <v>100</v>
      </c>
      <c r="V127" s="1843">
        <v>100</v>
      </c>
      <c r="W127" s="883">
        <v>100</v>
      </c>
      <c r="Y127" s="2331" t="s">
        <v>10</v>
      </c>
      <c r="Z127" s="2333">
        <f>Z125+Z126</f>
        <v>2814.8</v>
      </c>
      <c r="AA127" s="2333">
        <f t="shared" ref="AA127:AB127" si="4">AA125+AA126</f>
        <v>2548.8000000000002</v>
      </c>
      <c r="AB127" s="2333">
        <f t="shared" si="4"/>
        <v>2467.1</v>
      </c>
    </row>
    <row r="128" spans="1:28" ht="43.5" customHeight="1" x14ac:dyDescent="0.2">
      <c r="A128" s="2020"/>
      <c r="B128" s="1975"/>
      <c r="C128" s="1990"/>
      <c r="D128" s="2586"/>
      <c r="E128" s="2685"/>
      <c r="F128" s="1614"/>
      <c r="G128" s="2912"/>
      <c r="H128" s="2687"/>
      <c r="I128" s="2820"/>
      <c r="J128" s="1844" t="s">
        <v>181</v>
      </c>
      <c r="K128" s="1572"/>
      <c r="L128" s="1583"/>
      <c r="M128" s="1818">
        <v>70.2</v>
      </c>
      <c r="N128" s="1584"/>
      <c r="O128" s="1584"/>
      <c r="P128" s="1845">
        <v>70.2</v>
      </c>
      <c r="Q128" s="1583"/>
      <c r="R128" s="1422"/>
      <c r="S128" s="1148" t="s">
        <v>648</v>
      </c>
      <c r="T128" s="877"/>
      <c r="U128" s="1850" t="s">
        <v>570</v>
      </c>
      <c r="V128" s="1851"/>
      <c r="W128" s="695"/>
      <c r="Y128" s="14"/>
      <c r="Z128" s="14"/>
      <c r="AA128" s="14"/>
      <c r="AB128" s="14"/>
    </row>
    <row r="129" spans="1:23" ht="134.25" customHeight="1" x14ac:dyDescent="0.2">
      <c r="A129" s="2020"/>
      <c r="B129" s="1975"/>
      <c r="C129" s="1990"/>
      <c r="D129" s="2586"/>
      <c r="E129" s="2685"/>
      <c r="F129" s="1614"/>
      <c r="G129" s="2912"/>
      <c r="H129" s="2687"/>
      <c r="I129" s="2820"/>
      <c r="J129" s="1852" t="s">
        <v>36</v>
      </c>
      <c r="K129" s="1853"/>
      <c r="L129" s="1825"/>
      <c r="M129" s="1854">
        <v>366.2</v>
      </c>
      <c r="N129" s="1855"/>
      <c r="O129" s="1855"/>
      <c r="P129" s="1856">
        <v>366.2</v>
      </c>
      <c r="Q129" s="1825">
        <v>134.69999999999999</v>
      </c>
      <c r="R129" s="1824"/>
      <c r="S129" s="1857" t="s">
        <v>649</v>
      </c>
      <c r="T129" s="2323"/>
      <c r="U129" s="1859">
        <v>100</v>
      </c>
      <c r="V129" s="1858">
        <v>100</v>
      </c>
      <c r="W129" s="1919"/>
    </row>
    <row r="130" spans="1:23" ht="55.5" customHeight="1" x14ac:dyDescent="0.2">
      <c r="A130" s="2020"/>
      <c r="B130" s="1975"/>
      <c r="C130" s="1990"/>
      <c r="D130" s="2586"/>
      <c r="E130" s="2685"/>
      <c r="F130" s="1614"/>
      <c r="G130" s="2912"/>
      <c r="H130" s="2687"/>
      <c r="I130" s="2820"/>
      <c r="J130" s="2007" t="s">
        <v>496</v>
      </c>
      <c r="K130" s="1402"/>
      <c r="L130" s="2034">
        <v>27.5</v>
      </c>
      <c r="M130" s="1399"/>
      <c r="N130" s="1581"/>
      <c r="O130" s="1581"/>
      <c r="P130" s="1741"/>
      <c r="Q130" s="1494"/>
      <c r="R130" s="1420"/>
      <c r="S130" s="2144" t="s">
        <v>524</v>
      </c>
      <c r="T130" s="2145">
        <v>100</v>
      </c>
      <c r="U130" s="1336"/>
      <c r="V130" s="880"/>
      <c r="W130" s="1984"/>
    </row>
    <row r="131" spans="1:23" ht="27" customHeight="1" x14ac:dyDescent="0.2">
      <c r="A131" s="2020"/>
      <c r="B131" s="1975"/>
      <c r="C131" s="1990"/>
      <c r="D131" s="2586"/>
      <c r="E131" s="2923"/>
      <c r="F131" s="1614"/>
      <c r="G131" s="2913"/>
      <c r="H131" s="2687"/>
      <c r="I131" s="2820"/>
      <c r="J131" s="2007" t="s">
        <v>181</v>
      </c>
      <c r="K131" s="1402"/>
      <c r="L131" s="2034">
        <v>2.7</v>
      </c>
      <c r="M131" s="1402"/>
      <c r="N131" s="1542"/>
      <c r="O131" s="1542"/>
      <c r="P131" s="1544"/>
      <c r="Q131" s="2034"/>
      <c r="R131" s="2033"/>
      <c r="S131" s="2146" t="s">
        <v>525</v>
      </c>
      <c r="T131" s="2147">
        <v>100</v>
      </c>
      <c r="U131" s="2148"/>
      <c r="V131" s="2149"/>
      <c r="W131" s="2150"/>
    </row>
    <row r="132" spans="1:23" ht="27.75" customHeight="1" x14ac:dyDescent="0.2">
      <c r="A132" s="2020"/>
      <c r="B132" s="1975"/>
      <c r="C132" s="1990"/>
      <c r="D132" s="2586"/>
      <c r="E132" s="2923"/>
      <c r="F132" s="1614"/>
      <c r="G132" s="2913"/>
      <c r="H132" s="2687"/>
      <c r="I132" s="2820"/>
      <c r="J132" s="2007"/>
      <c r="K132" s="1402"/>
      <c r="L132" s="2034"/>
      <c r="M132" s="1402"/>
      <c r="N132" s="1542"/>
      <c r="O132" s="1542"/>
      <c r="P132" s="1544"/>
      <c r="Q132" s="2034"/>
      <c r="R132" s="2033"/>
      <c r="S132" s="2151" t="s">
        <v>526</v>
      </c>
      <c r="T132" s="2149">
        <v>100</v>
      </c>
      <c r="U132" s="2148"/>
      <c r="V132" s="2149"/>
      <c r="W132" s="2150"/>
    </row>
    <row r="133" spans="1:23" ht="52.5" customHeight="1" x14ac:dyDescent="0.2">
      <c r="A133" s="2020"/>
      <c r="B133" s="1975"/>
      <c r="C133" s="1990"/>
      <c r="D133" s="2847"/>
      <c r="E133" s="2924"/>
      <c r="F133" s="1351"/>
      <c r="G133" s="2914"/>
      <c r="H133" s="2732"/>
      <c r="I133" s="2839"/>
      <c r="J133" s="1197"/>
      <c r="K133" s="1400"/>
      <c r="L133" s="1404"/>
      <c r="M133" s="1400"/>
      <c r="N133" s="1543"/>
      <c r="O133" s="1543"/>
      <c r="P133" s="1545"/>
      <c r="Q133" s="1404"/>
      <c r="R133" s="1340"/>
      <c r="S133" s="2152" t="s">
        <v>527</v>
      </c>
      <c r="T133" s="2153">
        <v>100</v>
      </c>
      <c r="U133" s="2154"/>
      <c r="V133" s="2155"/>
      <c r="W133" s="2156"/>
    </row>
    <row r="134" spans="1:23" ht="15.75" customHeight="1" thickBot="1" x14ac:dyDescent="0.25">
      <c r="A134" s="681"/>
      <c r="B134" s="1979"/>
      <c r="C134" s="686"/>
      <c r="D134" s="687"/>
      <c r="E134" s="688"/>
      <c r="F134" s="689"/>
      <c r="G134" s="689"/>
      <c r="H134" s="690"/>
      <c r="I134" s="2827" t="s">
        <v>224</v>
      </c>
      <c r="J134" s="2844"/>
      <c r="K134" s="1395">
        <f t="shared" ref="K134:R134" si="5">SUM(K121:K133)</f>
        <v>2275.1</v>
      </c>
      <c r="L134" s="1395">
        <f t="shared" si="5"/>
        <v>2371.1999999999998</v>
      </c>
      <c r="M134" s="1395">
        <f t="shared" si="5"/>
        <v>2814.8</v>
      </c>
      <c r="N134" s="1395">
        <f t="shared" si="5"/>
        <v>2262.5</v>
      </c>
      <c r="O134" s="1395">
        <f t="shared" si="5"/>
        <v>0</v>
      </c>
      <c r="P134" s="1395">
        <f t="shared" si="5"/>
        <v>552.29999999999995</v>
      </c>
      <c r="Q134" s="1395">
        <f t="shared" si="5"/>
        <v>2548.8000000000002</v>
      </c>
      <c r="R134" s="1395">
        <f t="shared" si="5"/>
        <v>2467.1</v>
      </c>
      <c r="S134" s="3033"/>
      <c r="T134" s="2848"/>
      <c r="U134" s="2848"/>
      <c r="V134" s="2848"/>
      <c r="W134" s="2849"/>
    </row>
    <row r="135" spans="1:23" ht="36" customHeight="1" x14ac:dyDescent="0.2">
      <c r="A135" s="2705" t="s">
        <v>9</v>
      </c>
      <c r="B135" s="2458" t="s">
        <v>9</v>
      </c>
      <c r="C135" s="2459" t="s">
        <v>54</v>
      </c>
      <c r="D135" s="2548"/>
      <c r="E135" s="2720" t="s">
        <v>270</v>
      </c>
      <c r="F135" s="2722"/>
      <c r="G135" s="2918" t="s">
        <v>446</v>
      </c>
      <c r="H135" s="2487" t="s">
        <v>95</v>
      </c>
      <c r="I135" s="3031" t="s">
        <v>227</v>
      </c>
      <c r="J135" s="1621" t="s">
        <v>36</v>
      </c>
      <c r="K135" s="1396">
        <v>226.6</v>
      </c>
      <c r="L135" s="1571">
        <v>226.6</v>
      </c>
      <c r="M135" s="1398">
        <v>227.8</v>
      </c>
      <c r="N135" s="1558">
        <v>227.8</v>
      </c>
      <c r="O135" s="1558"/>
      <c r="P135" s="1622"/>
      <c r="Q135" s="1571">
        <v>236.5</v>
      </c>
      <c r="R135" s="1396">
        <v>139.5</v>
      </c>
      <c r="S135" s="1920" t="s">
        <v>528</v>
      </c>
      <c r="T135" s="1502">
        <v>80</v>
      </c>
      <c r="U135" s="1108">
        <v>80</v>
      </c>
      <c r="V135" s="1108">
        <v>95</v>
      </c>
      <c r="W135" s="1522">
        <v>100</v>
      </c>
    </row>
    <row r="136" spans="1:23" ht="19.5" customHeight="1" thickBot="1" x14ac:dyDescent="0.25">
      <c r="A136" s="2719"/>
      <c r="B136" s="2453"/>
      <c r="C136" s="2454"/>
      <c r="D136" s="2549"/>
      <c r="E136" s="2721"/>
      <c r="F136" s="2723"/>
      <c r="G136" s="2900"/>
      <c r="H136" s="2489"/>
      <c r="I136" s="3032"/>
      <c r="J136" s="823" t="s">
        <v>10</v>
      </c>
      <c r="K136" s="1692">
        <f>SUM(K135:K135)</f>
        <v>226.6</v>
      </c>
      <c r="L136" s="1608">
        <f>SUM(L135:L135)</f>
        <v>226.6</v>
      </c>
      <c r="M136" s="1608">
        <f>SUM(M135:M135)</f>
        <v>227.8</v>
      </c>
      <c r="N136" s="1608">
        <f>SUM(N135:N135)</f>
        <v>227.8</v>
      </c>
      <c r="O136" s="1608">
        <f t="shared" ref="O136:R136" si="6">SUM(O135:O135)</f>
        <v>0</v>
      </c>
      <c r="P136" s="1608">
        <f t="shared" si="6"/>
        <v>0</v>
      </c>
      <c r="Q136" s="1608">
        <f t="shared" si="6"/>
        <v>236.5</v>
      </c>
      <c r="R136" s="1692">
        <f t="shared" si="6"/>
        <v>139.5</v>
      </c>
      <c r="S136" s="1921"/>
      <c r="T136" s="1619"/>
      <c r="U136" s="1072"/>
      <c r="V136" s="1072"/>
      <c r="W136" s="1620"/>
    </row>
    <row r="137" spans="1:23" ht="20.25" customHeight="1" x14ac:dyDescent="0.2">
      <c r="A137" s="2048" t="s">
        <v>9</v>
      </c>
      <c r="B137" s="1978" t="s">
        <v>9</v>
      </c>
      <c r="C137" s="2046" t="s">
        <v>55</v>
      </c>
      <c r="D137" s="1980"/>
      <c r="E137" s="2711" t="s">
        <v>637</v>
      </c>
      <c r="F137" s="1951" t="s">
        <v>91</v>
      </c>
      <c r="G137" s="1346"/>
      <c r="H137" s="2023" t="s">
        <v>90</v>
      </c>
      <c r="I137" s="2842" t="s">
        <v>228</v>
      </c>
      <c r="J137" s="1310"/>
      <c r="K137" s="1486"/>
      <c r="L137" s="1473"/>
      <c r="M137" s="1488"/>
      <c r="N137" s="1601"/>
      <c r="O137" s="1601"/>
      <c r="P137" s="1631"/>
      <c r="Q137" s="1473"/>
      <c r="R137" s="1473"/>
      <c r="S137" s="3026"/>
      <c r="T137" s="1471"/>
      <c r="U137" s="1471"/>
      <c r="V137" s="1471"/>
      <c r="W137" s="1797"/>
    </row>
    <row r="138" spans="1:23" ht="21.75" customHeight="1" x14ac:dyDescent="0.2">
      <c r="A138" s="2020"/>
      <c r="B138" s="1975"/>
      <c r="C138" s="1990"/>
      <c r="D138" s="1981"/>
      <c r="E138" s="2712"/>
      <c r="F138" s="1999"/>
      <c r="G138" s="1342"/>
      <c r="H138" s="2022"/>
      <c r="I138" s="2843"/>
      <c r="J138" s="1311"/>
      <c r="K138" s="1402"/>
      <c r="L138" s="2034"/>
      <c r="M138" s="2033"/>
      <c r="N138" s="1542"/>
      <c r="O138" s="1542"/>
      <c r="P138" s="1266"/>
      <c r="Q138" s="2034"/>
      <c r="R138" s="2034"/>
      <c r="S138" s="3027"/>
      <c r="T138" s="1472"/>
      <c r="U138" s="1472"/>
      <c r="V138" s="1472"/>
      <c r="W138" s="1798"/>
    </row>
    <row r="139" spans="1:23" ht="22.5" customHeight="1" x14ac:dyDescent="0.2">
      <c r="A139" s="2020"/>
      <c r="B139" s="1975"/>
      <c r="C139" s="1990"/>
      <c r="D139" s="1908" t="s">
        <v>9</v>
      </c>
      <c r="E139" s="2625" t="s">
        <v>390</v>
      </c>
      <c r="F139" s="2717" t="s">
        <v>376</v>
      </c>
      <c r="G139" s="2814" t="s">
        <v>471</v>
      </c>
      <c r="H139" s="2687"/>
      <c r="I139" s="2839"/>
      <c r="J139" s="2024" t="s">
        <v>36</v>
      </c>
      <c r="K139" s="1482">
        <v>20</v>
      </c>
      <c r="L139" s="1556">
        <f>20-18.3</f>
        <v>1.7</v>
      </c>
      <c r="M139" s="1416">
        <v>71.3</v>
      </c>
      <c r="N139" s="1541"/>
      <c r="O139" s="1541"/>
      <c r="P139" s="1547">
        <v>71.3</v>
      </c>
      <c r="Q139" s="1403">
        <v>417.2</v>
      </c>
      <c r="R139" s="1403">
        <v>881.2</v>
      </c>
      <c r="S139" s="1609" t="s">
        <v>374</v>
      </c>
      <c r="T139" s="1335"/>
      <c r="U139" s="1335">
        <v>1</v>
      </c>
      <c r="V139" s="1335"/>
      <c r="W139" s="740"/>
    </row>
    <row r="140" spans="1:23" ht="24" customHeight="1" x14ac:dyDescent="0.2">
      <c r="A140" s="2020"/>
      <c r="B140" s="1975"/>
      <c r="C140" s="1990"/>
      <c r="D140" s="1909"/>
      <c r="E140" s="2716"/>
      <c r="F140" s="2718"/>
      <c r="G140" s="2907"/>
      <c r="H140" s="2687"/>
      <c r="I140" s="2840"/>
      <c r="J140" s="2007" t="s">
        <v>346</v>
      </c>
      <c r="K140" s="1402"/>
      <c r="L140" s="2034"/>
      <c r="M140" s="2033"/>
      <c r="N140" s="1542"/>
      <c r="O140" s="1542"/>
      <c r="P140" s="1266"/>
      <c r="Q140" s="2034">
        <v>15</v>
      </c>
      <c r="R140" s="2034">
        <v>71.2</v>
      </c>
      <c r="S140" s="870" t="s">
        <v>373</v>
      </c>
      <c r="T140" s="1336"/>
      <c r="U140" s="1336">
        <v>1</v>
      </c>
      <c r="V140" s="1336"/>
      <c r="W140" s="1069"/>
    </row>
    <row r="141" spans="1:23" ht="45.75" customHeight="1" x14ac:dyDescent="0.2">
      <c r="A141" s="2020"/>
      <c r="B141" s="1975"/>
      <c r="C141" s="1990"/>
      <c r="D141" s="1909"/>
      <c r="E141" s="2716"/>
      <c r="F141" s="2718"/>
      <c r="G141" s="2907"/>
      <c r="H141" s="2687"/>
      <c r="I141" s="2841"/>
      <c r="J141" s="1197" t="s">
        <v>92</v>
      </c>
      <c r="K141" s="1400"/>
      <c r="L141" s="1404"/>
      <c r="M141" s="1340"/>
      <c r="N141" s="1543"/>
      <c r="O141" s="1543"/>
      <c r="P141" s="1548"/>
      <c r="Q141" s="1404">
        <v>170</v>
      </c>
      <c r="R141" s="1404">
        <v>805.9</v>
      </c>
      <c r="S141" s="1478" t="s">
        <v>529</v>
      </c>
      <c r="T141" s="1323"/>
      <c r="U141" s="1323">
        <v>5</v>
      </c>
      <c r="V141" s="1323">
        <v>45</v>
      </c>
      <c r="W141" s="1799">
        <v>100</v>
      </c>
    </row>
    <row r="142" spans="1:23" ht="21.75" customHeight="1" x14ac:dyDescent="0.2">
      <c r="A142" s="2020"/>
      <c r="B142" s="1975"/>
      <c r="C142" s="1990"/>
      <c r="D142" s="1909"/>
      <c r="E142" s="2651" t="s">
        <v>498</v>
      </c>
      <c r="F142" s="2919"/>
      <c r="G142" s="2907"/>
      <c r="H142" s="2687"/>
      <c r="I142" s="2841"/>
      <c r="J142" s="2024" t="s">
        <v>36</v>
      </c>
      <c r="K142" s="1482"/>
      <c r="L142" s="1403">
        <v>5.4</v>
      </c>
      <c r="M142" s="1416"/>
      <c r="N142" s="1541"/>
      <c r="O142" s="1541"/>
      <c r="P142" s="1547"/>
      <c r="Q142" s="1403"/>
      <c r="R142" s="1403"/>
      <c r="S142" s="2017"/>
      <c r="T142" s="808"/>
      <c r="U142" s="808"/>
      <c r="V142" s="808"/>
      <c r="W142" s="1800"/>
    </row>
    <row r="143" spans="1:23" ht="58.5" customHeight="1" x14ac:dyDescent="0.2">
      <c r="A143" s="2020"/>
      <c r="B143" s="1975"/>
      <c r="C143" s="1990"/>
      <c r="D143" s="1910"/>
      <c r="E143" s="2728"/>
      <c r="F143" s="1788"/>
      <c r="G143" s="2027"/>
      <c r="H143" s="2022"/>
      <c r="I143" s="2032"/>
      <c r="J143" s="1197"/>
      <c r="K143" s="1400"/>
      <c r="L143" s="1404"/>
      <c r="M143" s="1340"/>
      <c r="N143" s="1543"/>
      <c r="O143" s="1543"/>
      <c r="P143" s="1548"/>
      <c r="Q143" s="1404"/>
      <c r="R143" s="1404"/>
      <c r="S143" s="2157" t="s">
        <v>499</v>
      </c>
      <c r="T143" s="2158">
        <v>1</v>
      </c>
      <c r="U143" s="1323" t="s">
        <v>545</v>
      </c>
      <c r="V143" s="1323"/>
      <c r="W143" s="1799"/>
    </row>
    <row r="144" spans="1:23" ht="27" customHeight="1" x14ac:dyDescent="0.2">
      <c r="A144" s="2020"/>
      <c r="B144" s="1975"/>
      <c r="C144" s="1990"/>
      <c r="D144" s="3030" t="s">
        <v>11</v>
      </c>
      <c r="E144" s="2651" t="s">
        <v>389</v>
      </c>
      <c r="F144" s="2729" t="s">
        <v>169</v>
      </c>
      <c r="G144" s="2814" t="s">
        <v>472</v>
      </c>
      <c r="H144" s="2687"/>
      <c r="I144" s="2820"/>
      <c r="J144" s="2007" t="s">
        <v>36</v>
      </c>
      <c r="K144" s="1402">
        <v>25</v>
      </c>
      <c r="L144" s="1625">
        <f>25-23.3</f>
        <v>1.7</v>
      </c>
      <c r="M144" s="2033">
        <v>124</v>
      </c>
      <c r="N144" s="1542"/>
      <c r="O144" s="1542"/>
      <c r="P144" s="1266">
        <v>124</v>
      </c>
      <c r="Q144" s="1625">
        <v>83.4</v>
      </c>
      <c r="R144" s="2034">
        <v>131</v>
      </c>
      <c r="S144" s="870" t="s">
        <v>373</v>
      </c>
      <c r="T144" s="1336"/>
      <c r="U144" s="1336">
        <v>1</v>
      </c>
      <c r="V144" s="1336"/>
      <c r="W144" s="1984"/>
    </row>
    <row r="145" spans="1:23" ht="31.5" customHeight="1" x14ac:dyDescent="0.2">
      <c r="A145" s="2020"/>
      <c r="B145" s="1975"/>
      <c r="C145" s="1990"/>
      <c r="D145" s="2560"/>
      <c r="E145" s="2727"/>
      <c r="F145" s="2730"/>
      <c r="G145" s="2905"/>
      <c r="H145" s="2687"/>
      <c r="I145" s="2820"/>
      <c r="J145" s="2007" t="s">
        <v>346</v>
      </c>
      <c r="K145" s="1402"/>
      <c r="L145" s="2034"/>
      <c r="M145" s="2033"/>
      <c r="N145" s="1542"/>
      <c r="O145" s="1542"/>
      <c r="P145" s="1266"/>
      <c r="Q145" s="1625">
        <v>83.4</v>
      </c>
      <c r="R145" s="2034">
        <v>112.5</v>
      </c>
      <c r="S145" s="870" t="s">
        <v>530</v>
      </c>
      <c r="T145" s="1336"/>
      <c r="U145" s="1336"/>
      <c r="V145" s="1336">
        <v>35</v>
      </c>
      <c r="W145" s="1069">
        <v>70</v>
      </c>
    </row>
    <row r="146" spans="1:23" ht="36" customHeight="1" x14ac:dyDescent="0.2">
      <c r="A146" s="2020"/>
      <c r="B146" s="1975"/>
      <c r="C146" s="1990"/>
      <c r="D146" s="2560"/>
      <c r="E146" s="2727"/>
      <c r="F146" s="2730"/>
      <c r="G146" s="2905"/>
      <c r="H146" s="2687"/>
      <c r="I146" s="2820"/>
      <c r="J146" s="2007" t="s">
        <v>92</v>
      </c>
      <c r="K146" s="1402"/>
      <c r="L146" s="2034"/>
      <c r="M146" s="2033"/>
      <c r="N146" s="1542"/>
      <c r="O146" s="1542"/>
      <c r="P146" s="1266"/>
      <c r="Q146" s="1625">
        <v>945</v>
      </c>
      <c r="R146" s="2034">
        <v>1275</v>
      </c>
      <c r="S146" s="870"/>
      <c r="T146" s="1336"/>
      <c r="U146" s="1336"/>
      <c r="V146" s="1336"/>
      <c r="W146" s="1069"/>
    </row>
    <row r="147" spans="1:23" ht="45" customHeight="1" x14ac:dyDescent="0.2">
      <c r="A147" s="2020"/>
      <c r="B147" s="1975"/>
      <c r="C147" s="1990"/>
      <c r="D147" s="3029"/>
      <c r="E147" s="2338" t="s">
        <v>546</v>
      </c>
      <c r="F147" s="2731"/>
      <c r="G147" s="2906"/>
      <c r="H147" s="2687"/>
      <c r="I147" s="2820"/>
      <c r="J147" s="145"/>
      <c r="K147" s="1495"/>
      <c r="L147" s="1496"/>
      <c r="M147" s="1424"/>
      <c r="N147" s="1602"/>
      <c r="O147" s="1602"/>
      <c r="P147" s="1632"/>
      <c r="Q147" s="1496"/>
      <c r="R147" s="1496"/>
      <c r="S147" s="2159" t="s">
        <v>374</v>
      </c>
      <c r="T147" s="2160">
        <v>1</v>
      </c>
      <c r="U147" s="1987"/>
      <c r="V147" s="1987"/>
      <c r="W147" s="1988"/>
    </row>
    <row r="148" spans="1:23" ht="30.75" customHeight="1" x14ac:dyDescent="0.2">
      <c r="A148" s="2020"/>
      <c r="B148" s="1975"/>
      <c r="C148" s="1990"/>
      <c r="D148" s="2560" t="s">
        <v>38</v>
      </c>
      <c r="E148" s="2673" t="s">
        <v>658</v>
      </c>
      <c r="F148" s="2725" t="s">
        <v>376</v>
      </c>
      <c r="G148" s="2814" t="s">
        <v>474</v>
      </c>
      <c r="H148" s="2687"/>
      <c r="I148" s="2838"/>
      <c r="J148" s="2007" t="s">
        <v>36</v>
      </c>
      <c r="K148" s="1402">
        <v>3</v>
      </c>
      <c r="L148" s="2034">
        <v>0</v>
      </c>
      <c r="M148" s="2033">
        <v>40.6</v>
      </c>
      <c r="N148" s="1542"/>
      <c r="O148" s="1542"/>
      <c r="P148" s="1266">
        <v>40.6</v>
      </c>
      <c r="Q148" s="1556">
        <v>24.6</v>
      </c>
      <c r="R148" s="2034">
        <v>49.7</v>
      </c>
      <c r="S148" s="870" t="s">
        <v>374</v>
      </c>
      <c r="T148" s="1983"/>
      <c r="U148" s="1983">
        <v>1</v>
      </c>
      <c r="V148" s="1983"/>
      <c r="W148" s="1984"/>
    </row>
    <row r="149" spans="1:23" ht="30" customHeight="1" x14ac:dyDescent="0.2">
      <c r="A149" s="2020"/>
      <c r="B149" s="1975"/>
      <c r="C149" s="1990"/>
      <c r="D149" s="2560"/>
      <c r="E149" s="2673"/>
      <c r="F149" s="2725"/>
      <c r="G149" s="2905"/>
      <c r="H149" s="2687"/>
      <c r="I149" s="2838"/>
      <c r="J149" s="2007" t="s">
        <v>92</v>
      </c>
      <c r="K149" s="1402"/>
      <c r="L149" s="2034"/>
      <c r="M149" s="2033"/>
      <c r="N149" s="1542"/>
      <c r="O149" s="1542"/>
      <c r="P149" s="1266"/>
      <c r="Q149" s="1625">
        <v>120.6</v>
      </c>
      <c r="R149" s="2034">
        <v>562.6</v>
      </c>
      <c r="S149" s="870" t="s">
        <v>373</v>
      </c>
      <c r="T149" s="1336"/>
      <c r="U149" s="1336"/>
      <c r="V149" s="1336">
        <v>1</v>
      </c>
      <c r="W149" s="1069"/>
    </row>
    <row r="150" spans="1:23" ht="30" customHeight="1" x14ac:dyDescent="0.2">
      <c r="A150" s="2020"/>
      <c r="B150" s="1975"/>
      <c r="C150" s="1990"/>
      <c r="D150" s="2560"/>
      <c r="E150" s="2673"/>
      <c r="F150" s="2725"/>
      <c r="G150" s="2905"/>
      <c r="H150" s="2687"/>
      <c r="I150" s="2838"/>
      <c r="J150" s="2007" t="s">
        <v>346</v>
      </c>
      <c r="K150" s="1402"/>
      <c r="L150" s="2034"/>
      <c r="M150" s="2033"/>
      <c r="N150" s="1542"/>
      <c r="O150" s="1542"/>
      <c r="P150" s="1266"/>
      <c r="Q150" s="2034">
        <v>10.7</v>
      </c>
      <c r="R150" s="2034">
        <v>49.7</v>
      </c>
      <c r="S150" s="870" t="s">
        <v>531</v>
      </c>
      <c r="T150" s="1983"/>
      <c r="U150" s="1983"/>
      <c r="V150" s="1983">
        <v>15</v>
      </c>
      <c r="W150" s="1984">
        <v>85</v>
      </c>
    </row>
    <row r="151" spans="1:23" ht="27" customHeight="1" x14ac:dyDescent="0.2">
      <c r="A151" s="2020"/>
      <c r="B151" s="1975"/>
      <c r="C151" s="1990"/>
      <c r="D151" s="3029"/>
      <c r="E151" s="2662"/>
      <c r="F151" s="2726"/>
      <c r="G151" s="2906"/>
      <c r="H151" s="2687"/>
      <c r="I151" s="2838"/>
      <c r="J151" s="145"/>
      <c r="K151" s="1495"/>
      <c r="L151" s="1496"/>
      <c r="M151" s="1420"/>
      <c r="N151" s="1581"/>
      <c r="O151" s="1581"/>
      <c r="P151" s="1633"/>
      <c r="Q151" s="1494"/>
      <c r="R151" s="1494"/>
      <c r="S151" s="870"/>
      <c r="T151" s="1983"/>
      <c r="U151" s="1983"/>
      <c r="V151" s="1983"/>
      <c r="W151" s="1984"/>
    </row>
    <row r="152" spans="1:23" ht="19.5" customHeight="1" x14ac:dyDescent="0.2">
      <c r="A152" s="2020"/>
      <c r="B152" s="1975"/>
      <c r="C152" s="1990"/>
      <c r="D152" s="3030" t="s">
        <v>53</v>
      </c>
      <c r="E152" s="2625" t="s">
        <v>375</v>
      </c>
      <c r="F152" s="2724" t="s">
        <v>376</v>
      </c>
      <c r="G152" s="2907" t="s">
        <v>473</v>
      </c>
      <c r="H152" s="2687"/>
      <c r="I152" s="2838"/>
      <c r="J152" s="2024" t="s">
        <v>36</v>
      </c>
      <c r="K152" s="1482">
        <v>57.3</v>
      </c>
      <c r="L152" s="1403">
        <v>3.1</v>
      </c>
      <c r="M152" s="1416">
        <v>68.3</v>
      </c>
      <c r="N152" s="1541"/>
      <c r="O152" s="1541"/>
      <c r="P152" s="1547">
        <v>68.3</v>
      </c>
      <c r="Q152" s="1556">
        <v>18.7</v>
      </c>
      <c r="R152" s="1403">
        <v>18.7</v>
      </c>
      <c r="S152" s="2040" t="s">
        <v>373</v>
      </c>
      <c r="T152" s="808"/>
      <c r="U152" s="808">
        <v>1</v>
      </c>
      <c r="V152" s="808"/>
      <c r="W152" s="1800"/>
    </row>
    <row r="153" spans="1:23" ht="27" customHeight="1" x14ac:dyDescent="0.2">
      <c r="A153" s="2020"/>
      <c r="B153" s="1975"/>
      <c r="C153" s="1990"/>
      <c r="D153" s="2560"/>
      <c r="E153" s="2685"/>
      <c r="F153" s="2725"/>
      <c r="G153" s="2917"/>
      <c r="H153" s="2687"/>
      <c r="I153" s="2838"/>
      <c r="J153" s="2007" t="s">
        <v>346</v>
      </c>
      <c r="K153" s="1402"/>
      <c r="L153" s="2034"/>
      <c r="M153" s="2033"/>
      <c r="N153" s="1542"/>
      <c r="O153" s="1542"/>
      <c r="P153" s="1266"/>
      <c r="Q153" s="1625">
        <v>54.4</v>
      </c>
      <c r="R153" s="2034">
        <v>54.4</v>
      </c>
      <c r="S153" s="2041" t="s">
        <v>534</v>
      </c>
      <c r="T153" s="1336"/>
      <c r="U153" s="1336"/>
      <c r="V153" s="1336">
        <v>50</v>
      </c>
      <c r="W153" s="1069">
        <v>100</v>
      </c>
    </row>
    <row r="154" spans="1:23" ht="21" customHeight="1" x14ac:dyDescent="0.2">
      <c r="A154" s="2020"/>
      <c r="B154" s="1975"/>
      <c r="C154" s="1990"/>
      <c r="D154" s="3029"/>
      <c r="E154" s="2667"/>
      <c r="F154" s="2726"/>
      <c r="G154" s="2917"/>
      <c r="H154" s="2687"/>
      <c r="I154" s="2838"/>
      <c r="J154" s="1197" t="s">
        <v>92</v>
      </c>
      <c r="K154" s="1400"/>
      <c r="L154" s="1404"/>
      <c r="M154" s="1340"/>
      <c r="N154" s="1543"/>
      <c r="O154" s="1543"/>
      <c r="P154" s="1548"/>
      <c r="Q154" s="1404">
        <v>615.79999999999995</v>
      </c>
      <c r="R154" s="1404">
        <v>615.79999999999995</v>
      </c>
      <c r="S154" s="2134" t="s">
        <v>374</v>
      </c>
      <c r="T154" s="1838">
        <v>1</v>
      </c>
      <c r="U154" s="1323"/>
      <c r="V154" s="1323"/>
      <c r="W154" s="1799"/>
    </row>
    <row r="155" spans="1:23" ht="20.25" customHeight="1" x14ac:dyDescent="0.2">
      <c r="A155" s="2020"/>
      <c r="B155" s="1975"/>
      <c r="C155" s="1990"/>
      <c r="D155" s="1981" t="s">
        <v>54</v>
      </c>
      <c r="E155" s="2739" t="s">
        <v>585</v>
      </c>
      <c r="F155" s="2724" t="s">
        <v>376</v>
      </c>
      <c r="G155" s="2027"/>
      <c r="H155" s="2687"/>
      <c r="I155" s="2820"/>
      <c r="J155" s="1630" t="s">
        <v>36</v>
      </c>
      <c r="K155" s="1482">
        <v>0</v>
      </c>
      <c r="L155" s="1403">
        <v>1.7</v>
      </c>
      <c r="M155" s="2033">
        <v>53.1</v>
      </c>
      <c r="N155" s="1542"/>
      <c r="O155" s="1542"/>
      <c r="P155" s="1266">
        <v>53.1</v>
      </c>
      <c r="Q155" s="2034">
        <v>18.3</v>
      </c>
      <c r="R155" s="2034">
        <v>43.9</v>
      </c>
      <c r="S155" s="2041" t="s">
        <v>373</v>
      </c>
      <c r="T155" s="1789"/>
      <c r="U155" s="1789">
        <v>1</v>
      </c>
      <c r="V155" s="1790"/>
      <c r="W155" s="1069"/>
    </row>
    <row r="156" spans="1:23" ht="27.75" customHeight="1" x14ac:dyDescent="0.2">
      <c r="A156" s="2020"/>
      <c r="B156" s="1975"/>
      <c r="C156" s="1990"/>
      <c r="D156" s="1981"/>
      <c r="E156" s="2739"/>
      <c r="F156" s="2725"/>
      <c r="G156" s="2161"/>
      <c r="H156" s="2687"/>
      <c r="I156" s="2820"/>
      <c r="J156" s="1623" t="s">
        <v>92</v>
      </c>
      <c r="K156" s="1402"/>
      <c r="L156" s="2034"/>
      <c r="M156" s="2033"/>
      <c r="N156" s="1542"/>
      <c r="O156" s="1542"/>
      <c r="P156" s="1266"/>
      <c r="Q156" s="2034">
        <v>207</v>
      </c>
      <c r="R156" s="2034">
        <v>496.7</v>
      </c>
      <c r="S156" s="1480" t="s">
        <v>532</v>
      </c>
      <c r="T156" s="1789"/>
      <c r="U156" s="1789"/>
      <c r="V156" s="1789">
        <v>25</v>
      </c>
      <c r="W156" s="1069">
        <v>85</v>
      </c>
    </row>
    <row r="157" spans="1:23" ht="30" customHeight="1" x14ac:dyDescent="0.2">
      <c r="A157" s="2020"/>
      <c r="B157" s="1975"/>
      <c r="C157" s="1990"/>
      <c r="D157" s="2006"/>
      <c r="E157" s="2740"/>
      <c r="F157" s="2726"/>
      <c r="G157" s="2161"/>
      <c r="H157" s="2687"/>
      <c r="I157" s="2820"/>
      <c r="J157" s="1624" t="s">
        <v>346</v>
      </c>
      <c r="K157" s="1400"/>
      <c r="L157" s="1404"/>
      <c r="M157" s="1340"/>
      <c r="N157" s="1543"/>
      <c r="O157" s="1543"/>
      <c r="P157" s="1548"/>
      <c r="Q157" s="1404">
        <v>18.3</v>
      </c>
      <c r="R157" s="1404">
        <v>43.9</v>
      </c>
      <c r="S157" s="2162" t="s">
        <v>374</v>
      </c>
      <c r="T157" s="1838">
        <v>1</v>
      </c>
      <c r="U157" s="1791"/>
      <c r="V157" s="1792"/>
      <c r="W157" s="1799"/>
    </row>
    <row r="158" spans="1:23" ht="25.5" customHeight="1" x14ac:dyDescent="0.2">
      <c r="A158" s="2020"/>
      <c r="B158" s="1975"/>
      <c r="C158" s="1990"/>
      <c r="D158" s="1981" t="s">
        <v>41</v>
      </c>
      <c r="E158" s="2741" t="s">
        <v>656</v>
      </c>
      <c r="F158" s="2725" t="s">
        <v>256</v>
      </c>
      <c r="G158" s="2161"/>
      <c r="H158" s="2687"/>
      <c r="I158" s="2820"/>
      <c r="J158" s="1625" t="s">
        <v>36</v>
      </c>
      <c r="K158" s="1399"/>
      <c r="L158" s="1494"/>
      <c r="M158" s="1420">
        <v>31.1</v>
      </c>
      <c r="N158" s="1581"/>
      <c r="O158" s="1581"/>
      <c r="P158" s="1633">
        <v>31.1</v>
      </c>
      <c r="Q158" s="1494">
        <v>57.2</v>
      </c>
      <c r="R158" s="1625">
        <v>73.599999999999994</v>
      </c>
      <c r="S158" s="2041" t="s">
        <v>374</v>
      </c>
      <c r="T158" s="1983"/>
      <c r="U158" s="1983"/>
      <c r="V158" s="2052">
        <v>1</v>
      </c>
      <c r="W158" s="1069"/>
    </row>
    <row r="159" spans="1:23" ht="31.5" customHeight="1" x14ac:dyDescent="0.2">
      <c r="A159" s="2020"/>
      <c r="B159" s="1975"/>
      <c r="C159" s="1990"/>
      <c r="D159" s="1981"/>
      <c r="E159" s="2742"/>
      <c r="F159" s="2725"/>
      <c r="G159" s="2027"/>
      <c r="H159" s="2687"/>
      <c r="I159" s="2838"/>
      <c r="J159" s="1625" t="s">
        <v>92</v>
      </c>
      <c r="K159" s="2033"/>
      <c r="L159" s="2034"/>
      <c r="M159" s="2033"/>
      <c r="N159" s="1542"/>
      <c r="O159" s="1542"/>
      <c r="P159" s="1266"/>
      <c r="Q159" s="2034"/>
      <c r="R159" s="1625">
        <v>834.1</v>
      </c>
      <c r="S159" s="2041" t="s">
        <v>373</v>
      </c>
      <c r="T159" s="1336"/>
      <c r="U159" s="1336"/>
      <c r="V159" s="1502">
        <v>1</v>
      </c>
      <c r="W159" s="1069"/>
    </row>
    <row r="160" spans="1:23" ht="39.75" customHeight="1" x14ac:dyDescent="0.2">
      <c r="A160" s="2020"/>
      <c r="B160" s="1975"/>
      <c r="C160" s="1990"/>
      <c r="D160" s="2006"/>
      <c r="E160" s="2742"/>
      <c r="F160" s="2743"/>
      <c r="G160" s="2161"/>
      <c r="H160" s="2687"/>
      <c r="I160" s="2838"/>
      <c r="J160" s="1626" t="s">
        <v>346</v>
      </c>
      <c r="K160" s="1340"/>
      <c r="L160" s="1404"/>
      <c r="M160" s="1340"/>
      <c r="N160" s="1543"/>
      <c r="O160" s="1543"/>
      <c r="P160" s="1548"/>
      <c r="Q160" s="1404"/>
      <c r="R160" s="1404">
        <v>73.599999999999994</v>
      </c>
      <c r="S160" s="2042" t="s">
        <v>533</v>
      </c>
      <c r="T160" s="1987"/>
      <c r="U160" s="1987"/>
      <c r="V160" s="1511"/>
      <c r="W160" s="1799">
        <v>50</v>
      </c>
    </row>
    <row r="161" spans="1:24" ht="21.75" customHeight="1" x14ac:dyDescent="0.2">
      <c r="A161" s="2020"/>
      <c r="B161" s="1975"/>
      <c r="C161" s="1990"/>
      <c r="D161" s="1981" t="s">
        <v>55</v>
      </c>
      <c r="E161" s="2625" t="s">
        <v>657</v>
      </c>
      <c r="F161" s="2724" t="s">
        <v>376</v>
      </c>
      <c r="G161" s="2161"/>
      <c r="H161" s="2687"/>
      <c r="I161" s="2838"/>
      <c r="J161" s="1625" t="s">
        <v>36</v>
      </c>
      <c r="K161" s="2033"/>
      <c r="L161" s="2034"/>
      <c r="M161" s="2033">
        <v>52.2</v>
      </c>
      <c r="N161" s="1542"/>
      <c r="O161" s="1542"/>
      <c r="P161" s="1266">
        <v>52.2</v>
      </c>
      <c r="Q161" s="2034">
        <v>45.6</v>
      </c>
      <c r="R161" s="1625">
        <v>80.8</v>
      </c>
      <c r="S161" s="2041" t="s">
        <v>374</v>
      </c>
      <c r="T161" s="1983"/>
      <c r="U161" s="1983">
        <v>1</v>
      </c>
      <c r="V161" s="2052"/>
      <c r="W161" s="1069"/>
    </row>
    <row r="162" spans="1:24" ht="21" customHeight="1" x14ac:dyDescent="0.2">
      <c r="A162" s="2020"/>
      <c r="B162" s="1975"/>
      <c r="C162" s="1990"/>
      <c r="D162" s="1981"/>
      <c r="E162" s="2685"/>
      <c r="F162" s="2725"/>
      <c r="G162" s="2161"/>
      <c r="H162" s="2687"/>
      <c r="I162" s="2838"/>
      <c r="J162" s="1625" t="s">
        <v>92</v>
      </c>
      <c r="K162" s="1420"/>
      <c r="L162" s="1494"/>
      <c r="M162" s="1420"/>
      <c r="N162" s="1581"/>
      <c r="O162" s="1581"/>
      <c r="P162" s="1633"/>
      <c r="Q162" s="1494">
        <v>392.1</v>
      </c>
      <c r="R162" s="1625">
        <v>914.9</v>
      </c>
      <c r="S162" s="2041" t="s">
        <v>373</v>
      </c>
      <c r="T162" s="1336"/>
      <c r="U162" s="1336"/>
      <c r="V162" s="1502">
        <v>1</v>
      </c>
      <c r="W162" s="1069"/>
    </row>
    <row r="163" spans="1:24" ht="42" customHeight="1" x14ac:dyDescent="0.2">
      <c r="A163" s="2020"/>
      <c r="B163" s="1975"/>
      <c r="C163" s="1990"/>
      <c r="D163" s="2006"/>
      <c r="E163" s="2685"/>
      <c r="F163" s="2725"/>
      <c r="G163" s="2027"/>
      <c r="H163" s="2687"/>
      <c r="I163" s="2838"/>
      <c r="J163" s="1628" t="s">
        <v>346</v>
      </c>
      <c r="K163" s="1340"/>
      <c r="L163" s="1404"/>
      <c r="M163" s="1340"/>
      <c r="N163" s="1543"/>
      <c r="O163" s="1543"/>
      <c r="P163" s="1548"/>
      <c r="Q163" s="1404">
        <v>34.6</v>
      </c>
      <c r="R163" s="1404">
        <v>80.8</v>
      </c>
      <c r="S163" s="1611" t="s">
        <v>538</v>
      </c>
      <c r="T163" s="1987"/>
      <c r="U163" s="1987"/>
      <c r="V163" s="1511">
        <v>30</v>
      </c>
      <c r="W163" s="1799">
        <v>100</v>
      </c>
    </row>
    <row r="164" spans="1:24" ht="21" customHeight="1" x14ac:dyDescent="0.2">
      <c r="A164" s="2020"/>
      <c r="B164" s="1975"/>
      <c r="C164" s="1990"/>
      <c r="D164" s="2066" t="s">
        <v>44</v>
      </c>
      <c r="E164" s="2734" t="s">
        <v>497</v>
      </c>
      <c r="F164" s="2724" t="s">
        <v>376</v>
      </c>
      <c r="G164" s="2163"/>
      <c r="H164" s="2687"/>
      <c r="I164" s="2838"/>
      <c r="J164" s="1625" t="s">
        <v>36</v>
      </c>
      <c r="K164" s="2033"/>
      <c r="L164" s="2034"/>
      <c r="M164" s="2033"/>
      <c r="N164" s="1542"/>
      <c r="O164" s="1542"/>
      <c r="P164" s="1266"/>
      <c r="Q164" s="2034">
        <v>50</v>
      </c>
      <c r="R164" s="1793">
        <v>4.5</v>
      </c>
      <c r="S164" s="2041" t="s">
        <v>374</v>
      </c>
      <c r="T164" s="1780"/>
      <c r="U164" s="1780"/>
      <c r="V164" s="1796"/>
      <c r="W164" s="1787" t="s">
        <v>95</v>
      </c>
    </row>
    <row r="165" spans="1:24" ht="17.25" customHeight="1" x14ac:dyDescent="0.2">
      <c r="A165" s="2020"/>
      <c r="B165" s="1975"/>
      <c r="C165" s="1990"/>
      <c r="D165" s="2066"/>
      <c r="E165" s="2735"/>
      <c r="F165" s="2725"/>
      <c r="G165" s="2163"/>
      <c r="H165" s="2687"/>
      <c r="I165" s="2838"/>
      <c r="J165" s="1625" t="s">
        <v>92</v>
      </c>
      <c r="K165" s="2033"/>
      <c r="L165" s="2034"/>
      <c r="M165" s="2033"/>
      <c r="N165" s="1542"/>
      <c r="O165" s="1542"/>
      <c r="P165" s="1266"/>
      <c r="Q165" s="2034"/>
      <c r="R165" s="1794"/>
      <c r="S165" s="2041" t="s">
        <v>373</v>
      </c>
      <c r="T165" s="1747"/>
      <c r="U165" s="1747"/>
      <c r="V165" s="1642"/>
      <c r="W165" s="1069">
        <v>1</v>
      </c>
    </row>
    <row r="166" spans="1:24" ht="28.5" customHeight="1" x14ac:dyDescent="0.2">
      <c r="A166" s="2020"/>
      <c r="B166" s="1975"/>
      <c r="C166" s="1990"/>
      <c r="D166" s="1911"/>
      <c r="E166" s="2736"/>
      <c r="F166" s="2726"/>
      <c r="G166" s="2027"/>
      <c r="H166" s="2066"/>
      <c r="I166" s="2000"/>
      <c r="J166" s="1628" t="s">
        <v>346</v>
      </c>
      <c r="K166" s="1400"/>
      <c r="L166" s="1404"/>
      <c r="M166" s="1340"/>
      <c r="N166" s="1543"/>
      <c r="O166" s="1543"/>
      <c r="P166" s="1548"/>
      <c r="Q166" s="1404"/>
      <c r="R166" s="1404"/>
      <c r="S166" s="1611"/>
      <c r="T166" s="1323"/>
      <c r="U166" s="1323"/>
      <c r="V166" s="1511"/>
      <c r="W166" s="1799"/>
    </row>
    <row r="167" spans="1:24" ht="17.25" customHeight="1" x14ac:dyDescent="0.2">
      <c r="A167" s="2020"/>
      <c r="B167" s="1975"/>
      <c r="C167" s="1990"/>
      <c r="D167" s="2066" t="s">
        <v>161</v>
      </c>
      <c r="E167" s="2734" t="s">
        <v>544</v>
      </c>
      <c r="F167" s="2724"/>
      <c r="G167" s="2268"/>
      <c r="H167" s="1313"/>
      <c r="I167" s="2265"/>
      <c r="J167" s="1625" t="s">
        <v>36</v>
      </c>
      <c r="K167" s="2269"/>
      <c r="L167" s="2034"/>
      <c r="M167" s="2033">
        <v>15</v>
      </c>
      <c r="N167" s="1542"/>
      <c r="O167" s="1542"/>
      <c r="P167" s="1266">
        <v>15</v>
      </c>
      <c r="Q167" s="2034"/>
      <c r="R167" s="1795"/>
      <c r="S167" s="2738" t="s">
        <v>547</v>
      </c>
      <c r="T167" s="1780"/>
      <c r="U167" s="1780">
        <v>1</v>
      </c>
      <c r="V167" s="1644"/>
      <c r="W167" s="1800"/>
      <c r="X167" s="2733"/>
    </row>
    <row r="168" spans="1:24" ht="24" customHeight="1" x14ac:dyDescent="0.2">
      <c r="A168" s="2020"/>
      <c r="B168" s="1975"/>
      <c r="C168" s="1990"/>
      <c r="D168" s="2066"/>
      <c r="E168" s="2735"/>
      <c r="F168" s="2725"/>
      <c r="G168" s="2268"/>
      <c r="H168" s="1313"/>
      <c r="I168" s="2265"/>
      <c r="J168" s="1625"/>
      <c r="K168" s="2269"/>
      <c r="L168" s="2034"/>
      <c r="M168" s="2033"/>
      <c r="N168" s="1542"/>
      <c r="O168" s="1542"/>
      <c r="P168" s="1266"/>
      <c r="Q168" s="2034"/>
      <c r="R168" s="1794"/>
      <c r="S168" s="2646"/>
      <c r="T168" s="1747"/>
      <c r="U168" s="1747"/>
      <c r="V168" s="1642"/>
      <c r="W168" s="1069"/>
      <c r="X168" s="2733"/>
    </row>
    <row r="169" spans="1:24" ht="12.75" customHeight="1" x14ac:dyDescent="0.2">
      <c r="A169" s="2020"/>
      <c r="B169" s="1975"/>
      <c r="C169" s="1990"/>
      <c r="D169" s="1911"/>
      <c r="E169" s="2736"/>
      <c r="F169" s="2726"/>
      <c r="G169" s="2267"/>
      <c r="H169" s="2270"/>
      <c r="I169" s="2266"/>
      <c r="J169" s="1627"/>
      <c r="K169" s="1575"/>
      <c r="L169" s="1404"/>
      <c r="M169" s="1340"/>
      <c r="N169" s="1543"/>
      <c r="O169" s="1543"/>
      <c r="P169" s="1548"/>
      <c r="Q169" s="1404"/>
      <c r="R169" s="1404"/>
      <c r="S169" s="1611"/>
      <c r="T169" s="1323"/>
      <c r="U169" s="1323"/>
      <c r="V169" s="1511"/>
      <c r="W169" s="1799"/>
      <c r="X169" s="2733"/>
    </row>
    <row r="170" spans="1:24" ht="15.75" customHeight="1" thickBot="1" x14ac:dyDescent="0.25">
      <c r="A170" s="681"/>
      <c r="B170" s="1979"/>
      <c r="C170" s="686"/>
      <c r="D170" s="687"/>
      <c r="E170" s="688"/>
      <c r="F170" s="689"/>
      <c r="G170" s="689"/>
      <c r="H170" s="690"/>
      <c r="I170" s="2827" t="s">
        <v>224</v>
      </c>
      <c r="J170" s="2828"/>
      <c r="K170" s="1395">
        <f>SUM(K139:K166)</f>
        <v>105.3</v>
      </c>
      <c r="L170" s="1407">
        <f>SUM(L139:L166)</f>
        <v>13.6</v>
      </c>
      <c r="M170" s="1395">
        <f t="shared" ref="M170:R170" si="7">SUM(M139:M169)</f>
        <v>455.6</v>
      </c>
      <c r="N170" s="1395">
        <f t="shared" si="7"/>
        <v>0</v>
      </c>
      <c r="O170" s="1395">
        <f t="shared" si="7"/>
        <v>0</v>
      </c>
      <c r="P170" s="1395">
        <f t="shared" si="7"/>
        <v>455.6</v>
      </c>
      <c r="Q170" s="1395">
        <f t="shared" si="7"/>
        <v>3381.9</v>
      </c>
      <c r="R170" s="1801">
        <f t="shared" si="7"/>
        <v>7274.5</v>
      </c>
      <c r="S170" s="2848"/>
      <c r="T170" s="2848"/>
      <c r="U170" s="2848"/>
      <c r="V170" s="2848"/>
      <c r="W170" s="2849"/>
    </row>
    <row r="171" spans="1:24" ht="14.25" customHeight="1" thickBot="1" x14ac:dyDescent="0.25">
      <c r="A171" s="682" t="s">
        <v>9</v>
      </c>
      <c r="B171" s="1318" t="s">
        <v>9</v>
      </c>
      <c r="C171" s="2571" t="s">
        <v>12</v>
      </c>
      <c r="D171" s="2516"/>
      <c r="E171" s="2516"/>
      <c r="F171" s="2516"/>
      <c r="G171" s="2516"/>
      <c r="H171" s="2516"/>
      <c r="I171" s="2516"/>
      <c r="J171" s="2542"/>
      <c r="K171" s="1408">
        <f t="shared" ref="K171:R171" si="8">K170+K136+K134+K118+K76+K65</f>
        <v>7430</v>
      </c>
      <c r="L171" s="1414">
        <f t="shared" si="8"/>
        <v>7422</v>
      </c>
      <c r="M171" s="1408">
        <f t="shared" si="8"/>
        <v>10711.8</v>
      </c>
      <c r="N171" s="1408">
        <f t="shared" si="8"/>
        <v>6530</v>
      </c>
      <c r="O171" s="1408">
        <f t="shared" si="8"/>
        <v>336.9</v>
      </c>
      <c r="P171" s="1408">
        <f t="shared" si="8"/>
        <v>4181.8</v>
      </c>
      <c r="Q171" s="1414">
        <f t="shared" si="8"/>
        <v>12603.6</v>
      </c>
      <c r="R171" s="1414">
        <f t="shared" si="8"/>
        <v>15099.7</v>
      </c>
      <c r="S171" s="1954"/>
      <c r="T171" s="1954"/>
      <c r="U171" s="1954"/>
      <c r="V171" s="1954"/>
      <c r="W171" s="1955"/>
    </row>
    <row r="172" spans="1:24" ht="17.25" customHeight="1" thickBot="1" x14ac:dyDescent="0.25">
      <c r="A172" s="682" t="s">
        <v>9</v>
      </c>
      <c r="B172" s="1318" t="s">
        <v>11</v>
      </c>
      <c r="C172" s="2804" t="s">
        <v>71</v>
      </c>
      <c r="D172" s="2805"/>
      <c r="E172" s="2805"/>
      <c r="F172" s="2805"/>
      <c r="G172" s="2805"/>
      <c r="H172" s="2805"/>
      <c r="I172" s="2805"/>
      <c r="J172" s="2805"/>
      <c r="K172" s="2805"/>
      <c r="L172" s="2805"/>
      <c r="M172" s="2805"/>
      <c r="N172" s="2805"/>
      <c r="O172" s="2805"/>
      <c r="P172" s="2805"/>
      <c r="Q172" s="2805"/>
      <c r="R172" s="2805"/>
      <c r="S172" s="2805"/>
      <c r="T172" s="2805"/>
      <c r="U172" s="2805"/>
      <c r="V172" s="2805"/>
      <c r="W172" s="2806"/>
    </row>
    <row r="173" spans="1:24" ht="27.75" customHeight="1" x14ac:dyDescent="0.2">
      <c r="A173" s="1337" t="s">
        <v>9</v>
      </c>
      <c r="B173" s="1429" t="s">
        <v>11</v>
      </c>
      <c r="C173" s="1430" t="s">
        <v>9</v>
      </c>
      <c r="D173" s="1905"/>
      <c r="E173" s="1906" t="s">
        <v>252</v>
      </c>
      <c r="F173" s="1442"/>
      <c r="G173" s="1442"/>
      <c r="H173" s="1275">
        <v>6</v>
      </c>
      <c r="I173" s="3022" t="s">
        <v>243</v>
      </c>
      <c r="J173" s="1201"/>
      <c r="K173" s="1330"/>
      <c r="L173" s="1694"/>
      <c r="M173" s="1487"/>
      <c r="N173" s="1699"/>
      <c r="O173" s="1700"/>
      <c r="P173" s="1700"/>
      <c r="Q173" s="1698"/>
      <c r="R173" s="1487"/>
      <c r="S173" s="1366"/>
      <c r="T173" s="1634"/>
      <c r="U173" s="1670"/>
      <c r="V173" s="1634"/>
      <c r="W173" s="1367"/>
    </row>
    <row r="174" spans="1:24" ht="18.75" customHeight="1" x14ac:dyDescent="0.2">
      <c r="A174" s="1338"/>
      <c r="B174" s="1976"/>
      <c r="C174" s="1431"/>
      <c r="D174" s="1468" t="s">
        <v>9</v>
      </c>
      <c r="E174" s="2800" t="s">
        <v>104</v>
      </c>
      <c r="F174" s="1999"/>
      <c r="G174" s="2864" t="s">
        <v>447</v>
      </c>
      <c r="H174" s="1276"/>
      <c r="I174" s="3023"/>
      <c r="J174" s="1279" t="s">
        <v>36</v>
      </c>
      <c r="K174" s="1409">
        <v>75</v>
      </c>
      <c r="L174" s="1695">
        <v>75</v>
      </c>
      <c r="M174" s="1409">
        <v>52.2</v>
      </c>
      <c r="N174" s="1701">
        <v>52.2</v>
      </c>
      <c r="O174" s="1702"/>
      <c r="P174" s="1702"/>
      <c r="Q174" s="1695">
        <v>52.2</v>
      </c>
      <c r="R174" s="1409">
        <v>52.2</v>
      </c>
      <c r="S174" s="1368" t="s">
        <v>535</v>
      </c>
      <c r="T174" s="1635">
        <v>350</v>
      </c>
      <c r="U174" s="1671">
        <v>350</v>
      </c>
      <c r="V174" s="1708">
        <v>350</v>
      </c>
      <c r="W174" s="1369">
        <v>350</v>
      </c>
    </row>
    <row r="175" spans="1:24" ht="28.5" customHeight="1" x14ac:dyDescent="0.2">
      <c r="A175" s="1338"/>
      <c r="B175" s="1976"/>
      <c r="C175" s="1431"/>
      <c r="D175" s="1282"/>
      <c r="E175" s="2800"/>
      <c r="F175" s="1999"/>
      <c r="G175" s="3010"/>
      <c r="H175" s="1276"/>
      <c r="I175" s="3023"/>
      <c r="J175" s="1280" t="s">
        <v>130</v>
      </c>
      <c r="K175" s="1410"/>
      <c r="L175" s="1580"/>
      <c r="M175" s="1410"/>
      <c r="N175" s="1582"/>
      <c r="O175" s="1703"/>
      <c r="P175" s="1703"/>
      <c r="Q175" s="1580"/>
      <c r="R175" s="1410"/>
      <c r="S175" s="1370" t="s">
        <v>536</v>
      </c>
      <c r="T175" s="1636">
        <v>300</v>
      </c>
      <c r="U175" s="1672">
        <v>300</v>
      </c>
      <c r="V175" s="1709">
        <v>300</v>
      </c>
      <c r="W175" s="1352">
        <v>300</v>
      </c>
    </row>
    <row r="176" spans="1:24" ht="35.25" customHeight="1" x14ac:dyDescent="0.2">
      <c r="A176" s="1338"/>
      <c r="B176" s="1976"/>
      <c r="C176" s="1467"/>
      <c r="D176" s="1469"/>
      <c r="E176" s="2807"/>
      <c r="F176" s="2029"/>
      <c r="G176" s="3011"/>
      <c r="H176" s="1276"/>
      <c r="I176" s="3023"/>
      <c r="J176" s="1281"/>
      <c r="K176" s="1411"/>
      <c r="L176" s="1696"/>
      <c r="M176" s="1411"/>
      <c r="N176" s="1704"/>
      <c r="O176" s="1705"/>
      <c r="P176" s="1705"/>
      <c r="Q176" s="1696"/>
      <c r="R176" s="1411"/>
      <c r="S176" s="1371" t="s">
        <v>330</v>
      </c>
      <c r="T176" s="1637">
        <v>36</v>
      </c>
      <c r="U176" s="1673">
        <v>36</v>
      </c>
      <c r="V176" s="1710">
        <v>36</v>
      </c>
      <c r="W176" s="1353">
        <v>36</v>
      </c>
    </row>
    <row r="177" spans="1:26" ht="14.25" customHeight="1" x14ac:dyDescent="0.2">
      <c r="A177" s="1338"/>
      <c r="B177" s="1976"/>
      <c r="C177" s="1431"/>
      <c r="D177" s="2066" t="s">
        <v>11</v>
      </c>
      <c r="E177" s="2801" t="s">
        <v>423</v>
      </c>
      <c r="F177" s="1999"/>
      <c r="G177" s="2863">
        <v>701050200</v>
      </c>
      <c r="H177" s="1276"/>
      <c r="I177" s="2038"/>
      <c r="J177" s="1280" t="s">
        <v>36</v>
      </c>
      <c r="K177" s="1410">
        <v>168</v>
      </c>
      <c r="L177" s="1580">
        <v>168</v>
      </c>
      <c r="M177" s="1410">
        <v>168</v>
      </c>
      <c r="N177" s="1582">
        <f>130+8.7+27.7+0.1+1.5</f>
        <v>168</v>
      </c>
      <c r="O177" s="1703"/>
      <c r="P177" s="1703"/>
      <c r="Q177" s="1580">
        <f>+N177</f>
        <v>168</v>
      </c>
      <c r="R177" s="1410">
        <f>+N177</f>
        <v>168</v>
      </c>
      <c r="S177" s="2645" t="s">
        <v>417</v>
      </c>
      <c r="T177" s="880">
        <v>18</v>
      </c>
      <c r="U177" s="1674">
        <v>18</v>
      </c>
      <c r="V177" s="880">
        <v>18</v>
      </c>
      <c r="W177" s="1432">
        <v>18</v>
      </c>
    </row>
    <row r="178" spans="1:26" ht="13.5" customHeight="1" x14ac:dyDescent="0.2">
      <c r="A178" s="1338"/>
      <c r="B178" s="1976"/>
      <c r="C178" s="1431"/>
      <c r="D178" s="1282"/>
      <c r="E178" s="2802"/>
      <c r="F178" s="1999"/>
      <c r="G178" s="2864"/>
      <c r="H178" s="1276"/>
      <c r="I178" s="2038"/>
      <c r="J178" s="1299" t="s">
        <v>130</v>
      </c>
      <c r="K178" s="1412"/>
      <c r="L178" s="1697"/>
      <c r="M178" s="1412"/>
      <c r="N178" s="1706"/>
      <c r="O178" s="1707"/>
      <c r="P178" s="1707"/>
      <c r="Q178" s="1697"/>
      <c r="R178" s="1412"/>
      <c r="S178" s="2803"/>
      <c r="T178" s="1638"/>
      <c r="U178" s="1675"/>
      <c r="V178" s="1638"/>
      <c r="W178" s="1372"/>
    </row>
    <row r="179" spans="1:26" ht="27.75" customHeight="1" x14ac:dyDescent="0.2">
      <c r="A179" s="1338"/>
      <c r="B179" s="1976"/>
      <c r="C179" s="1431"/>
      <c r="D179" s="1282"/>
      <c r="E179" s="2004"/>
      <c r="F179" s="1999"/>
      <c r="G179" s="2864"/>
      <c r="H179" s="1276"/>
      <c r="I179" s="2038"/>
      <c r="J179" s="1280" t="s">
        <v>36</v>
      </c>
      <c r="K179" s="1410">
        <v>67.7</v>
      </c>
      <c r="L179" s="1580">
        <v>0.5</v>
      </c>
      <c r="M179" s="1410">
        <f>+N179</f>
        <v>0.5</v>
      </c>
      <c r="N179" s="1582">
        <v>0.5</v>
      </c>
      <c r="O179" s="1703"/>
      <c r="P179" s="1703"/>
      <c r="Q179" s="1580">
        <v>0.5</v>
      </c>
      <c r="R179" s="1410">
        <v>0.5</v>
      </c>
      <c r="S179" s="1370" t="s">
        <v>583</v>
      </c>
      <c r="T179" s="1636">
        <v>2</v>
      </c>
      <c r="U179" s="1672">
        <v>2</v>
      </c>
      <c r="V179" s="1672">
        <v>2</v>
      </c>
      <c r="W179" s="1654">
        <v>2</v>
      </c>
    </row>
    <row r="180" spans="1:26" ht="27.75" customHeight="1" x14ac:dyDescent="0.2">
      <c r="A180" s="1338"/>
      <c r="B180" s="1976"/>
      <c r="C180" s="1431"/>
      <c r="D180" s="1282"/>
      <c r="E180" s="2004"/>
      <c r="F180" s="1999"/>
      <c r="G180" s="2864"/>
      <c r="H180" s="1276"/>
      <c r="I180" s="2038"/>
      <c r="J180" s="1280" t="s">
        <v>36</v>
      </c>
      <c r="K180" s="1410"/>
      <c r="L180" s="1580">
        <v>10</v>
      </c>
      <c r="M180" s="1410">
        <v>5</v>
      </c>
      <c r="N180" s="1582"/>
      <c r="O180" s="1703"/>
      <c r="P180" s="1703">
        <v>5</v>
      </c>
      <c r="Q180" s="1580"/>
      <c r="R180" s="1410"/>
      <c r="S180" s="1373" t="s">
        <v>584</v>
      </c>
      <c r="T180" s="1639">
        <v>160</v>
      </c>
      <c r="U180" s="1676">
        <v>80</v>
      </c>
      <c r="V180" s="1676"/>
      <c r="W180" s="1656"/>
    </row>
    <row r="181" spans="1:26" ht="26.25" customHeight="1" x14ac:dyDescent="0.2">
      <c r="A181" s="1338"/>
      <c r="B181" s="1976"/>
      <c r="C181" s="1431"/>
      <c r="D181" s="1282"/>
      <c r="E181" s="2004"/>
      <c r="F181" s="1999"/>
      <c r="G181" s="2864"/>
      <c r="H181" s="1276"/>
      <c r="I181" s="2038"/>
      <c r="J181" s="1280" t="s">
        <v>36</v>
      </c>
      <c r="K181" s="1410"/>
      <c r="L181" s="1580">
        <v>10</v>
      </c>
      <c r="M181" s="1410">
        <f>+P181</f>
        <v>13</v>
      </c>
      <c r="N181" s="1582"/>
      <c r="O181" s="1703"/>
      <c r="P181" s="1703">
        <v>13</v>
      </c>
      <c r="Q181" s="1580">
        <v>20</v>
      </c>
      <c r="R181" s="1410">
        <v>10</v>
      </c>
      <c r="S181" s="1373" t="s">
        <v>400</v>
      </c>
      <c r="T181" s="1639">
        <v>10</v>
      </c>
      <c r="U181" s="1676">
        <v>13</v>
      </c>
      <c r="V181" s="1676">
        <v>20</v>
      </c>
      <c r="W181" s="1656">
        <v>10</v>
      </c>
    </row>
    <row r="182" spans="1:26" ht="36" customHeight="1" x14ac:dyDescent="0.2">
      <c r="A182" s="1338"/>
      <c r="B182" s="1976"/>
      <c r="C182" s="1431"/>
      <c r="D182" s="1282"/>
      <c r="E182" s="2004"/>
      <c r="F182" s="1999"/>
      <c r="G182" s="2864"/>
      <c r="H182" s="1276"/>
      <c r="I182" s="2038"/>
      <c r="J182" s="1280" t="s">
        <v>36</v>
      </c>
      <c r="K182" s="1410"/>
      <c r="L182" s="1580">
        <v>0</v>
      </c>
      <c r="M182" s="1410">
        <v>10</v>
      </c>
      <c r="N182" s="1582">
        <v>10</v>
      </c>
      <c r="O182" s="1703"/>
      <c r="P182" s="1703"/>
      <c r="Q182" s="1580">
        <v>10</v>
      </c>
      <c r="R182" s="1410">
        <v>10</v>
      </c>
      <c r="S182" s="1470" t="s">
        <v>631</v>
      </c>
      <c r="T182" s="1638"/>
      <c r="U182" s="1675">
        <v>500</v>
      </c>
      <c r="V182" s="1675">
        <v>500</v>
      </c>
      <c r="W182" s="1655">
        <v>500</v>
      </c>
    </row>
    <row r="183" spans="1:26" ht="26.25" customHeight="1" x14ac:dyDescent="0.2">
      <c r="A183" s="1338"/>
      <c r="B183" s="1976"/>
      <c r="C183" s="1431"/>
      <c r="D183" s="1282"/>
      <c r="E183" s="2004"/>
      <c r="F183" s="1999"/>
      <c r="G183" s="1342"/>
      <c r="H183" s="1276"/>
      <c r="I183" s="2038"/>
      <c r="J183" s="1280" t="s">
        <v>36</v>
      </c>
      <c r="K183" s="1410"/>
      <c r="L183" s="1580"/>
      <c r="M183" s="1410">
        <f>+P183</f>
        <v>60</v>
      </c>
      <c r="N183" s="1582"/>
      <c r="O183" s="1703"/>
      <c r="P183" s="1703">
        <v>60</v>
      </c>
      <c r="Q183" s="1580"/>
      <c r="R183" s="1410"/>
      <c r="S183" s="1470" t="s">
        <v>629</v>
      </c>
      <c r="T183" s="1638"/>
      <c r="U183" s="1675">
        <v>100</v>
      </c>
      <c r="V183" s="1675"/>
      <c r="W183" s="1655"/>
    </row>
    <row r="184" spans="1:26" ht="26.25" customHeight="1" x14ac:dyDescent="0.2">
      <c r="A184" s="1338"/>
      <c r="B184" s="1976"/>
      <c r="C184" s="1431"/>
      <c r="D184" s="1282"/>
      <c r="E184" s="2004"/>
      <c r="F184" s="1999"/>
      <c r="G184" s="1342"/>
      <c r="H184" s="1276"/>
      <c r="I184" s="2038"/>
      <c r="J184" s="1280" t="s">
        <v>36</v>
      </c>
      <c r="K184" s="1410"/>
      <c r="L184" s="1580"/>
      <c r="M184" s="1410">
        <v>60</v>
      </c>
      <c r="N184" s="1582"/>
      <c r="O184" s="1703"/>
      <c r="P184" s="1703">
        <v>60</v>
      </c>
      <c r="Q184" s="1580"/>
      <c r="R184" s="1410"/>
      <c r="S184" s="1470" t="s">
        <v>630</v>
      </c>
      <c r="T184" s="1638"/>
      <c r="U184" s="1675">
        <v>100</v>
      </c>
      <c r="V184" s="1675"/>
      <c r="W184" s="1655"/>
    </row>
    <row r="185" spans="1:26" ht="26.25" customHeight="1" x14ac:dyDescent="0.2">
      <c r="A185" s="1338"/>
      <c r="B185" s="1976"/>
      <c r="C185" s="1431"/>
      <c r="D185" s="1282"/>
      <c r="E185" s="2004"/>
      <c r="F185" s="1999"/>
      <c r="G185" s="1342"/>
      <c r="H185" s="1276"/>
      <c r="I185" s="2038"/>
      <c r="J185" s="1280" t="s">
        <v>36</v>
      </c>
      <c r="K185" s="1410"/>
      <c r="L185" s="1580"/>
      <c r="M185" s="1410">
        <f>+P185</f>
        <v>8.4</v>
      </c>
      <c r="N185" s="1582"/>
      <c r="O185" s="1703"/>
      <c r="P185" s="1703">
        <v>8.4</v>
      </c>
      <c r="Q185" s="1580"/>
      <c r="R185" s="1410"/>
      <c r="S185" s="1470" t="s">
        <v>632</v>
      </c>
      <c r="T185" s="1638"/>
      <c r="U185" s="1675">
        <v>250</v>
      </c>
      <c r="V185" s="1675"/>
      <c r="W185" s="1655"/>
    </row>
    <row r="186" spans="1:26" ht="26.25" customHeight="1" x14ac:dyDescent="0.2">
      <c r="A186" s="1338"/>
      <c r="B186" s="1976"/>
      <c r="C186" s="1431"/>
      <c r="D186" s="1282"/>
      <c r="E186" s="2004"/>
      <c r="F186" s="1999"/>
      <c r="G186" s="1342"/>
      <c r="H186" s="1276"/>
      <c r="I186" s="2038"/>
      <c r="J186" s="1280" t="s">
        <v>36</v>
      </c>
      <c r="K186" s="1410"/>
      <c r="L186" s="1580"/>
      <c r="M186" s="1410">
        <f>+N186</f>
        <v>11</v>
      </c>
      <c r="N186" s="1582">
        <v>11</v>
      </c>
      <c r="O186" s="1703"/>
      <c r="P186" s="1703"/>
      <c r="Q186" s="1580"/>
      <c r="R186" s="1410"/>
      <c r="S186" s="1470" t="s">
        <v>571</v>
      </c>
      <c r="T186" s="1638"/>
      <c r="U186" s="1675">
        <v>61</v>
      </c>
      <c r="V186" s="1675"/>
      <c r="W186" s="1655"/>
    </row>
    <row r="187" spans="1:26" ht="26.25" customHeight="1" x14ac:dyDescent="0.2">
      <c r="A187" s="1338"/>
      <c r="B187" s="1976"/>
      <c r="C187" s="1431"/>
      <c r="D187" s="1282"/>
      <c r="E187" s="2004"/>
      <c r="F187" s="1999"/>
      <c r="G187" s="1342"/>
      <c r="H187" s="1276"/>
      <c r="I187" s="2038"/>
      <c r="J187" s="1280" t="s">
        <v>36</v>
      </c>
      <c r="K187" s="1410"/>
      <c r="L187" s="1580"/>
      <c r="M187" s="1410">
        <f>+N187</f>
        <v>2.2999999999999998</v>
      </c>
      <c r="N187" s="1582">
        <v>2.2999999999999998</v>
      </c>
      <c r="O187" s="1703"/>
      <c r="P187" s="1703"/>
      <c r="Q187" s="1580">
        <v>2.2999999999999998</v>
      </c>
      <c r="R187" s="1410">
        <v>2.2999999999999998</v>
      </c>
      <c r="S187" s="1470" t="s">
        <v>659</v>
      </c>
      <c r="T187" s="1638"/>
      <c r="U187" s="1675">
        <v>1</v>
      </c>
      <c r="V187" s="1675">
        <v>1</v>
      </c>
      <c r="W187" s="1655">
        <v>1</v>
      </c>
    </row>
    <row r="188" spans="1:26" ht="36" customHeight="1" x14ac:dyDescent="0.2">
      <c r="A188" s="1338"/>
      <c r="B188" s="1976"/>
      <c r="C188" s="1431"/>
      <c r="D188" s="1282"/>
      <c r="E188" s="2004"/>
      <c r="F188" s="1999"/>
      <c r="G188" s="1342"/>
      <c r="H188" s="1276"/>
      <c r="I188" s="2038"/>
      <c r="J188" s="1280" t="s">
        <v>36</v>
      </c>
      <c r="K188" s="1410"/>
      <c r="L188" s="1580"/>
      <c r="M188" s="1410">
        <f>+N188</f>
        <v>4.5999999999999996</v>
      </c>
      <c r="N188" s="1582">
        <v>4.5999999999999996</v>
      </c>
      <c r="O188" s="1703"/>
      <c r="P188" s="1703"/>
      <c r="Q188" s="1580"/>
      <c r="R188" s="1410"/>
      <c r="S188" s="1470" t="s">
        <v>633</v>
      </c>
      <c r="T188" s="1675"/>
      <c r="U188" s="1675">
        <v>100</v>
      </c>
      <c r="V188" s="1675"/>
      <c r="W188" s="1655"/>
    </row>
    <row r="189" spans="1:26" ht="27" customHeight="1" x14ac:dyDescent="0.2">
      <c r="A189" s="1338"/>
      <c r="B189" s="1976"/>
      <c r="C189" s="1431"/>
      <c r="D189" s="1282"/>
      <c r="E189" s="2004"/>
      <c r="F189" s="1999"/>
      <c r="G189" s="1342"/>
      <c r="H189" s="1276"/>
      <c r="I189" s="2038"/>
      <c r="J189" s="1280" t="s">
        <v>36</v>
      </c>
      <c r="K189" s="1410"/>
      <c r="L189" s="1580"/>
      <c r="M189" s="1410">
        <v>35</v>
      </c>
      <c r="N189" s="1582">
        <v>35</v>
      </c>
      <c r="O189" s="1703"/>
      <c r="P189" s="1703"/>
      <c r="Q189" s="1580">
        <v>35</v>
      </c>
      <c r="R189" s="1410"/>
      <c r="S189" s="1470" t="s">
        <v>419</v>
      </c>
      <c r="T189" s="1638"/>
      <c r="U189" s="1675">
        <v>50</v>
      </c>
      <c r="V189" s="1675">
        <v>50</v>
      </c>
      <c r="W189" s="1655"/>
    </row>
    <row r="190" spans="1:26" ht="27" customHeight="1" x14ac:dyDescent="0.2">
      <c r="A190" s="1338"/>
      <c r="B190" s="1976"/>
      <c r="C190" s="1431"/>
      <c r="D190" s="1907"/>
      <c r="E190" s="1364"/>
      <c r="F190" s="1360"/>
      <c r="G190" s="1344"/>
      <c r="H190" s="1333"/>
      <c r="I190" s="2038"/>
      <c r="J190" s="1280" t="s">
        <v>36</v>
      </c>
      <c r="K190" s="1410"/>
      <c r="L190" s="1580"/>
      <c r="M190" s="1577">
        <v>4</v>
      </c>
      <c r="N190" s="1582">
        <v>4</v>
      </c>
      <c r="O190" s="1703"/>
      <c r="P190" s="1703"/>
      <c r="Q190" s="1580"/>
      <c r="R190" s="1410"/>
      <c r="S190" s="1860" t="s">
        <v>394</v>
      </c>
      <c r="T190" s="1861"/>
      <c r="U190" s="1862">
        <v>2</v>
      </c>
      <c r="V190" s="1862"/>
      <c r="W190" s="1863"/>
      <c r="X190" s="14"/>
      <c r="Y190" s="14"/>
      <c r="Z190" s="14"/>
    </row>
    <row r="191" spans="1:26" ht="18.75" customHeight="1" x14ac:dyDescent="0.2">
      <c r="A191" s="1338"/>
      <c r="B191" s="1976"/>
      <c r="C191" s="1431"/>
      <c r="D191" s="1282"/>
      <c r="E191" s="2004"/>
      <c r="F191" s="1360"/>
      <c r="G191" s="1344"/>
      <c r="H191" s="1333"/>
      <c r="I191" s="2038"/>
      <c r="J191" s="1281" t="s">
        <v>36</v>
      </c>
      <c r="K191" s="1411"/>
      <c r="L191" s="1696">
        <v>1.8</v>
      </c>
      <c r="M191" s="1711">
        <f>+N191</f>
        <v>8.6</v>
      </c>
      <c r="N191" s="1704">
        <v>8.6</v>
      </c>
      <c r="O191" s="1705"/>
      <c r="P191" s="1705"/>
      <c r="Q191" s="1696">
        <v>8.6</v>
      </c>
      <c r="R191" s="1411">
        <v>8.6</v>
      </c>
      <c r="S191" s="1371" t="s">
        <v>81</v>
      </c>
      <c r="T191" s="1637">
        <v>20</v>
      </c>
      <c r="U191" s="1673">
        <v>30</v>
      </c>
      <c r="V191" s="1673">
        <v>30</v>
      </c>
      <c r="W191" s="1872">
        <v>30</v>
      </c>
      <c r="X191" s="14"/>
      <c r="Y191" s="14"/>
      <c r="Z191" s="14"/>
    </row>
    <row r="192" spans="1:26" ht="20.25" customHeight="1" x14ac:dyDescent="0.2">
      <c r="A192" s="1338"/>
      <c r="B192" s="1976"/>
      <c r="C192" s="1431"/>
      <c r="D192" s="1282"/>
      <c r="E192" s="2004"/>
      <c r="F192" s="1999"/>
      <c r="G192" s="1342"/>
      <c r="H192" s="1276"/>
      <c r="I192" s="2038"/>
      <c r="J192" s="1280" t="s">
        <v>36</v>
      </c>
      <c r="K192" s="1410"/>
      <c r="L192" s="1580">
        <v>2.9</v>
      </c>
      <c r="M192" s="1410"/>
      <c r="N192" s="1582"/>
      <c r="O192" s="1703"/>
      <c r="P192" s="1703"/>
      <c r="Q192" s="1580"/>
      <c r="R192" s="1410"/>
      <c r="S192" s="2167" t="s">
        <v>395</v>
      </c>
      <c r="T192" s="2164">
        <v>150</v>
      </c>
      <c r="U192" s="1870"/>
      <c r="V192" s="1870"/>
      <c r="W192" s="1871"/>
    </row>
    <row r="193" spans="1:26" ht="25.5" customHeight="1" x14ac:dyDescent="0.2">
      <c r="A193" s="1338"/>
      <c r="B193" s="1976"/>
      <c r="C193" s="1431"/>
      <c r="D193" s="1282"/>
      <c r="E193" s="1364"/>
      <c r="F193" s="1999"/>
      <c r="G193" s="1344"/>
      <c r="H193" s="1276"/>
      <c r="I193" s="2038"/>
      <c r="J193" s="1280" t="s">
        <v>36</v>
      </c>
      <c r="K193" s="1410"/>
      <c r="L193" s="1580">
        <v>2.2000000000000002</v>
      </c>
      <c r="M193" s="1410"/>
      <c r="N193" s="1582"/>
      <c r="O193" s="1703"/>
      <c r="P193" s="1703"/>
      <c r="Q193" s="1580"/>
      <c r="R193" s="1410"/>
      <c r="S193" s="2166" t="s">
        <v>391</v>
      </c>
      <c r="T193" s="2165">
        <v>1</v>
      </c>
      <c r="U193" s="1864"/>
      <c r="V193" s="1864"/>
      <c r="W193" s="1865"/>
    </row>
    <row r="194" spans="1:26" ht="39.75" customHeight="1" x14ac:dyDescent="0.2">
      <c r="A194" s="1338"/>
      <c r="B194" s="1976"/>
      <c r="C194" s="1431"/>
      <c r="D194" s="1282"/>
      <c r="E194" s="1364"/>
      <c r="F194" s="1999"/>
      <c r="G194" s="1344"/>
      <c r="H194" s="1276"/>
      <c r="I194" s="2038"/>
      <c r="J194" s="1280" t="s">
        <v>36</v>
      </c>
      <c r="K194" s="1410"/>
      <c r="L194" s="1580">
        <v>3.7</v>
      </c>
      <c r="M194" s="1410"/>
      <c r="N194" s="1582"/>
      <c r="O194" s="1703"/>
      <c r="P194" s="1703"/>
      <c r="Q194" s="1580"/>
      <c r="R194" s="1410"/>
      <c r="S194" s="2166" t="s">
        <v>418</v>
      </c>
      <c r="T194" s="2165">
        <v>100</v>
      </c>
      <c r="U194" s="1864"/>
      <c r="V194" s="1864"/>
      <c r="W194" s="1865"/>
    </row>
    <row r="195" spans="1:26" ht="24" customHeight="1" x14ac:dyDescent="0.2">
      <c r="A195" s="1338"/>
      <c r="B195" s="1976"/>
      <c r="C195" s="1431"/>
      <c r="D195" s="1282"/>
      <c r="E195" s="2026"/>
      <c r="F195" s="1360"/>
      <c r="G195" s="1344"/>
      <c r="H195" s="1333"/>
      <c r="I195" s="2038"/>
      <c r="J195" s="1280" t="s">
        <v>36</v>
      </c>
      <c r="K195" s="1410"/>
      <c r="L195" s="1580">
        <v>6</v>
      </c>
      <c r="M195" s="1410"/>
      <c r="N195" s="1582"/>
      <c r="O195" s="1703"/>
      <c r="P195" s="1703"/>
      <c r="Q195" s="1580"/>
      <c r="R195" s="1410"/>
      <c r="S195" s="2166" t="s">
        <v>396</v>
      </c>
      <c r="T195" s="2165">
        <v>1</v>
      </c>
      <c r="U195" s="1864"/>
      <c r="V195" s="1864"/>
      <c r="W195" s="1865"/>
      <c r="X195" s="14"/>
      <c r="Y195" s="14"/>
      <c r="Z195" s="14"/>
    </row>
    <row r="196" spans="1:26" ht="28.5" customHeight="1" x14ac:dyDescent="0.2">
      <c r="A196" s="1338"/>
      <c r="B196" s="1976"/>
      <c r="C196" s="1431"/>
      <c r="D196" s="1282"/>
      <c r="E196" s="2026"/>
      <c r="F196" s="1360"/>
      <c r="G196" s="1344"/>
      <c r="H196" s="1333"/>
      <c r="I196" s="2038"/>
      <c r="J196" s="1280" t="s">
        <v>36</v>
      </c>
      <c r="K196" s="1410"/>
      <c r="L196" s="1580">
        <v>10</v>
      </c>
      <c r="M196" s="1410"/>
      <c r="N196" s="1582"/>
      <c r="O196" s="1703"/>
      <c r="P196" s="1703"/>
      <c r="Q196" s="1580"/>
      <c r="R196" s="1410"/>
      <c r="S196" s="2167" t="s">
        <v>401</v>
      </c>
      <c r="T196" s="2168" t="s">
        <v>203</v>
      </c>
      <c r="U196" s="1866"/>
      <c r="V196" s="1866"/>
      <c r="W196" s="1867"/>
      <c r="X196" s="14"/>
      <c r="Y196" s="14"/>
      <c r="Z196" s="14"/>
    </row>
    <row r="197" spans="1:26" ht="26.25" customHeight="1" x14ac:dyDescent="0.2">
      <c r="A197" s="1338"/>
      <c r="B197" s="1325"/>
      <c r="C197" s="1326"/>
      <c r="D197" s="1469"/>
      <c r="E197" s="1365"/>
      <c r="F197" s="1361"/>
      <c r="G197" s="1345"/>
      <c r="H197" s="1300"/>
      <c r="I197" s="1301"/>
      <c r="J197" s="1281" t="s">
        <v>36</v>
      </c>
      <c r="K197" s="1711"/>
      <c r="L197" s="1696">
        <v>8.3000000000000007</v>
      </c>
      <c r="M197" s="1411"/>
      <c r="N197" s="1705"/>
      <c r="O197" s="1704"/>
      <c r="P197" s="1705"/>
      <c r="Q197" s="1696"/>
      <c r="R197" s="1411"/>
      <c r="S197" s="2169" t="s">
        <v>572</v>
      </c>
      <c r="T197" s="2170">
        <v>100</v>
      </c>
      <c r="U197" s="1868"/>
      <c r="V197" s="1868"/>
      <c r="W197" s="1869"/>
      <c r="X197" s="14"/>
      <c r="Y197" s="14"/>
      <c r="Z197" s="14"/>
    </row>
    <row r="198" spans="1:26" ht="15.75" customHeight="1" thickBot="1" x14ac:dyDescent="0.25">
      <c r="A198" s="1294"/>
      <c r="B198" s="1200"/>
      <c r="C198" s="1198"/>
      <c r="D198" s="1198"/>
      <c r="E198" s="1292"/>
      <c r="F198" s="1199"/>
      <c r="G198" s="1199"/>
      <c r="H198" s="1293"/>
      <c r="I198" s="2821" t="s">
        <v>224</v>
      </c>
      <c r="J198" s="2822"/>
      <c r="K198" s="1413">
        <f>SUM(K174:K197)</f>
        <v>310.7</v>
      </c>
      <c r="L198" s="1923">
        <f>SUM(L174:L197)</f>
        <v>298.39999999999998</v>
      </c>
      <c r="M198" s="1413">
        <f>SUM(M174:M197)</f>
        <v>442.6</v>
      </c>
      <c r="N198" s="2233">
        <f t="shared" ref="N198:P198" si="9">SUM(N174:N197)</f>
        <v>296.2</v>
      </c>
      <c r="O198" s="2235">
        <f t="shared" si="9"/>
        <v>0</v>
      </c>
      <c r="P198" s="2233">
        <f t="shared" si="9"/>
        <v>146.4</v>
      </c>
      <c r="Q198" s="1413">
        <f>SUM(Q174:Q197)</f>
        <v>296.60000000000002</v>
      </c>
      <c r="R198" s="1413">
        <f>SUM(R174:R197)</f>
        <v>251.6</v>
      </c>
      <c r="S198" s="1374"/>
      <c r="T198" s="1640"/>
      <c r="U198" s="1712"/>
      <c r="V198" s="1712"/>
      <c r="W198" s="1657"/>
    </row>
    <row r="199" spans="1:26" ht="14.25" customHeight="1" thickBot="1" x14ac:dyDescent="0.25">
      <c r="A199" s="683" t="s">
        <v>9</v>
      </c>
      <c r="B199" s="11" t="s">
        <v>11</v>
      </c>
      <c r="C199" s="2516" t="s">
        <v>12</v>
      </c>
      <c r="D199" s="2516"/>
      <c r="E199" s="2516"/>
      <c r="F199" s="2516"/>
      <c r="G199" s="2516"/>
      <c r="H199" s="2516"/>
      <c r="I199" s="2516"/>
      <c r="J199" s="2516"/>
      <c r="K199" s="1693">
        <f>K198</f>
        <v>310.7</v>
      </c>
      <c r="L199" s="1414">
        <f t="shared" ref="L199:R199" si="10">L198</f>
        <v>298.39999999999998</v>
      </c>
      <c r="M199" s="1408">
        <f t="shared" si="10"/>
        <v>442.6</v>
      </c>
      <c r="N199" s="2234">
        <f t="shared" si="10"/>
        <v>296.2</v>
      </c>
      <c r="O199" s="2236">
        <f t="shared" si="10"/>
        <v>0</v>
      </c>
      <c r="P199" s="2234">
        <f t="shared" si="10"/>
        <v>146.4</v>
      </c>
      <c r="Q199" s="1414">
        <f t="shared" si="10"/>
        <v>296.60000000000002</v>
      </c>
      <c r="R199" s="1408">
        <f t="shared" si="10"/>
        <v>251.6</v>
      </c>
      <c r="S199" s="1954"/>
      <c r="T199" s="1954"/>
      <c r="U199" s="1954"/>
      <c r="V199" s="1954"/>
      <c r="W199" s="1955"/>
    </row>
    <row r="200" spans="1:26" ht="15.75" customHeight="1" thickBot="1" x14ac:dyDescent="0.25">
      <c r="A200" s="682" t="s">
        <v>9</v>
      </c>
      <c r="B200" s="11" t="s">
        <v>38</v>
      </c>
      <c r="C200" s="2773" t="s">
        <v>597</v>
      </c>
      <c r="D200" s="2774"/>
      <c r="E200" s="2774"/>
      <c r="F200" s="2774"/>
      <c r="G200" s="2774"/>
      <c r="H200" s="2774"/>
      <c r="I200" s="2774"/>
      <c r="J200" s="2774"/>
      <c r="K200" s="2774"/>
      <c r="L200" s="2811"/>
      <c r="M200" s="2811"/>
      <c r="N200" s="2811"/>
      <c r="O200" s="2811"/>
      <c r="P200" s="2811"/>
      <c r="Q200" s="2811"/>
      <c r="R200" s="2019"/>
      <c r="S200" s="1713"/>
      <c r="T200" s="1966"/>
      <c r="U200" s="1966"/>
      <c r="V200" s="1966"/>
      <c r="W200" s="1967"/>
    </row>
    <row r="201" spans="1:26" ht="27.75" customHeight="1" x14ac:dyDescent="0.2">
      <c r="A201" s="684" t="s">
        <v>9</v>
      </c>
      <c r="B201" s="1969" t="s">
        <v>38</v>
      </c>
      <c r="C201" s="1202" t="s">
        <v>9</v>
      </c>
      <c r="D201" s="1375"/>
      <c r="E201" s="1444" t="s">
        <v>381</v>
      </c>
      <c r="F201" s="1454"/>
      <c r="G201" s="1443"/>
      <c r="H201" s="2056">
        <v>6</v>
      </c>
      <c r="I201" s="2856" t="s">
        <v>379</v>
      </c>
      <c r="J201" s="1376"/>
      <c r="K201" s="1377"/>
      <c r="L201" s="1878"/>
      <c r="M201" s="1714"/>
      <c r="N201" s="1719"/>
      <c r="O201" s="1719"/>
      <c r="P201" s="1716"/>
      <c r="Q201" s="1377"/>
      <c r="R201" s="1377"/>
      <c r="S201" s="1378"/>
      <c r="T201" s="1641"/>
      <c r="U201" s="1679"/>
      <c r="V201" s="1679"/>
      <c r="W201" s="1658"/>
    </row>
    <row r="202" spans="1:26" ht="39.75" customHeight="1" x14ac:dyDescent="0.2">
      <c r="A202" s="2061"/>
      <c r="B202" s="1960"/>
      <c r="C202" s="1996"/>
      <c r="D202" s="1203" t="s">
        <v>9</v>
      </c>
      <c r="E202" s="1445" t="s">
        <v>382</v>
      </c>
      <c r="F202" s="1879"/>
      <c r="G202" s="1347"/>
      <c r="H202" s="2057"/>
      <c r="I202" s="2857"/>
      <c r="J202" s="1327"/>
      <c r="K202" s="1415"/>
      <c r="L202" s="1734"/>
      <c r="M202" s="1715"/>
      <c r="N202" s="1613"/>
      <c r="O202" s="1613"/>
      <c r="P202" s="1717"/>
      <c r="Q202" s="1415"/>
      <c r="R202" s="1873"/>
      <c r="S202" s="1874"/>
      <c r="T202" s="1875"/>
      <c r="U202" s="1875"/>
      <c r="W202" s="1876"/>
    </row>
    <row r="203" spans="1:26" ht="15.75" customHeight="1" x14ac:dyDescent="0.2">
      <c r="A203" s="2061"/>
      <c r="B203" s="1960"/>
      <c r="C203" s="1996"/>
      <c r="D203" s="1203"/>
      <c r="E203" s="2026" t="s">
        <v>612</v>
      </c>
      <c r="F203" s="1879"/>
      <c r="G203" s="2854" t="s">
        <v>457</v>
      </c>
      <c r="H203" s="2057"/>
      <c r="I203" s="2858"/>
      <c r="J203" s="2007" t="s">
        <v>36</v>
      </c>
      <c r="K203" s="1479">
        <v>728.6</v>
      </c>
      <c r="L203" s="2034">
        <v>725.1</v>
      </c>
      <c r="M203" s="2087">
        <v>1200</v>
      </c>
      <c r="N203" s="1542">
        <v>24.3</v>
      </c>
      <c r="O203" s="1542"/>
      <c r="P203" s="1393">
        <v>1175.7</v>
      </c>
      <c r="Q203" s="1479">
        <v>725</v>
      </c>
      <c r="R203" s="1479">
        <v>725</v>
      </c>
      <c r="S203" s="2039" t="s">
        <v>397</v>
      </c>
      <c r="T203" s="1642">
        <v>220</v>
      </c>
      <c r="U203" s="1680">
        <v>507</v>
      </c>
      <c r="V203" s="1680">
        <v>250</v>
      </c>
      <c r="W203" s="1659">
        <v>250</v>
      </c>
    </row>
    <row r="204" spans="1:26" ht="29.25" customHeight="1" x14ac:dyDescent="0.2">
      <c r="A204" s="2061"/>
      <c r="B204" s="1960"/>
      <c r="C204" s="1996"/>
      <c r="D204" s="1203"/>
      <c r="E204" s="2026" t="s">
        <v>398</v>
      </c>
      <c r="F204" s="1879"/>
      <c r="G204" s="2854"/>
      <c r="H204" s="2057"/>
      <c r="I204" s="2858"/>
      <c r="J204" s="2007"/>
      <c r="K204" s="1479"/>
      <c r="L204" s="2034"/>
      <c r="M204" s="2087"/>
      <c r="N204" s="1542"/>
      <c r="O204" s="1542"/>
      <c r="P204" s="1393"/>
      <c r="Q204" s="1479"/>
      <c r="R204" s="1479"/>
      <c r="S204" s="2039" t="s">
        <v>399</v>
      </c>
      <c r="T204" s="1642">
        <v>352</v>
      </c>
      <c r="U204" s="1680">
        <v>411</v>
      </c>
      <c r="V204" s="1680">
        <v>358</v>
      </c>
      <c r="W204" s="1659">
        <v>358</v>
      </c>
    </row>
    <row r="205" spans="1:26" ht="28.5" customHeight="1" x14ac:dyDescent="0.2">
      <c r="A205" s="2061"/>
      <c r="B205" s="1960"/>
      <c r="C205" s="1996"/>
      <c r="D205" s="1203"/>
      <c r="E205" s="2026" t="s">
        <v>613</v>
      </c>
      <c r="F205" s="1879"/>
      <c r="G205" s="2854"/>
      <c r="H205" s="2057"/>
      <c r="I205" s="2858"/>
      <c r="J205" s="1437"/>
      <c r="K205" s="1877"/>
      <c r="L205" s="1405"/>
      <c r="M205" s="1553"/>
      <c r="N205" s="1559"/>
      <c r="O205" s="1559"/>
      <c r="P205" s="1394"/>
      <c r="Q205" s="1877"/>
      <c r="R205" s="1877"/>
      <c r="S205" s="2306" t="s">
        <v>650</v>
      </c>
      <c r="T205" s="1604">
        <v>11</v>
      </c>
      <c r="U205" s="1559">
        <v>11.4</v>
      </c>
      <c r="V205" s="1559">
        <v>6.2</v>
      </c>
      <c r="W205" s="1579">
        <v>6.2</v>
      </c>
    </row>
    <row r="206" spans="1:26" ht="39.75" customHeight="1" x14ac:dyDescent="0.2">
      <c r="A206" s="2020"/>
      <c r="B206" s="1964"/>
      <c r="C206" s="1996"/>
      <c r="D206" s="1962"/>
      <c r="E206" s="1760"/>
      <c r="F206" s="1880"/>
      <c r="G206" s="2854"/>
      <c r="H206" s="2057"/>
      <c r="I206" s="2000"/>
      <c r="J206" s="1437" t="s">
        <v>550</v>
      </c>
      <c r="K206" s="1553"/>
      <c r="L206" s="1405">
        <v>43.4</v>
      </c>
      <c r="M206" s="1553"/>
      <c r="N206" s="1559"/>
      <c r="O206" s="1559"/>
      <c r="P206" s="1438"/>
      <c r="Q206" s="1553"/>
      <c r="R206" s="1405"/>
      <c r="S206" s="2018" t="s">
        <v>573</v>
      </c>
      <c r="T206" s="1737">
        <v>6</v>
      </c>
      <c r="U206" s="1738"/>
      <c r="V206" s="1738"/>
      <c r="W206" s="1739"/>
    </row>
    <row r="207" spans="1:26" ht="50.25" customHeight="1" x14ac:dyDescent="0.2">
      <c r="A207" s="2020"/>
      <c r="B207" s="1964"/>
      <c r="C207" s="1315"/>
      <c r="D207" s="2002"/>
      <c r="E207" s="2055" t="s">
        <v>383</v>
      </c>
      <c r="F207" s="1791"/>
      <c r="G207" s="2867"/>
      <c r="H207" s="2057"/>
      <c r="I207" s="2000" t="s">
        <v>579</v>
      </c>
      <c r="J207" s="1197" t="s">
        <v>36</v>
      </c>
      <c r="K207" s="1340"/>
      <c r="L207" s="1404">
        <v>3.5</v>
      </c>
      <c r="M207" s="1340"/>
      <c r="N207" s="1543"/>
      <c r="O207" s="1543"/>
      <c r="P207" s="1400"/>
      <c r="Q207" s="1340"/>
      <c r="R207" s="1340"/>
      <c r="S207" s="1339" t="s">
        <v>574</v>
      </c>
      <c r="T207" s="1643">
        <v>0</v>
      </c>
      <c r="U207" s="1681"/>
      <c r="V207" s="1681"/>
      <c r="W207" s="1660"/>
    </row>
    <row r="208" spans="1:26" ht="24.75" customHeight="1" x14ac:dyDescent="0.2">
      <c r="A208" s="2668"/>
      <c r="B208" s="2521"/>
      <c r="C208" s="2845"/>
      <c r="D208" s="2846" t="s">
        <v>11</v>
      </c>
      <c r="E208" s="2744" t="s">
        <v>356</v>
      </c>
      <c r="F208" s="2859"/>
      <c r="G208" s="2861" t="s">
        <v>448</v>
      </c>
      <c r="H208" s="2057"/>
      <c r="I208" s="3025" t="s">
        <v>581</v>
      </c>
      <c r="J208" s="2024" t="s">
        <v>36</v>
      </c>
      <c r="K208" s="1416">
        <v>12</v>
      </c>
      <c r="L208" s="1403">
        <v>12</v>
      </c>
      <c r="M208" s="1416">
        <v>10</v>
      </c>
      <c r="N208" s="1541">
        <v>10</v>
      </c>
      <c r="O208" s="1541"/>
      <c r="P208" s="1482"/>
      <c r="Q208" s="1416">
        <v>10</v>
      </c>
      <c r="R208" s="1416">
        <v>10</v>
      </c>
      <c r="S208" s="1994" t="s">
        <v>575</v>
      </c>
      <c r="T208" s="1644">
        <v>20</v>
      </c>
      <c r="U208" s="1682">
        <v>19</v>
      </c>
      <c r="V208" s="1682">
        <v>19</v>
      </c>
      <c r="W208" s="1661">
        <v>19</v>
      </c>
    </row>
    <row r="209" spans="1:29" ht="27" customHeight="1" x14ac:dyDescent="0.2">
      <c r="A209" s="2668"/>
      <c r="B209" s="2521"/>
      <c r="C209" s="2845"/>
      <c r="D209" s="2847"/>
      <c r="E209" s="2745"/>
      <c r="F209" s="2860"/>
      <c r="G209" s="2862"/>
      <c r="H209" s="2057"/>
      <c r="I209" s="2820"/>
      <c r="J209" s="1197"/>
      <c r="K209" s="1340"/>
      <c r="L209" s="1404"/>
      <c r="M209" s="1340"/>
      <c r="N209" s="1543"/>
      <c r="O209" s="1543"/>
      <c r="P209" s="1400"/>
      <c r="Q209" s="1340"/>
      <c r="R209" s="1340"/>
      <c r="S209" s="1339"/>
      <c r="T209" s="1645"/>
      <c r="U209" s="1683"/>
      <c r="V209" s="1683"/>
      <c r="W209" s="1662"/>
    </row>
    <row r="210" spans="1:29" ht="24.75" customHeight="1" x14ac:dyDescent="0.2">
      <c r="A210" s="2668"/>
      <c r="B210" s="2521"/>
      <c r="C210" s="2845"/>
      <c r="D210" s="2846" t="s">
        <v>38</v>
      </c>
      <c r="E210" s="2744" t="s">
        <v>614</v>
      </c>
      <c r="F210" s="2859"/>
      <c r="G210" s="2861" t="s">
        <v>448</v>
      </c>
      <c r="H210" s="2057"/>
      <c r="I210" s="2820"/>
      <c r="J210" s="2024" t="s">
        <v>36</v>
      </c>
      <c r="K210" s="1416"/>
      <c r="L210" s="1403"/>
      <c r="M210" s="1416">
        <v>0.6</v>
      </c>
      <c r="N210" s="1541">
        <v>0.6</v>
      </c>
      <c r="O210" s="1541"/>
      <c r="P210" s="1482"/>
      <c r="Q210" s="1416">
        <v>0.6</v>
      </c>
      <c r="R210" s="1416">
        <v>0.6</v>
      </c>
      <c r="S210" s="1994" t="s">
        <v>576</v>
      </c>
      <c r="T210" s="1644"/>
      <c r="U210" s="1682">
        <v>1</v>
      </c>
      <c r="V210" s="1682">
        <v>1</v>
      </c>
      <c r="W210" s="1661">
        <v>1</v>
      </c>
    </row>
    <row r="211" spans="1:29" ht="27" customHeight="1" x14ac:dyDescent="0.2">
      <c r="A211" s="2668"/>
      <c r="B211" s="2521"/>
      <c r="C211" s="2845"/>
      <c r="D211" s="2847"/>
      <c r="E211" s="2745"/>
      <c r="F211" s="2860"/>
      <c r="G211" s="2862"/>
      <c r="H211" s="2057"/>
      <c r="I211" s="2820"/>
      <c r="J211" s="1197"/>
      <c r="K211" s="1340"/>
      <c r="L211" s="1404"/>
      <c r="M211" s="1340"/>
      <c r="N211" s="1543"/>
      <c r="O211" s="1543"/>
      <c r="P211" s="1400"/>
      <c r="Q211" s="1340"/>
      <c r="R211" s="1340"/>
      <c r="S211" s="1339"/>
      <c r="T211" s="1645"/>
      <c r="U211" s="1683"/>
      <c r="V211" s="1683"/>
      <c r="W211" s="1662"/>
    </row>
    <row r="212" spans="1:29" ht="32.25" customHeight="1" x14ac:dyDescent="0.2">
      <c r="A212" s="2668"/>
      <c r="B212" s="2521"/>
      <c r="C212" s="2845"/>
      <c r="D212" s="2846" t="s">
        <v>53</v>
      </c>
      <c r="E212" s="2744" t="s">
        <v>580</v>
      </c>
      <c r="F212" s="2859"/>
      <c r="G212" s="2861" t="s">
        <v>448</v>
      </c>
      <c r="H212" s="2057"/>
      <c r="I212" s="2820"/>
      <c r="J212" s="2024" t="s">
        <v>36</v>
      </c>
      <c r="K212" s="1416"/>
      <c r="L212" s="1403"/>
      <c r="M212" s="1416">
        <v>2.2000000000000002</v>
      </c>
      <c r="N212" s="1541">
        <v>2.2000000000000002</v>
      </c>
      <c r="O212" s="1541"/>
      <c r="P212" s="1482"/>
      <c r="Q212" s="1416">
        <f>+M212</f>
        <v>2.2000000000000002</v>
      </c>
      <c r="R212" s="1416">
        <f>+M212</f>
        <v>2.2000000000000002</v>
      </c>
      <c r="S212" s="1994" t="s">
        <v>616</v>
      </c>
      <c r="T212" s="1644">
        <v>395</v>
      </c>
      <c r="U212" s="1682">
        <v>395</v>
      </c>
      <c r="V212" s="1682">
        <v>395</v>
      </c>
      <c r="W212" s="1661">
        <v>395</v>
      </c>
    </row>
    <row r="213" spans="1:29" ht="19.5" customHeight="1" x14ac:dyDescent="0.2">
      <c r="A213" s="2668"/>
      <c r="B213" s="2521"/>
      <c r="C213" s="2845"/>
      <c r="D213" s="2847"/>
      <c r="E213" s="2745"/>
      <c r="F213" s="2860"/>
      <c r="G213" s="2862"/>
      <c r="H213" s="2057"/>
      <c r="I213" s="2820"/>
      <c r="J213" s="1197"/>
      <c r="K213" s="1340"/>
      <c r="L213" s="1404"/>
      <c r="M213" s="1340"/>
      <c r="N213" s="1543"/>
      <c r="O213" s="1543"/>
      <c r="P213" s="1400"/>
      <c r="Q213" s="1340"/>
      <c r="R213" s="1340"/>
      <c r="S213" s="1339"/>
      <c r="T213" s="1645"/>
      <c r="U213" s="1683"/>
      <c r="V213" s="1683"/>
      <c r="W213" s="1662"/>
    </row>
    <row r="214" spans="1:29" ht="24.75" customHeight="1" x14ac:dyDescent="0.2">
      <c r="A214" s="2668"/>
      <c r="B214" s="2521"/>
      <c r="C214" s="2845"/>
      <c r="D214" s="2846" t="s">
        <v>54</v>
      </c>
      <c r="E214" s="2744" t="s">
        <v>577</v>
      </c>
      <c r="F214" s="2859"/>
      <c r="G214" s="2861" t="s">
        <v>448</v>
      </c>
      <c r="H214" s="2057"/>
      <c r="I214" s="2820"/>
      <c r="J214" s="2024" t="s">
        <v>36</v>
      </c>
      <c r="K214" s="1416"/>
      <c r="L214" s="1403"/>
      <c r="M214" s="1416">
        <v>70</v>
      </c>
      <c r="N214" s="1541"/>
      <c r="O214" s="1541"/>
      <c r="P214" s="1482">
        <v>70</v>
      </c>
      <c r="Q214" s="1416">
        <v>0</v>
      </c>
      <c r="R214" s="1416">
        <v>0</v>
      </c>
      <c r="S214" s="1994" t="s">
        <v>578</v>
      </c>
      <c r="T214" s="1644"/>
      <c r="U214" s="1682">
        <v>1</v>
      </c>
      <c r="V214" s="1682"/>
      <c r="W214" s="1661"/>
      <c r="X214" s="48"/>
      <c r="Y214" s="2283"/>
      <c r="Z214" s="2283"/>
      <c r="AA214" s="2283"/>
      <c r="AB214" s="2283"/>
    </row>
    <row r="215" spans="1:29" ht="27" customHeight="1" x14ac:dyDescent="0.2">
      <c r="A215" s="2668"/>
      <c r="B215" s="2521"/>
      <c r="C215" s="2845"/>
      <c r="D215" s="2847"/>
      <c r="E215" s="2745"/>
      <c r="F215" s="2860"/>
      <c r="G215" s="2862"/>
      <c r="H215" s="1950"/>
      <c r="I215" s="2839"/>
      <c r="J215" s="1197"/>
      <c r="K215" s="1340"/>
      <c r="L215" s="1404"/>
      <c r="M215" s="1340"/>
      <c r="N215" s="1543"/>
      <c r="O215" s="1545"/>
      <c r="P215" s="1548"/>
      <c r="Q215" s="1340"/>
      <c r="R215" s="1340"/>
      <c r="S215" s="1339"/>
      <c r="T215" s="1645"/>
      <c r="U215" s="1683"/>
      <c r="V215" s="1683"/>
      <c r="W215" s="1662"/>
      <c r="X215" s="2284"/>
      <c r="Y215" s="2283"/>
      <c r="Z215" s="2283"/>
      <c r="AA215" s="2283"/>
      <c r="AB215" s="2283"/>
    </row>
    <row r="216" spans="1:29" ht="15.75" customHeight="1" thickBot="1" x14ac:dyDescent="0.25">
      <c r="A216" s="1294"/>
      <c r="B216" s="1200"/>
      <c r="C216" s="1198"/>
      <c r="D216" s="1198"/>
      <c r="E216" s="1292"/>
      <c r="F216" s="1199"/>
      <c r="G216" s="1199"/>
      <c r="H216" s="1293"/>
      <c r="I216" s="2821" t="s">
        <v>224</v>
      </c>
      <c r="J216" s="2822"/>
      <c r="K216" s="1417">
        <f>SUM(K202:K215)</f>
        <v>740.6</v>
      </c>
      <c r="L216" s="1417">
        <f>SUM(L202:L215)</f>
        <v>784</v>
      </c>
      <c r="M216" s="1417">
        <f>SUM(M202:M215)</f>
        <v>1282.8</v>
      </c>
      <c r="N216" s="1922">
        <f t="shared" ref="N216:P216" si="11">SUM(N202:N215)</f>
        <v>37.1</v>
      </c>
      <c r="O216" s="1922">
        <f t="shared" si="11"/>
        <v>0</v>
      </c>
      <c r="P216" s="1925">
        <f t="shared" si="11"/>
        <v>1245.7</v>
      </c>
      <c r="Q216" s="1417">
        <f>SUM(Q202:Q215)</f>
        <v>737.8</v>
      </c>
      <c r="R216" s="1417">
        <f>SUM(R202:R215)</f>
        <v>737.8</v>
      </c>
      <c r="S216" s="1374"/>
      <c r="T216" s="1640"/>
      <c r="U216" s="1677"/>
      <c r="V216" s="1677"/>
      <c r="W216" s="1657"/>
    </row>
    <row r="217" spans="1:29" ht="59.25" customHeight="1" x14ac:dyDescent="0.2">
      <c r="A217" s="684" t="s">
        <v>9</v>
      </c>
      <c r="B217" s="1969" t="s">
        <v>38</v>
      </c>
      <c r="C217" s="1970" t="s">
        <v>11</v>
      </c>
      <c r="D217" s="1970"/>
      <c r="E217" s="2003" t="s">
        <v>601</v>
      </c>
      <c r="F217" s="1446"/>
      <c r="G217" s="2865" t="s">
        <v>456</v>
      </c>
      <c r="H217" s="2023" t="s">
        <v>95</v>
      </c>
      <c r="I217" s="1946" t="s">
        <v>227</v>
      </c>
      <c r="J217" s="1295" t="s">
        <v>36</v>
      </c>
      <c r="K217" s="1396">
        <v>3.6</v>
      </c>
      <c r="L217" s="1396">
        <v>3.6</v>
      </c>
      <c r="M217" s="1396">
        <v>3.6</v>
      </c>
      <c r="N217" s="1622">
        <v>3.6</v>
      </c>
      <c r="O217" s="1622"/>
      <c r="P217" s="1926"/>
      <c r="Q217" s="1396">
        <v>3.6</v>
      </c>
      <c r="R217" s="1571"/>
      <c r="S217" s="2470" t="s">
        <v>424</v>
      </c>
      <c r="T217" s="1646">
        <v>11</v>
      </c>
      <c r="U217" s="1972">
        <v>8</v>
      </c>
      <c r="V217" s="1972">
        <v>8</v>
      </c>
      <c r="W217" s="1663"/>
      <c r="X217" s="14"/>
      <c r="Y217" s="14"/>
      <c r="Z217" s="14"/>
      <c r="AA217" s="14"/>
      <c r="AB217" s="14"/>
      <c r="AC217" s="14"/>
    </row>
    <row r="218" spans="1:29" ht="18.75" customHeight="1" thickBot="1" x14ac:dyDescent="0.25">
      <c r="A218" s="2049"/>
      <c r="B218" s="1965"/>
      <c r="C218" s="1296"/>
      <c r="D218" s="1971"/>
      <c r="E218" s="1448"/>
      <c r="F218" s="1447"/>
      <c r="G218" s="2866"/>
      <c r="H218" s="722"/>
      <c r="I218" s="1297"/>
      <c r="J218" s="283" t="s">
        <v>10</v>
      </c>
      <c r="K218" s="1489">
        <f>K217</f>
        <v>3.6</v>
      </c>
      <c r="L218" s="1489">
        <f>L217</f>
        <v>3.6</v>
      </c>
      <c r="M218" s="1489">
        <f t="shared" ref="M218:R218" si="12">M217</f>
        <v>3.6</v>
      </c>
      <c r="N218" s="1924">
        <f t="shared" si="12"/>
        <v>3.6</v>
      </c>
      <c r="O218" s="1924">
        <f t="shared" si="12"/>
        <v>0</v>
      </c>
      <c r="P218" s="1927">
        <f t="shared" si="12"/>
        <v>0</v>
      </c>
      <c r="Q218" s="1489">
        <f t="shared" si="12"/>
        <v>3.6</v>
      </c>
      <c r="R218" s="1489">
        <f t="shared" si="12"/>
        <v>0</v>
      </c>
      <c r="S218" s="2466"/>
      <c r="T218" s="1647"/>
      <c r="U218" s="1973"/>
      <c r="V218" s="1973"/>
      <c r="W218" s="1664"/>
      <c r="X218" s="14"/>
      <c r="Y218" s="14"/>
      <c r="Z218" s="14"/>
      <c r="AA218" s="14"/>
      <c r="AB218" s="14"/>
      <c r="AC218" s="14"/>
    </row>
    <row r="219" spans="1:29" ht="46.5" customHeight="1" x14ac:dyDescent="0.2">
      <c r="A219" s="684" t="s">
        <v>9</v>
      </c>
      <c r="B219" s="1969" t="s">
        <v>38</v>
      </c>
      <c r="C219" s="1970" t="s">
        <v>38</v>
      </c>
      <c r="D219" s="1970"/>
      <c r="E219" s="2771" t="s">
        <v>617</v>
      </c>
      <c r="F219" s="1446"/>
      <c r="G219" s="2865" t="s">
        <v>456</v>
      </c>
      <c r="H219" s="2023" t="s">
        <v>95</v>
      </c>
      <c r="I219" s="1946" t="s">
        <v>227</v>
      </c>
      <c r="J219" s="1295" t="s">
        <v>36</v>
      </c>
      <c r="K219" s="1396"/>
      <c r="L219" s="1396"/>
      <c r="M219" s="1396">
        <v>3.6</v>
      </c>
      <c r="N219" s="1622">
        <v>3.6</v>
      </c>
      <c r="O219" s="1622"/>
      <c r="P219" s="1926"/>
      <c r="Q219" s="1396">
        <v>3.6</v>
      </c>
      <c r="R219" s="1571">
        <v>3.6</v>
      </c>
      <c r="S219" s="2470" t="s">
        <v>588</v>
      </c>
      <c r="T219" s="1646"/>
      <c r="U219" s="1972">
        <v>11</v>
      </c>
      <c r="V219" s="1972">
        <v>11</v>
      </c>
      <c r="W219" s="1663">
        <v>11</v>
      </c>
      <c r="X219" s="2243"/>
      <c r="Y219" s="2244"/>
      <c r="Z219" s="2244"/>
      <c r="AA219" s="2244"/>
      <c r="AB219" s="2244"/>
      <c r="AC219" s="14"/>
    </row>
    <row r="220" spans="1:29" ht="33" customHeight="1" thickBot="1" x14ac:dyDescent="0.25">
      <c r="A220" s="2049"/>
      <c r="B220" s="1965"/>
      <c r="C220" s="1296"/>
      <c r="D220" s="1971"/>
      <c r="E220" s="2775"/>
      <c r="F220" s="1447"/>
      <c r="G220" s="2866"/>
      <c r="H220" s="722"/>
      <c r="I220" s="1297"/>
      <c r="J220" s="283" t="s">
        <v>10</v>
      </c>
      <c r="K220" s="1489">
        <f>K219</f>
        <v>0</v>
      </c>
      <c r="L220" s="1489">
        <f>L219</f>
        <v>0</v>
      </c>
      <c r="M220" s="1489">
        <f t="shared" ref="M220:R220" si="13">M219</f>
        <v>3.6</v>
      </c>
      <c r="N220" s="1924">
        <f t="shared" si="13"/>
        <v>3.6</v>
      </c>
      <c r="O220" s="1924">
        <f t="shared" si="13"/>
        <v>0</v>
      </c>
      <c r="P220" s="1927">
        <f t="shared" si="13"/>
        <v>0</v>
      </c>
      <c r="Q220" s="1489">
        <f t="shared" si="13"/>
        <v>3.6</v>
      </c>
      <c r="R220" s="1489">
        <f t="shared" si="13"/>
        <v>3.6</v>
      </c>
      <c r="S220" s="2466"/>
      <c r="T220" s="1647"/>
      <c r="U220" s="1973"/>
      <c r="V220" s="1973"/>
      <c r="W220" s="1664"/>
      <c r="X220" s="2245"/>
      <c r="Y220" s="2244"/>
      <c r="Z220" s="2244"/>
      <c r="AA220" s="2244"/>
      <c r="AB220" s="2244"/>
      <c r="AC220" s="14"/>
    </row>
    <row r="221" spans="1:29" ht="53.25" customHeight="1" x14ac:dyDescent="0.2">
      <c r="A221" s="684" t="s">
        <v>9</v>
      </c>
      <c r="B221" s="1969" t="s">
        <v>38</v>
      </c>
      <c r="C221" s="1970" t="s">
        <v>53</v>
      </c>
      <c r="D221" s="1970"/>
      <c r="E221" s="2771" t="s">
        <v>618</v>
      </c>
      <c r="F221" s="1446"/>
      <c r="G221" s="2865" t="s">
        <v>456</v>
      </c>
      <c r="H221" s="2023" t="s">
        <v>95</v>
      </c>
      <c r="I221" s="1946" t="s">
        <v>227</v>
      </c>
      <c r="J221" s="1295" t="s">
        <v>36</v>
      </c>
      <c r="K221" s="1396"/>
      <c r="L221" s="1396"/>
      <c r="M221" s="1396">
        <v>3</v>
      </c>
      <c r="N221" s="1622">
        <v>3</v>
      </c>
      <c r="O221" s="1622"/>
      <c r="P221" s="1926"/>
      <c r="Q221" s="1396"/>
      <c r="R221" s="1571"/>
      <c r="S221" s="2470" t="s">
        <v>596</v>
      </c>
      <c r="T221" s="1646"/>
      <c r="U221" s="1972">
        <v>8</v>
      </c>
      <c r="V221" s="1972"/>
      <c r="W221" s="1663"/>
      <c r="X221" s="2243"/>
      <c r="Y221" s="2244"/>
      <c r="Z221" s="2244"/>
      <c r="AA221" s="2244"/>
      <c r="AB221" s="2244"/>
      <c r="AC221" s="14"/>
    </row>
    <row r="222" spans="1:29" ht="26.25" customHeight="1" thickBot="1" x14ac:dyDescent="0.25">
      <c r="A222" s="2049"/>
      <c r="B222" s="1965"/>
      <c r="C222" s="1296"/>
      <c r="D222" s="1971"/>
      <c r="E222" s="2775"/>
      <c r="F222" s="1447"/>
      <c r="G222" s="2866"/>
      <c r="H222" s="722"/>
      <c r="I222" s="1297"/>
      <c r="J222" s="283" t="s">
        <v>10</v>
      </c>
      <c r="K222" s="1489">
        <f>K221</f>
        <v>0</v>
      </c>
      <c r="L222" s="1489">
        <f>L221</f>
        <v>0</v>
      </c>
      <c r="M222" s="1489">
        <f t="shared" ref="M222:R222" si="14">M221</f>
        <v>3</v>
      </c>
      <c r="N222" s="1924">
        <f t="shared" si="14"/>
        <v>3</v>
      </c>
      <c r="O222" s="1924">
        <f t="shared" si="14"/>
        <v>0</v>
      </c>
      <c r="P222" s="1927">
        <f t="shared" si="14"/>
        <v>0</v>
      </c>
      <c r="Q222" s="1489">
        <f t="shared" si="14"/>
        <v>0</v>
      </c>
      <c r="R222" s="1489">
        <f t="shared" si="14"/>
        <v>0</v>
      </c>
      <c r="S222" s="2466"/>
      <c r="T222" s="1647"/>
      <c r="U222" s="1973"/>
      <c r="V222" s="1973"/>
      <c r="W222" s="1664"/>
      <c r="X222" s="2245"/>
      <c r="Y222" s="2244"/>
      <c r="Z222" s="2244"/>
      <c r="AA222" s="2244"/>
      <c r="AB222" s="2244"/>
      <c r="AC222" s="14"/>
    </row>
    <row r="223" spans="1:29" ht="13.5" thickBot="1" x14ac:dyDescent="0.25">
      <c r="A223" s="682" t="s">
        <v>9</v>
      </c>
      <c r="B223" s="11" t="s">
        <v>38</v>
      </c>
      <c r="C223" s="2571" t="s">
        <v>12</v>
      </c>
      <c r="D223" s="2516"/>
      <c r="E223" s="2516"/>
      <c r="F223" s="2516"/>
      <c r="G223" s="2516"/>
      <c r="H223" s="2516"/>
      <c r="I223" s="2516"/>
      <c r="J223" s="2542"/>
      <c r="K223" s="1414">
        <f>K216+K218+K220</f>
        <v>744.2</v>
      </c>
      <c r="L223" s="1414">
        <f t="shared" ref="L223" si="15">L216+L218+L220</f>
        <v>787.6</v>
      </c>
      <c r="M223" s="1414">
        <f>M216+M218+M220+M222</f>
        <v>1293</v>
      </c>
      <c r="N223" s="1414">
        <f t="shared" ref="N223:Q223" si="16">N216+N218+N220+N222</f>
        <v>47.3</v>
      </c>
      <c r="O223" s="1414">
        <f t="shared" si="16"/>
        <v>0</v>
      </c>
      <c r="P223" s="1414">
        <f t="shared" si="16"/>
        <v>1245.7</v>
      </c>
      <c r="Q223" s="1414">
        <f t="shared" si="16"/>
        <v>745</v>
      </c>
      <c r="R223" s="1414">
        <f>R216+R218+R220+R222</f>
        <v>741.4</v>
      </c>
      <c r="S223" s="1379"/>
      <c r="T223" s="712"/>
      <c r="U223" s="1684"/>
      <c r="V223" s="1684"/>
      <c r="W223" s="1380"/>
      <c r="X223" s="14"/>
      <c r="Y223" s="14"/>
      <c r="Z223" s="14"/>
      <c r="AA223" s="14"/>
      <c r="AB223" s="14"/>
      <c r="AC223" s="14"/>
    </row>
    <row r="224" spans="1:29" ht="15.75" customHeight="1" thickBot="1" x14ac:dyDescent="0.25">
      <c r="A224" s="682" t="s">
        <v>9</v>
      </c>
      <c r="B224" s="11" t="s">
        <v>53</v>
      </c>
      <c r="C224" s="2773" t="s">
        <v>73</v>
      </c>
      <c r="D224" s="2774"/>
      <c r="E224" s="2774"/>
      <c r="F224" s="2774"/>
      <c r="G224" s="2774"/>
      <c r="H224" s="2774"/>
      <c r="I224" s="2774"/>
      <c r="J224" s="2774"/>
      <c r="K224" s="2774"/>
      <c r="L224" s="2019"/>
      <c r="M224" s="2019"/>
      <c r="N224" s="2019"/>
      <c r="O224" s="2019"/>
      <c r="P224" s="2019"/>
      <c r="Q224" s="2019"/>
      <c r="R224" s="2019"/>
      <c r="S224" s="1966"/>
      <c r="T224" s="1966"/>
      <c r="U224" s="1678"/>
      <c r="V224" s="1678"/>
      <c r="W224" s="1967"/>
      <c r="X224" s="14"/>
      <c r="Y224" s="14"/>
      <c r="Z224" s="14"/>
      <c r="AA224" s="14"/>
      <c r="AB224" s="14"/>
      <c r="AC224" s="14"/>
    </row>
    <row r="225" spans="1:29" s="1267" customFormat="1" ht="25.5" customHeight="1" x14ac:dyDescent="0.2">
      <c r="A225" s="2868" t="s">
        <v>9</v>
      </c>
      <c r="B225" s="2871" t="s">
        <v>53</v>
      </c>
      <c r="C225" s="2874" t="s">
        <v>9</v>
      </c>
      <c r="D225" s="2877"/>
      <c r="E225" s="2880" t="s">
        <v>425</v>
      </c>
      <c r="F225" s="2883" t="s">
        <v>91</v>
      </c>
      <c r="G225" s="2886" t="s">
        <v>475</v>
      </c>
      <c r="H225" s="1882" t="s">
        <v>40</v>
      </c>
      <c r="I225" s="2889" t="s">
        <v>230</v>
      </c>
      <c r="J225" s="1883" t="s">
        <v>36</v>
      </c>
      <c r="K225" s="1884">
        <v>200</v>
      </c>
      <c r="L225" s="1885">
        <v>200</v>
      </c>
      <c r="M225" s="2281">
        <v>200</v>
      </c>
      <c r="N225" s="2282"/>
      <c r="O225" s="2282"/>
      <c r="P225" s="2281">
        <v>200</v>
      </c>
      <c r="Q225" s="1885">
        <v>200</v>
      </c>
      <c r="R225" s="1885">
        <v>200</v>
      </c>
      <c r="S225" s="1899" t="s">
        <v>426</v>
      </c>
      <c r="T225" s="1886">
        <v>670</v>
      </c>
      <c r="U225" s="1887">
        <f>280+300+141</f>
        <v>721</v>
      </c>
      <c r="V225" s="1886">
        <f>260+137+320</f>
        <v>717</v>
      </c>
      <c r="W225" s="1888">
        <f>132+230+96+50+67</f>
        <v>575</v>
      </c>
      <c r="X225" s="2246"/>
      <c r="Y225" s="2246"/>
      <c r="Z225" s="2246"/>
      <c r="AA225" s="2247"/>
      <c r="AB225" s="2247"/>
      <c r="AC225" s="2247"/>
    </row>
    <row r="226" spans="1:29" s="1267" customFormat="1" ht="15" customHeight="1" x14ac:dyDescent="0.2">
      <c r="A226" s="2869"/>
      <c r="B226" s="2872"/>
      <c r="C226" s="2875"/>
      <c r="D226" s="2878"/>
      <c r="E226" s="2881"/>
      <c r="F226" s="2884"/>
      <c r="G226" s="2887"/>
      <c r="H226" s="1451"/>
      <c r="I226" s="2890"/>
      <c r="J226" s="1757" t="s">
        <v>92</v>
      </c>
      <c r="K226" s="1419"/>
      <c r="L226" s="1730"/>
      <c r="M226" s="1725"/>
      <c r="N226" s="1727"/>
      <c r="O226" s="1727"/>
      <c r="P226" s="1725"/>
      <c r="Q226" s="1730"/>
      <c r="R226" s="1730"/>
      <c r="S226" s="3012" t="s">
        <v>635</v>
      </c>
      <c r="T226" s="1648"/>
      <c r="U226" s="1685"/>
      <c r="V226" s="1648"/>
      <c r="W226" s="1465"/>
      <c r="X226" s="1881"/>
      <c r="Y226" s="1881"/>
      <c r="Z226" s="1881"/>
    </row>
    <row r="227" spans="1:29" s="1267" customFormat="1" ht="24.75" customHeight="1" x14ac:dyDescent="0.2">
      <c r="A227" s="2870"/>
      <c r="B227" s="2873"/>
      <c r="C227" s="2876"/>
      <c r="D227" s="2879"/>
      <c r="E227" s="2882"/>
      <c r="F227" s="2885"/>
      <c r="G227" s="2888"/>
      <c r="H227" s="1889"/>
      <c r="I227" s="1890"/>
      <c r="J227" s="1894"/>
      <c r="K227" s="1896"/>
      <c r="L227" s="1895"/>
      <c r="M227" s="1896"/>
      <c r="N227" s="1898"/>
      <c r="O227" s="1898"/>
      <c r="P227" s="1897"/>
      <c r="Q227" s="1895"/>
      <c r="R227" s="1895"/>
      <c r="S227" s="3012"/>
      <c r="T227" s="1891"/>
      <c r="U227" s="1892"/>
      <c r="V227" s="1891"/>
      <c r="W227" s="1893"/>
      <c r="X227" s="1881"/>
      <c r="Y227" s="1881"/>
      <c r="Z227" s="1881"/>
    </row>
    <row r="228" spans="1:29" s="1267" customFormat="1" ht="28.5" customHeight="1" x14ac:dyDescent="0.2">
      <c r="A228" s="2869"/>
      <c r="B228" s="2872"/>
      <c r="C228" s="2875"/>
      <c r="D228" s="2878"/>
      <c r="E228" s="2881"/>
      <c r="F228" s="2884"/>
      <c r="G228" s="2887"/>
      <c r="H228" s="1451"/>
      <c r="I228" s="1753"/>
      <c r="J228" s="1755"/>
      <c r="K228" s="1756"/>
      <c r="L228" s="1721"/>
      <c r="M228" s="1726"/>
      <c r="N228" s="1728"/>
      <c r="O228" s="1728"/>
      <c r="P228" s="1726"/>
      <c r="Q228" s="1721"/>
      <c r="R228" s="1721"/>
      <c r="S228" s="2171" t="s">
        <v>508</v>
      </c>
      <c r="T228" s="2172">
        <v>100</v>
      </c>
      <c r="U228" s="1685"/>
      <c r="V228" s="1648"/>
      <c r="W228" s="1465"/>
    </row>
    <row r="229" spans="1:29" s="1267" customFormat="1" ht="39" customHeight="1" thickBot="1" x14ac:dyDescent="0.25">
      <c r="A229" s="2894"/>
      <c r="B229" s="2895"/>
      <c r="C229" s="3024"/>
      <c r="D229" s="2897"/>
      <c r="E229" s="2898"/>
      <c r="F229" s="2899"/>
      <c r="G229" s="2900"/>
      <c r="H229" s="1952"/>
      <c r="I229" s="1953"/>
      <c r="J229" s="1268" t="s">
        <v>10</v>
      </c>
      <c r="K229" s="1754">
        <f>SUM(K225:K228)</f>
        <v>200</v>
      </c>
      <c r="L229" s="1754">
        <f t="shared" ref="L229:R229" si="17">SUM(L225:L228)</f>
        <v>200</v>
      </c>
      <c r="M229" s="1754">
        <f t="shared" si="17"/>
        <v>200</v>
      </c>
      <c r="N229" s="1754">
        <f t="shared" si="17"/>
        <v>0</v>
      </c>
      <c r="O229" s="1754">
        <f t="shared" si="17"/>
        <v>0</v>
      </c>
      <c r="P229" s="1754">
        <f t="shared" si="17"/>
        <v>200</v>
      </c>
      <c r="Q229" s="1731">
        <f t="shared" si="17"/>
        <v>200</v>
      </c>
      <c r="R229" s="1754">
        <f t="shared" si="17"/>
        <v>200</v>
      </c>
      <c r="S229" s="2173" t="s">
        <v>509</v>
      </c>
      <c r="T229" s="2174">
        <v>100</v>
      </c>
      <c r="U229" s="1900"/>
      <c r="V229" s="1901"/>
      <c r="W229" s="1902"/>
    </row>
    <row r="230" spans="1:29" ht="17.25" customHeight="1" x14ac:dyDescent="0.2">
      <c r="A230" s="2020" t="s">
        <v>9</v>
      </c>
      <c r="B230" s="1964" t="s">
        <v>53</v>
      </c>
      <c r="C230" s="2066" t="s">
        <v>11</v>
      </c>
      <c r="D230" s="1981"/>
      <c r="E230" s="2800" t="s">
        <v>542</v>
      </c>
      <c r="F230" s="1449" t="s">
        <v>91</v>
      </c>
      <c r="G230" s="2854" t="s">
        <v>466</v>
      </c>
      <c r="H230" s="2022" t="s">
        <v>90</v>
      </c>
      <c r="I230" s="2817" t="s">
        <v>229</v>
      </c>
      <c r="J230" s="2007" t="s">
        <v>36</v>
      </c>
      <c r="K230" s="2033">
        <v>20</v>
      </c>
      <c r="L230" s="2034">
        <v>14.6</v>
      </c>
      <c r="M230" s="1479">
        <v>45</v>
      </c>
      <c r="N230" s="1542"/>
      <c r="O230" s="1542"/>
      <c r="P230" s="1266">
        <v>45</v>
      </c>
      <c r="Q230" s="2034">
        <v>100</v>
      </c>
      <c r="R230" s="1774">
        <v>400</v>
      </c>
      <c r="S230" s="1722" t="s">
        <v>373</v>
      </c>
      <c r="T230" s="31">
        <v>1</v>
      </c>
      <c r="U230" s="31"/>
      <c r="V230" s="1723" t="s">
        <v>95</v>
      </c>
      <c r="W230" s="1334"/>
    </row>
    <row r="231" spans="1:29" ht="28.5" customHeight="1" x14ac:dyDescent="0.2">
      <c r="A231" s="680"/>
      <c r="B231" s="1964"/>
      <c r="C231" s="1313"/>
      <c r="D231" s="2066"/>
      <c r="E231" s="2800"/>
      <c r="F231" s="1449"/>
      <c r="G231" s="2854"/>
      <c r="H231" s="2022"/>
      <c r="I231" s="2817"/>
      <c r="J231" s="2007"/>
      <c r="K231" s="2033"/>
      <c r="L231" s="2034"/>
      <c r="M231" s="1402"/>
      <c r="N231" s="1542"/>
      <c r="O231" s="1542"/>
      <c r="P231" s="1402"/>
      <c r="Q231" s="2034"/>
      <c r="R231" s="2034"/>
      <c r="S231" s="1773" t="s">
        <v>569</v>
      </c>
      <c r="T231" s="31"/>
      <c r="U231" s="31"/>
      <c r="V231" s="1723"/>
      <c r="W231" s="1334">
        <v>20</v>
      </c>
    </row>
    <row r="232" spans="1:29" ht="17.25" customHeight="1" x14ac:dyDescent="0.2">
      <c r="A232" s="680"/>
      <c r="B232" s="1964"/>
      <c r="C232" s="1313"/>
      <c r="D232" s="2066"/>
      <c r="E232" s="2800"/>
      <c r="F232" s="1449"/>
      <c r="G232" s="2854"/>
      <c r="H232" s="2022"/>
      <c r="I232" s="2817"/>
      <c r="J232" s="1197"/>
      <c r="K232" s="1340"/>
      <c r="L232" s="1404"/>
      <c r="M232" s="1340"/>
      <c r="N232" s="1543"/>
      <c r="O232" s="1543"/>
      <c r="P232" s="1575"/>
      <c r="Q232" s="1404"/>
      <c r="R232" s="1404"/>
      <c r="S232" s="2175" t="s">
        <v>499</v>
      </c>
      <c r="T232" s="2176">
        <v>1</v>
      </c>
      <c r="U232" s="31"/>
      <c r="V232" s="1723"/>
      <c r="W232" s="1334"/>
    </row>
    <row r="233" spans="1:29" s="1267" customFormat="1" ht="21.75" customHeight="1" thickBot="1" x14ac:dyDescent="0.25">
      <c r="A233" s="681"/>
      <c r="B233" s="1298"/>
      <c r="C233" s="1915"/>
      <c r="D233" s="779"/>
      <c r="E233" s="2968"/>
      <c r="F233" s="1447"/>
      <c r="G233" s="2855"/>
      <c r="H233" s="722"/>
      <c r="I233" s="2969"/>
      <c r="J233" s="1303" t="s">
        <v>10</v>
      </c>
      <c r="K233" s="1754">
        <f>K230</f>
        <v>20</v>
      </c>
      <c r="L233" s="1731">
        <f>L230</f>
        <v>14.6</v>
      </c>
      <c r="M233" s="1754">
        <f>M230</f>
        <v>45</v>
      </c>
      <c r="N233" s="1759">
        <f t="shared" ref="N233:R233" si="18">N230</f>
        <v>0</v>
      </c>
      <c r="O233" s="1759">
        <f t="shared" si="18"/>
        <v>0</v>
      </c>
      <c r="P233" s="1758">
        <f t="shared" si="18"/>
        <v>45</v>
      </c>
      <c r="Q233" s="1731">
        <f t="shared" si="18"/>
        <v>100</v>
      </c>
      <c r="R233" s="1731">
        <f t="shared" si="18"/>
        <v>400</v>
      </c>
      <c r="S233" s="2177" t="s">
        <v>408</v>
      </c>
      <c r="T233" s="2176">
        <v>1</v>
      </c>
      <c r="U233" s="1973"/>
      <c r="V233" s="1724"/>
      <c r="W233" s="1974"/>
    </row>
    <row r="234" spans="1:29" ht="18" customHeight="1" x14ac:dyDescent="0.2">
      <c r="A234" s="2048" t="s">
        <v>9</v>
      </c>
      <c r="B234" s="1963" t="s">
        <v>53</v>
      </c>
      <c r="C234" s="2065"/>
      <c r="D234" s="2585"/>
      <c r="E234" s="3013" t="s">
        <v>83</v>
      </c>
      <c r="F234" s="1446" t="s">
        <v>91</v>
      </c>
      <c r="G234" s="3015" t="s">
        <v>449</v>
      </c>
      <c r="H234" s="2023" t="s">
        <v>40</v>
      </c>
      <c r="I234" s="2889" t="s">
        <v>230</v>
      </c>
      <c r="J234" s="1733" t="s">
        <v>36</v>
      </c>
      <c r="K234" s="1488">
        <v>90</v>
      </c>
      <c r="L234" s="1473">
        <v>17.5</v>
      </c>
      <c r="M234" s="1486"/>
      <c r="N234" s="1601"/>
      <c r="O234" s="1601"/>
      <c r="P234" s="1486"/>
      <c r="Q234" s="1473"/>
      <c r="R234" s="1473"/>
      <c r="S234" s="2178" t="s">
        <v>84</v>
      </c>
      <c r="T234" s="2179">
        <v>285</v>
      </c>
      <c r="U234" s="1743"/>
      <c r="V234" s="1742"/>
      <c r="W234" s="1744"/>
    </row>
    <row r="235" spans="1:29" ht="13.5" customHeight="1" x14ac:dyDescent="0.2">
      <c r="A235" s="2061"/>
      <c r="B235" s="1960"/>
      <c r="C235" s="1191"/>
      <c r="D235" s="2586"/>
      <c r="E235" s="3014"/>
      <c r="F235" s="3019"/>
      <c r="G235" s="3016"/>
      <c r="H235" s="2965"/>
      <c r="I235" s="2890"/>
      <c r="J235" s="1197"/>
      <c r="K235" s="1340"/>
      <c r="L235" s="1404"/>
      <c r="M235" s="1400"/>
      <c r="N235" s="1543"/>
      <c r="O235" s="1543"/>
      <c r="P235" s="1400"/>
      <c r="Q235" s="1404"/>
      <c r="R235" s="1404"/>
      <c r="S235" s="1745"/>
      <c r="T235" s="1746"/>
      <c r="U235" s="1747"/>
      <c r="V235" s="1746"/>
      <c r="W235" s="1748"/>
    </row>
    <row r="236" spans="1:29" ht="13.5" customHeight="1" thickBot="1" x14ac:dyDescent="0.25">
      <c r="A236" s="2062"/>
      <c r="B236" s="1961"/>
      <c r="C236" s="1192"/>
      <c r="D236" s="2587"/>
      <c r="E236" s="1450"/>
      <c r="F236" s="3020"/>
      <c r="G236" s="3017"/>
      <c r="H236" s="3021"/>
      <c r="I236" s="3018"/>
      <c r="J236" s="283" t="s">
        <v>10</v>
      </c>
      <c r="K236" s="1418">
        <f>K235+K234</f>
        <v>90</v>
      </c>
      <c r="L236" s="1729">
        <f>L235+L234</f>
        <v>17.5</v>
      </c>
      <c r="M236" s="1718"/>
      <c r="N236" s="1720"/>
      <c r="O236" s="1720"/>
      <c r="P236" s="1718"/>
      <c r="Q236" s="1729"/>
      <c r="R236" s="1729"/>
      <c r="S236" s="1749"/>
      <c r="T236" s="1750"/>
      <c r="U236" s="1751"/>
      <c r="V236" s="1750"/>
      <c r="W236" s="1752"/>
    </row>
    <row r="237" spans="1:29" ht="13.5" thickBot="1" x14ac:dyDescent="0.25">
      <c r="A237" s="2049" t="s">
        <v>9</v>
      </c>
      <c r="B237" s="1965" t="s">
        <v>53</v>
      </c>
      <c r="C237" s="2594" t="s">
        <v>12</v>
      </c>
      <c r="D237" s="2595"/>
      <c r="E237" s="2595"/>
      <c r="F237" s="2595"/>
      <c r="G237" s="2595"/>
      <c r="H237" s="2595"/>
      <c r="I237" s="2595"/>
      <c r="J237" s="2972"/>
      <c r="K237" s="1421">
        <f>K236+K233+K229</f>
        <v>310</v>
      </c>
      <c r="L237" s="1414">
        <f t="shared" ref="L237:Q237" si="19">L236+L233+L229</f>
        <v>232.1</v>
      </c>
      <c r="M237" s="1421">
        <f t="shared" si="19"/>
        <v>245</v>
      </c>
      <c r="N237" s="1421">
        <f t="shared" si="19"/>
        <v>0</v>
      </c>
      <c r="O237" s="1421">
        <f t="shared" si="19"/>
        <v>0</v>
      </c>
      <c r="P237" s="1421">
        <f t="shared" si="19"/>
        <v>245</v>
      </c>
      <c r="Q237" s="1414">
        <f t="shared" si="19"/>
        <v>300</v>
      </c>
      <c r="R237" s="1421">
        <f>R236+R233+R229</f>
        <v>600</v>
      </c>
      <c r="S237" s="1732"/>
      <c r="T237" s="1649"/>
      <c r="U237" s="1686"/>
      <c r="V237" s="1686"/>
      <c r="W237" s="1381"/>
    </row>
    <row r="238" spans="1:29" ht="16.5" customHeight="1" thickBot="1" x14ac:dyDescent="0.25">
      <c r="A238" s="682" t="s">
        <v>9</v>
      </c>
      <c r="B238" s="11" t="s">
        <v>109</v>
      </c>
      <c r="C238" s="2557" t="s">
        <v>110</v>
      </c>
      <c r="D238" s="2988"/>
      <c r="E238" s="2988"/>
      <c r="F238" s="2988"/>
      <c r="G238" s="2988"/>
      <c r="H238" s="2988"/>
      <c r="I238" s="2988"/>
      <c r="J238" s="2988"/>
      <c r="K238" s="2988"/>
      <c r="L238" s="2019"/>
      <c r="M238" s="2019"/>
      <c r="N238" s="2019"/>
      <c r="O238" s="2019"/>
      <c r="P238" s="2019"/>
      <c r="Q238" s="2019"/>
      <c r="R238" s="2019"/>
      <c r="S238" s="1966"/>
      <c r="T238" s="1966"/>
      <c r="U238" s="1678"/>
      <c r="V238" s="1678"/>
      <c r="W238" s="1967"/>
    </row>
    <row r="239" spans="1:29" ht="28.5" customHeight="1" x14ac:dyDescent="0.2">
      <c r="A239" s="684" t="s">
        <v>9</v>
      </c>
      <c r="B239" s="1969" t="s">
        <v>54</v>
      </c>
      <c r="C239" s="1202" t="s">
        <v>9</v>
      </c>
      <c r="D239" s="1375"/>
      <c r="E239" s="1460" t="s">
        <v>380</v>
      </c>
      <c r="F239" s="1458"/>
      <c r="G239" s="1454"/>
      <c r="H239" s="2056">
        <v>6</v>
      </c>
      <c r="I239" s="1958"/>
      <c r="J239" s="1376"/>
      <c r="K239" s="1770"/>
      <c r="L239" s="1770"/>
      <c r="M239" s="1770"/>
      <c r="N239" s="1937"/>
      <c r="O239" s="1937"/>
      <c r="P239" s="1929"/>
      <c r="Q239" s="1770"/>
      <c r="R239" s="1770"/>
      <c r="S239" s="1382"/>
      <c r="T239" s="1650"/>
      <c r="U239" s="1687"/>
      <c r="V239" s="1687"/>
      <c r="W239" s="1666"/>
    </row>
    <row r="240" spans="1:29" ht="16.5" customHeight="1" x14ac:dyDescent="0.2">
      <c r="A240" s="2061"/>
      <c r="B240" s="1960"/>
      <c r="C240" s="1996"/>
      <c r="D240" s="1203" t="s">
        <v>9</v>
      </c>
      <c r="E240" s="1461" t="s">
        <v>118</v>
      </c>
      <c r="F240" s="1347"/>
      <c r="G240" s="1453" t="s">
        <v>450</v>
      </c>
      <c r="H240" s="2057"/>
      <c r="I240" s="1959"/>
      <c r="J240" s="1327"/>
      <c r="K240" s="1341"/>
      <c r="L240" s="1341"/>
      <c r="M240" s="1341"/>
      <c r="N240" s="1938"/>
      <c r="O240" s="1938"/>
      <c r="P240" s="1930"/>
      <c r="Q240" s="1341"/>
      <c r="R240" s="1341"/>
      <c r="S240" s="1968"/>
      <c r="T240" s="1629"/>
      <c r="U240" s="31"/>
      <c r="V240" s="31"/>
      <c r="W240" s="1665"/>
    </row>
    <row r="241" spans="1:23" ht="15.75" customHeight="1" x14ac:dyDescent="0.2">
      <c r="A241" s="2061"/>
      <c r="B241" s="1960"/>
      <c r="C241" s="1996"/>
      <c r="D241" s="1957"/>
      <c r="E241" s="1462" t="s">
        <v>120</v>
      </c>
      <c r="F241" s="1347"/>
      <c r="G241" s="1455" t="s">
        <v>451</v>
      </c>
      <c r="H241" s="2057"/>
      <c r="I241" s="2853" t="s">
        <v>231</v>
      </c>
      <c r="J241" s="1271" t="s">
        <v>36</v>
      </c>
      <c r="K241" s="1422">
        <v>173.6</v>
      </c>
      <c r="L241" s="1422">
        <v>173.6</v>
      </c>
      <c r="M241" s="1422"/>
      <c r="N241" s="1845"/>
      <c r="O241" s="1845"/>
      <c r="P241" s="1931"/>
      <c r="Q241" s="1422"/>
      <c r="R241" s="1422"/>
      <c r="S241" s="693" t="s">
        <v>539</v>
      </c>
      <c r="T241" s="1651">
        <v>7</v>
      </c>
      <c r="U241" s="704"/>
      <c r="V241" s="704"/>
      <c r="W241" s="1667"/>
    </row>
    <row r="242" spans="1:23" ht="18" customHeight="1" x14ac:dyDescent="0.2">
      <c r="A242" s="2061"/>
      <c r="B242" s="1960"/>
      <c r="C242" s="1996"/>
      <c r="D242" s="1957"/>
      <c r="E242" s="1462" t="s">
        <v>121</v>
      </c>
      <c r="F242" s="1347"/>
      <c r="G242" s="718" t="s">
        <v>452</v>
      </c>
      <c r="H242" s="2057"/>
      <c r="I242" s="2853"/>
      <c r="J242" s="1271" t="s">
        <v>36</v>
      </c>
      <c r="K242" s="1422">
        <v>203.6</v>
      </c>
      <c r="L242" s="1422">
        <v>203.6</v>
      </c>
      <c r="M242" s="1422"/>
      <c r="N242" s="1845"/>
      <c r="O242" s="1845"/>
      <c r="P242" s="1931"/>
      <c r="Q242" s="1422"/>
      <c r="R242" s="1422"/>
      <c r="S242" s="693" t="s">
        <v>539</v>
      </c>
      <c r="T242" s="1651">
        <v>6</v>
      </c>
      <c r="U242" s="704"/>
      <c r="V242" s="704"/>
      <c r="W242" s="1667"/>
    </row>
    <row r="243" spans="1:23" ht="15.75" customHeight="1" x14ac:dyDescent="0.2">
      <c r="A243" s="2061"/>
      <c r="B243" s="1960"/>
      <c r="C243" s="1996"/>
      <c r="D243" s="1957"/>
      <c r="E243" s="1462" t="s">
        <v>122</v>
      </c>
      <c r="F243" s="1347"/>
      <c r="G243" s="718" t="s">
        <v>453</v>
      </c>
      <c r="H243" s="2057"/>
      <c r="I243" s="2853"/>
      <c r="J243" s="1271" t="s">
        <v>36</v>
      </c>
      <c r="K243" s="1422">
        <v>81.7</v>
      </c>
      <c r="L243" s="1422">
        <v>81.7</v>
      </c>
      <c r="M243" s="1422"/>
      <c r="N243" s="1845"/>
      <c r="O243" s="1845"/>
      <c r="P243" s="1931"/>
      <c r="Q243" s="1422"/>
      <c r="R243" s="1422"/>
      <c r="S243" s="693" t="s">
        <v>539</v>
      </c>
      <c r="T243" s="1651">
        <v>8</v>
      </c>
      <c r="U243" s="704"/>
      <c r="V243" s="704"/>
      <c r="W243" s="1667"/>
    </row>
    <row r="244" spans="1:23" s="52" customFormat="1" ht="15.75" customHeight="1" x14ac:dyDescent="0.2">
      <c r="A244" s="2020"/>
      <c r="B244" s="1964"/>
      <c r="C244" s="1990"/>
      <c r="D244" s="1272"/>
      <c r="E244" s="1462" t="s">
        <v>123</v>
      </c>
      <c r="F244" s="1347"/>
      <c r="G244" s="718" t="s">
        <v>454</v>
      </c>
      <c r="H244" s="2057"/>
      <c r="I244" s="2853"/>
      <c r="J244" s="692" t="s">
        <v>36</v>
      </c>
      <c r="K244" s="1422">
        <v>2950.9</v>
      </c>
      <c r="L244" s="1422">
        <f>2950.9-251.6</f>
        <v>2699.3</v>
      </c>
      <c r="M244" s="1422"/>
      <c r="N244" s="1845"/>
      <c r="O244" s="1845"/>
      <c r="P244" s="1931"/>
      <c r="Q244" s="1422"/>
      <c r="R244" s="1422"/>
      <c r="S244" s="693" t="s">
        <v>539</v>
      </c>
      <c r="T244" s="1652">
        <v>96</v>
      </c>
      <c r="U244" s="1688"/>
      <c r="V244" s="1688"/>
      <c r="W244" s="1668"/>
    </row>
    <row r="245" spans="1:23" ht="17.25" customHeight="1" x14ac:dyDescent="0.2">
      <c r="A245" s="2061"/>
      <c r="B245" s="1960"/>
      <c r="C245" s="1996"/>
      <c r="D245" s="1270"/>
      <c r="E245" s="1433" t="s">
        <v>405</v>
      </c>
      <c r="F245" s="1459"/>
      <c r="G245" s="1452" t="s">
        <v>455</v>
      </c>
      <c r="H245" s="2057"/>
      <c r="I245" s="1959"/>
      <c r="J245" s="2008" t="s">
        <v>36</v>
      </c>
      <c r="K245" s="1340">
        <v>2.8</v>
      </c>
      <c r="L245" s="1340">
        <v>2.8</v>
      </c>
      <c r="M245" s="1340"/>
      <c r="N245" s="1545"/>
      <c r="O245" s="1545"/>
      <c r="P245" s="1548"/>
      <c r="Q245" s="1340"/>
      <c r="R245" s="1340"/>
      <c r="S245" s="1986" t="s">
        <v>539</v>
      </c>
      <c r="T245" s="1504">
        <v>1</v>
      </c>
      <c r="U245" s="59"/>
      <c r="V245" s="59"/>
      <c r="W245" s="1524"/>
    </row>
    <row r="246" spans="1:23" ht="23.25" customHeight="1" x14ac:dyDescent="0.2">
      <c r="A246" s="2668"/>
      <c r="B246" s="2521"/>
      <c r="C246" s="2845"/>
      <c r="D246" s="2846" t="s">
        <v>11</v>
      </c>
      <c r="E246" s="2673" t="s">
        <v>402</v>
      </c>
      <c r="F246" s="2892"/>
      <c r="G246" s="2970" t="s">
        <v>458</v>
      </c>
      <c r="H246" s="2381"/>
      <c r="I246" s="2890"/>
      <c r="J246" s="12" t="s">
        <v>36</v>
      </c>
      <c r="K246" s="1423">
        <v>13</v>
      </c>
      <c r="L246" s="1423">
        <v>61.3</v>
      </c>
      <c r="M246" s="1423"/>
      <c r="N246" s="1939"/>
      <c r="O246" s="1939"/>
      <c r="P246" s="113"/>
      <c r="Q246" s="1423"/>
      <c r="R246" s="1423"/>
      <c r="S246" s="2017" t="s">
        <v>540</v>
      </c>
      <c r="T246" s="1644">
        <v>20</v>
      </c>
      <c r="U246" s="1682"/>
      <c r="V246" s="1682"/>
      <c r="W246" s="1661"/>
    </row>
    <row r="247" spans="1:23" ht="40.5" customHeight="1" x14ac:dyDescent="0.2">
      <c r="A247" s="2668"/>
      <c r="B247" s="2521"/>
      <c r="C247" s="2845"/>
      <c r="D247" s="2847"/>
      <c r="E247" s="2662"/>
      <c r="F247" s="2893"/>
      <c r="G247" s="2971"/>
      <c r="H247" s="2430"/>
      <c r="I247" s="2891"/>
      <c r="J247" s="145"/>
      <c r="K247" s="1424"/>
      <c r="L247" s="1424"/>
      <c r="M247" s="1424"/>
      <c r="N247" s="1940"/>
      <c r="O247" s="1940"/>
      <c r="P247" s="1632"/>
      <c r="Q247" s="1424"/>
      <c r="R247" s="1424"/>
      <c r="S247" s="1918" t="s">
        <v>510</v>
      </c>
      <c r="T247" s="1645">
        <v>19</v>
      </c>
      <c r="U247" s="59"/>
      <c r="V247" s="59"/>
      <c r="W247" s="1524"/>
    </row>
    <row r="248" spans="1:23" ht="16.5" customHeight="1" x14ac:dyDescent="0.2">
      <c r="A248" s="2668"/>
      <c r="B248" s="2521"/>
      <c r="C248" s="2845"/>
      <c r="D248" s="2846" t="s">
        <v>38</v>
      </c>
      <c r="E248" s="2673" t="s">
        <v>500</v>
      </c>
      <c r="F248" s="2892"/>
      <c r="G248" s="2970"/>
      <c r="H248" s="2381"/>
      <c r="I248" s="2820"/>
      <c r="J248" s="2024" t="s">
        <v>36</v>
      </c>
      <c r="K248" s="1416"/>
      <c r="L248" s="1416">
        <v>12</v>
      </c>
      <c r="M248" s="1928"/>
      <c r="N248" s="1546"/>
      <c r="O248" s="1939"/>
      <c r="P248" s="113"/>
      <c r="Q248" s="1423"/>
      <c r="R248" s="1423"/>
      <c r="S248" s="1286" t="s">
        <v>502</v>
      </c>
      <c r="T248" s="1682">
        <v>4</v>
      </c>
      <c r="U248" s="1682"/>
      <c r="V248" s="1682"/>
      <c r="W248" s="1661"/>
    </row>
    <row r="249" spans="1:23" ht="17.25" customHeight="1" x14ac:dyDescent="0.2">
      <c r="A249" s="2668"/>
      <c r="B249" s="2521"/>
      <c r="C249" s="2845"/>
      <c r="D249" s="2586"/>
      <c r="E249" s="2673"/>
      <c r="F249" s="2892"/>
      <c r="G249" s="2977"/>
      <c r="H249" s="2381"/>
      <c r="I249" s="2820"/>
      <c r="J249" s="2007" t="s">
        <v>346</v>
      </c>
      <c r="K249" s="2033"/>
      <c r="L249" s="2033"/>
      <c r="M249" s="1928"/>
      <c r="N249" s="1544"/>
      <c r="O249" s="1941"/>
      <c r="P249" s="1932"/>
      <c r="Q249" s="1715"/>
      <c r="R249" s="1715"/>
      <c r="S249" s="698" t="s">
        <v>541</v>
      </c>
      <c r="T249" s="1735"/>
      <c r="U249" s="1735"/>
      <c r="V249" s="1735"/>
      <c r="W249" s="1736"/>
    </row>
    <row r="250" spans="1:23" ht="69" customHeight="1" x14ac:dyDescent="0.2">
      <c r="A250" s="2668"/>
      <c r="B250" s="2521"/>
      <c r="C250" s="2845"/>
      <c r="D250" s="2847"/>
      <c r="E250" s="2662"/>
      <c r="F250" s="2893"/>
      <c r="G250" s="2971"/>
      <c r="H250" s="2430"/>
      <c r="I250" s="2839"/>
      <c r="J250" s="1197"/>
      <c r="K250" s="1340"/>
      <c r="L250" s="1340"/>
      <c r="M250" s="2180"/>
      <c r="N250" s="1545"/>
      <c r="O250" s="1940"/>
      <c r="P250" s="1632"/>
      <c r="Q250" s="1424"/>
      <c r="R250" s="1424"/>
      <c r="S250" s="61" t="s">
        <v>503</v>
      </c>
      <c r="T250" s="1683"/>
      <c r="U250" s="1683"/>
      <c r="V250" s="59"/>
      <c r="W250" s="1524"/>
    </row>
    <row r="251" spans="1:23" ht="23.25" customHeight="1" x14ac:dyDescent="0.2">
      <c r="A251" s="2668"/>
      <c r="B251" s="2521"/>
      <c r="C251" s="2845"/>
      <c r="D251" s="2846" t="s">
        <v>53</v>
      </c>
      <c r="E251" s="2673" t="s">
        <v>501</v>
      </c>
      <c r="F251" s="2892"/>
      <c r="G251" s="2970"/>
      <c r="H251" s="2381"/>
      <c r="I251" s="2890"/>
      <c r="J251" s="12" t="s">
        <v>94</v>
      </c>
      <c r="K251" s="1423"/>
      <c r="L251" s="1715">
        <v>5.0999999999999996</v>
      </c>
      <c r="M251" s="1928"/>
      <c r="N251" s="1941"/>
      <c r="O251" s="1939"/>
      <c r="P251" s="113"/>
      <c r="Q251" s="1423"/>
      <c r="R251" s="1423"/>
      <c r="S251" s="2054" t="s">
        <v>408</v>
      </c>
      <c r="T251" s="1680">
        <v>1</v>
      </c>
      <c r="U251" s="1682"/>
      <c r="V251" s="1682"/>
      <c r="W251" s="1661"/>
    </row>
    <row r="252" spans="1:23" ht="32.25" customHeight="1" x14ac:dyDescent="0.2">
      <c r="A252" s="2668"/>
      <c r="B252" s="2521"/>
      <c r="C252" s="2845"/>
      <c r="D252" s="2847"/>
      <c r="E252" s="2662"/>
      <c r="F252" s="2893"/>
      <c r="G252" s="2971"/>
      <c r="H252" s="2430"/>
      <c r="I252" s="2891"/>
      <c r="J252" s="145"/>
      <c r="K252" s="1424"/>
      <c r="L252" s="1424"/>
      <c r="M252" s="1424"/>
      <c r="N252" s="1940"/>
      <c r="O252" s="1940"/>
      <c r="P252" s="1632"/>
      <c r="Q252" s="1424"/>
      <c r="R252" s="1424"/>
      <c r="S252" s="1331"/>
      <c r="T252" s="1504"/>
      <c r="U252" s="59"/>
      <c r="V252" s="59"/>
      <c r="W252" s="1524"/>
    </row>
    <row r="253" spans="1:23" ht="15.75" customHeight="1" thickBot="1" x14ac:dyDescent="0.25">
      <c r="A253" s="2049"/>
      <c r="B253" s="1200"/>
      <c r="C253" s="1198"/>
      <c r="D253" s="1198"/>
      <c r="E253" s="688"/>
      <c r="F253" s="689"/>
      <c r="G253" s="689"/>
      <c r="H253" s="1273"/>
      <c r="I253" s="1332"/>
      <c r="J253" s="1274" t="s">
        <v>10</v>
      </c>
      <c r="K253" s="1425">
        <f>SUM(K241:K252)</f>
        <v>3425.6</v>
      </c>
      <c r="L253" s="1425">
        <f t="shared" ref="L253:R253" si="20">SUM(L241:L252)</f>
        <v>3239.4</v>
      </c>
      <c r="M253" s="1425">
        <f t="shared" si="20"/>
        <v>0</v>
      </c>
      <c r="N253" s="1942">
        <f t="shared" si="20"/>
        <v>0</v>
      </c>
      <c r="O253" s="1942">
        <f t="shared" si="20"/>
        <v>0</v>
      </c>
      <c r="P253" s="1933">
        <f t="shared" si="20"/>
        <v>0</v>
      </c>
      <c r="Q253" s="1425">
        <f t="shared" si="20"/>
        <v>0</v>
      </c>
      <c r="R253" s="1425">
        <f t="shared" si="20"/>
        <v>0</v>
      </c>
      <c r="S253" s="1269"/>
      <c r="T253" s="1653"/>
      <c r="U253" s="1689"/>
      <c r="V253" s="1689"/>
      <c r="W253" s="1669"/>
    </row>
    <row r="254" spans="1:23" ht="14.25" customHeight="1" thickBot="1" x14ac:dyDescent="0.25">
      <c r="A254" s="2049" t="s">
        <v>9</v>
      </c>
      <c r="B254" s="1965" t="s">
        <v>54</v>
      </c>
      <c r="C254" s="2594" t="s">
        <v>12</v>
      </c>
      <c r="D254" s="2595"/>
      <c r="E254" s="2595"/>
      <c r="F254" s="2595"/>
      <c r="G254" s="2595"/>
      <c r="H254" s="2595"/>
      <c r="I254" s="2595"/>
      <c r="J254" s="2972"/>
      <c r="K254" s="1426">
        <f>K253</f>
        <v>3425.6</v>
      </c>
      <c r="L254" s="1426">
        <f>L253</f>
        <v>3239.4</v>
      </c>
      <c r="M254" s="1426">
        <f t="shared" ref="M254:R254" si="21">M253</f>
        <v>0</v>
      </c>
      <c r="N254" s="1943">
        <f t="shared" si="21"/>
        <v>0</v>
      </c>
      <c r="O254" s="1943">
        <f t="shared" si="21"/>
        <v>0</v>
      </c>
      <c r="P254" s="1934">
        <f t="shared" si="21"/>
        <v>0</v>
      </c>
      <c r="Q254" s="1426">
        <f t="shared" si="21"/>
        <v>0</v>
      </c>
      <c r="R254" s="1426">
        <f t="shared" si="21"/>
        <v>0</v>
      </c>
      <c r="S254" s="1287"/>
      <c r="T254" s="39"/>
      <c r="U254" s="1690"/>
      <c r="V254" s="1690"/>
      <c r="W254" s="1288"/>
    </row>
    <row r="255" spans="1:23" ht="14.25" customHeight="1" thickBot="1" x14ac:dyDescent="0.25">
      <c r="A255" s="683" t="s">
        <v>9</v>
      </c>
      <c r="B255" s="2789" t="s">
        <v>13</v>
      </c>
      <c r="C255" s="2790"/>
      <c r="D255" s="2790"/>
      <c r="E255" s="2790"/>
      <c r="F255" s="2790"/>
      <c r="G255" s="2790"/>
      <c r="H255" s="2790"/>
      <c r="I255" s="2790"/>
      <c r="J255" s="2791"/>
      <c r="K255" s="1427">
        <f t="shared" ref="K255:R255" si="22">SUM(K171,K199,K237,K254,K223)</f>
        <v>12220.5</v>
      </c>
      <c r="L255" s="1427">
        <f t="shared" si="22"/>
        <v>11979.5</v>
      </c>
      <c r="M255" s="1427">
        <f>SUM(M171,M199,M237,M254,M223)</f>
        <v>12692.4</v>
      </c>
      <c r="N255" s="1944">
        <f t="shared" si="22"/>
        <v>6873.5</v>
      </c>
      <c r="O255" s="1944">
        <f t="shared" si="22"/>
        <v>336.9</v>
      </c>
      <c r="P255" s="1935">
        <f t="shared" si="22"/>
        <v>5818.9</v>
      </c>
      <c r="Q255" s="1427">
        <f t="shared" si="22"/>
        <v>13945.2</v>
      </c>
      <c r="R255" s="1427">
        <f t="shared" si="22"/>
        <v>16692.7</v>
      </c>
      <c r="S255" s="2058"/>
      <c r="T255" s="2059"/>
      <c r="U255" s="1691"/>
      <c r="V255" s="1691"/>
      <c r="W255" s="2060"/>
    </row>
    <row r="256" spans="1:23" ht="14.25" customHeight="1" thickBot="1" x14ac:dyDescent="0.25">
      <c r="A256" s="102" t="s">
        <v>55</v>
      </c>
      <c r="B256" s="2792" t="s">
        <v>128</v>
      </c>
      <c r="C256" s="2793"/>
      <c r="D256" s="2793"/>
      <c r="E256" s="2793"/>
      <c r="F256" s="2793"/>
      <c r="G256" s="2793"/>
      <c r="H256" s="2793"/>
      <c r="I256" s="2793"/>
      <c r="J256" s="2794"/>
      <c r="K256" s="1428">
        <f>SUM(K255)</f>
        <v>12220.5</v>
      </c>
      <c r="L256" s="1428">
        <f>SUM(L255)</f>
        <v>11979.5</v>
      </c>
      <c r="M256" s="1428">
        <f t="shared" ref="M256:R256" si="23">SUM(M255)</f>
        <v>12692.4</v>
      </c>
      <c r="N256" s="1945">
        <f t="shared" si="23"/>
        <v>6873.5</v>
      </c>
      <c r="O256" s="1945">
        <f t="shared" si="23"/>
        <v>336.9</v>
      </c>
      <c r="P256" s="1936">
        <f t="shared" si="23"/>
        <v>5818.9</v>
      </c>
      <c r="Q256" s="1428">
        <f t="shared" si="23"/>
        <v>13945.2</v>
      </c>
      <c r="R256" s="1428">
        <f t="shared" si="23"/>
        <v>16692.7</v>
      </c>
      <c r="S256" s="2795"/>
      <c r="T256" s="2796"/>
      <c r="U256" s="2796"/>
      <c r="V256" s="2796"/>
      <c r="W256" s="2797"/>
    </row>
    <row r="257" spans="1:30" s="22" customFormat="1" ht="17.25" customHeight="1" x14ac:dyDescent="0.2">
      <c r="A257" s="2896" t="s">
        <v>611</v>
      </c>
      <c r="B257" s="2896"/>
      <c r="C257" s="2896"/>
      <c r="D257" s="2896"/>
      <c r="E257" s="2896"/>
      <c r="F257" s="2896"/>
      <c r="G257" s="2896"/>
      <c r="H257" s="2896"/>
      <c r="I257" s="2896"/>
      <c r="J257" s="2896"/>
      <c r="K257" s="2896"/>
      <c r="L257" s="2896"/>
      <c r="M257" s="2896"/>
      <c r="N257" s="2896"/>
      <c r="O257" s="2896"/>
      <c r="P257" s="2896"/>
      <c r="Q257" s="2896"/>
      <c r="R257" s="2896"/>
      <c r="S257" s="2896"/>
      <c r="T257" s="2896"/>
      <c r="U257" s="2896"/>
      <c r="V257" s="2896"/>
      <c r="W257" s="2896"/>
      <c r="X257" s="2896"/>
      <c r="Y257" s="2896"/>
      <c r="Z257" s="2896"/>
      <c r="AA257" s="2896"/>
      <c r="AB257" s="2896"/>
      <c r="AC257" s="2896"/>
      <c r="AD257" s="2896"/>
    </row>
    <row r="258" spans="1:30" s="21" customFormat="1" ht="17.25" customHeight="1" x14ac:dyDescent="0.2">
      <c r="A258" s="2896" t="s">
        <v>636</v>
      </c>
      <c r="B258" s="2896"/>
      <c r="C258" s="2896"/>
      <c r="D258" s="2896"/>
      <c r="E258" s="2896"/>
      <c r="F258" s="2896"/>
      <c r="G258" s="2896"/>
      <c r="H258" s="2896"/>
      <c r="I258" s="2896"/>
      <c r="J258" s="2896"/>
      <c r="K258" s="2896"/>
      <c r="L258" s="2896"/>
      <c r="M258" s="2896"/>
      <c r="N258" s="2896"/>
      <c r="O258" s="2896"/>
      <c r="P258" s="2896"/>
      <c r="Q258" s="2896"/>
      <c r="R258" s="2896"/>
      <c r="S258" s="2896"/>
      <c r="T258" s="2896"/>
      <c r="U258" s="2896"/>
      <c r="V258" s="2896"/>
      <c r="W258" s="2896"/>
      <c r="X258" s="2896"/>
      <c r="Y258" s="2896"/>
      <c r="Z258" s="2896"/>
      <c r="AA258" s="2896"/>
      <c r="AB258" s="2896"/>
      <c r="AC258" s="2896"/>
      <c r="AD258" s="2896"/>
    </row>
    <row r="259" spans="1:30" s="22" customFormat="1" ht="14.25" customHeight="1" thickBot="1" x14ac:dyDescent="0.25">
      <c r="A259" s="2799" t="s">
        <v>18</v>
      </c>
      <c r="B259" s="2799"/>
      <c r="C259" s="2799"/>
      <c r="D259" s="2799"/>
      <c r="E259" s="2799"/>
      <c r="F259" s="2799"/>
      <c r="G259" s="2799"/>
      <c r="H259" s="2799"/>
      <c r="I259" s="2799"/>
      <c r="J259" s="2799"/>
      <c r="K259" s="2799"/>
      <c r="L259" s="2050"/>
      <c r="M259" s="2050"/>
      <c r="N259" s="2050"/>
      <c r="O259" s="2050"/>
      <c r="P259" s="2050"/>
      <c r="Q259" s="2050"/>
      <c r="R259" s="2050"/>
      <c r="S259" s="62"/>
      <c r="T259" s="62"/>
      <c r="U259" s="62"/>
      <c r="V259" s="62"/>
      <c r="W259" s="62"/>
      <c r="X259" s="21"/>
      <c r="Y259" s="21"/>
      <c r="Z259" s="21"/>
    </row>
    <row r="260" spans="1:30" ht="54" customHeight="1" thickBot="1" x14ac:dyDescent="0.25">
      <c r="A260" s="2780" t="s">
        <v>14</v>
      </c>
      <c r="B260" s="2781"/>
      <c r="C260" s="2781"/>
      <c r="D260" s="2781"/>
      <c r="E260" s="2781"/>
      <c r="F260" s="2781"/>
      <c r="G260" s="2781"/>
      <c r="H260" s="2781"/>
      <c r="I260" s="2781"/>
      <c r="J260" s="2782"/>
      <c r="K260" s="1492" t="s">
        <v>477</v>
      </c>
      <c r="L260" s="1492" t="s">
        <v>478</v>
      </c>
      <c r="M260" s="2992" t="s">
        <v>479</v>
      </c>
      <c r="N260" s="2993"/>
      <c r="O260" s="2993"/>
      <c r="P260" s="2994"/>
      <c r="Q260" s="29" t="s">
        <v>504</v>
      </c>
      <c r="R260" s="29" t="s">
        <v>505</v>
      </c>
      <c r="S260" s="4"/>
      <c r="T260" s="4"/>
      <c r="U260" s="4"/>
      <c r="V260" s="4"/>
      <c r="W260" s="4"/>
    </row>
    <row r="261" spans="1:30" ht="14.25" customHeight="1" x14ac:dyDescent="0.2">
      <c r="A261" s="2783" t="s">
        <v>19</v>
      </c>
      <c r="B261" s="2784"/>
      <c r="C261" s="2784"/>
      <c r="D261" s="2784"/>
      <c r="E261" s="2784"/>
      <c r="F261" s="2784"/>
      <c r="G261" s="2784"/>
      <c r="H261" s="2784"/>
      <c r="I261" s="2784"/>
      <c r="J261" s="2785"/>
      <c r="K261" s="1383">
        <f>K262+K271+K272+K273+K269+K270</f>
        <v>12054.9</v>
      </c>
      <c r="L261" s="1383">
        <f>L262+L271+L272+L273</f>
        <v>11765.4</v>
      </c>
      <c r="M261" s="3004">
        <f>M262+M271+M272+M273</f>
        <v>12602.3</v>
      </c>
      <c r="N261" s="3005"/>
      <c r="O261" s="3005"/>
      <c r="P261" s="3006"/>
      <c r="Q261" s="1761">
        <f ca="1">Q262+Q271+Q272+Q273</f>
        <v>13824.2</v>
      </c>
      <c r="R261" s="1761">
        <f ca="1">R262+R271+R272+R273</f>
        <v>16692.7</v>
      </c>
    </row>
    <row r="262" spans="1:30" ht="14.25" customHeight="1" x14ac:dyDescent="0.2">
      <c r="A262" s="2786" t="s">
        <v>343</v>
      </c>
      <c r="B262" s="2787"/>
      <c r="C262" s="2787"/>
      <c r="D262" s="2787"/>
      <c r="E262" s="2787"/>
      <c r="F262" s="2787"/>
      <c r="G262" s="2787"/>
      <c r="H262" s="2787"/>
      <c r="I262" s="2787"/>
      <c r="J262" s="2788"/>
      <c r="K262" s="1384">
        <f>K263+K264+K265+K266+K267+K268</f>
        <v>11734.7</v>
      </c>
      <c r="L262" s="1384">
        <f>SUM(L263:L269)</f>
        <v>11733.7</v>
      </c>
      <c r="M262" s="2995">
        <f>M263+M264+M265+M266+M267+M268+M269+M270</f>
        <v>12602.3</v>
      </c>
      <c r="N262" s="2996"/>
      <c r="O262" s="2996"/>
      <c r="P262" s="2997"/>
      <c r="Q262" s="1762">
        <f ca="1">Q263+Q264+Q265+Q266+Q267+Q268+Q269+Q270</f>
        <v>13824.2</v>
      </c>
      <c r="R262" s="1762">
        <f ca="1">R263+R264+R265+R266+R267+R268+R269+R270</f>
        <v>16692.7</v>
      </c>
      <c r="S262" s="56"/>
    </row>
    <row r="263" spans="1:30" ht="14.25" customHeight="1" x14ac:dyDescent="0.2">
      <c r="A263" s="2777" t="s">
        <v>25</v>
      </c>
      <c r="B263" s="2778"/>
      <c r="C263" s="2778"/>
      <c r="D263" s="2778"/>
      <c r="E263" s="2778"/>
      <c r="F263" s="2778"/>
      <c r="G263" s="2778"/>
      <c r="H263" s="2778"/>
      <c r="I263" s="2778"/>
      <c r="J263" s="2779"/>
      <c r="K263" s="1385">
        <f>SUMIF(J14:J256,"SB",K14:K256)</f>
        <v>11162.4</v>
      </c>
      <c r="L263" s="1385">
        <f>SUMIF(J14:J256,"SB",L14:L256)</f>
        <v>11076.4</v>
      </c>
      <c r="M263" s="2998">
        <f>SUMIF(J13:J256,"SB",M13:M256)</f>
        <v>12084.3</v>
      </c>
      <c r="N263" s="2999"/>
      <c r="O263" s="2999"/>
      <c r="P263" s="3000"/>
      <c r="Q263" s="1763">
        <f>SUMIF(J10:J256,"SB",Q10:Q256)</f>
        <v>10879.4</v>
      </c>
      <c r="R263" s="1763">
        <f>SUMIF(J10:J256,"SB",R10:R256)</f>
        <v>10338</v>
      </c>
      <c r="S263" s="56"/>
    </row>
    <row r="264" spans="1:30" ht="14.25" customHeight="1" x14ac:dyDescent="0.2">
      <c r="A264" s="2756" t="s">
        <v>26</v>
      </c>
      <c r="B264" s="2757"/>
      <c r="C264" s="2757"/>
      <c r="D264" s="2757"/>
      <c r="E264" s="2757"/>
      <c r="F264" s="2757"/>
      <c r="G264" s="2757"/>
      <c r="H264" s="2757"/>
      <c r="I264" s="2757"/>
      <c r="J264" s="2758"/>
      <c r="K264" s="1386">
        <f>SUMIF(J14:J256,"SB(SP)",K14:K256)</f>
        <v>32.5</v>
      </c>
      <c r="L264" s="1386">
        <f>SUMIF(J14:J256,"SB(SP)",L14:L256)</f>
        <v>32.5</v>
      </c>
      <c r="M264" s="2850">
        <f>SUMIF(J10:J256,"SB(SP)",M10:M256)</f>
        <v>33.5</v>
      </c>
      <c r="N264" s="2851"/>
      <c r="O264" s="2851"/>
      <c r="P264" s="2852"/>
      <c r="Q264" s="1764">
        <f>SUMIF(J10:J256,"SB(SP)",Q10:Q256)</f>
        <v>13.6</v>
      </c>
      <c r="R264" s="1764">
        <f>SUMIF(J10:J256,"SB(SP)",R10:R256)</f>
        <v>13.6</v>
      </c>
      <c r="S264" s="80"/>
    </row>
    <row r="265" spans="1:30" ht="14.25" customHeight="1" x14ac:dyDescent="0.2">
      <c r="A265" s="2756" t="s">
        <v>131</v>
      </c>
      <c r="B265" s="2757"/>
      <c r="C265" s="2757"/>
      <c r="D265" s="2757"/>
      <c r="E265" s="2757"/>
      <c r="F265" s="2757"/>
      <c r="G265" s="2757"/>
      <c r="H265" s="2757"/>
      <c r="I265" s="2757"/>
      <c r="J265" s="2758"/>
      <c r="K265" s="1386">
        <f>SUMIF(J13:J256,"SB(L)",K13:K256)</f>
        <v>0</v>
      </c>
      <c r="L265" s="1386">
        <f>SUMIF(J13:J256,"SB(L)",L13:L256)</f>
        <v>0</v>
      </c>
      <c r="M265" s="2850">
        <f>SUMIF(J9:J256,"SB(L)",M9:M256)</f>
        <v>0</v>
      </c>
      <c r="N265" s="2851"/>
      <c r="O265" s="2851"/>
      <c r="P265" s="2852"/>
      <c r="Q265" s="1764">
        <f ca="1">SUMIF(J10:J256,"SB(L)",Q10:Q255)</f>
        <v>0</v>
      </c>
      <c r="R265" s="1764">
        <f ca="1">SUMIF(K10:K256,"SB(L)",R10:R255)</f>
        <v>0</v>
      </c>
    </row>
    <row r="266" spans="1:30" ht="12.75" customHeight="1" x14ac:dyDescent="0.2">
      <c r="A266" s="2756" t="s">
        <v>180</v>
      </c>
      <c r="B266" s="2757"/>
      <c r="C266" s="2757"/>
      <c r="D266" s="2757"/>
      <c r="E266" s="2757"/>
      <c r="F266" s="2757"/>
      <c r="G266" s="2757"/>
      <c r="H266" s="2757"/>
      <c r="I266" s="2757"/>
      <c r="J266" s="2758"/>
      <c r="K266" s="1386">
        <f>SUMIF(J14:J247,"SB(VR)",K14:K247)</f>
        <v>39.799999999999997</v>
      </c>
      <c r="L266" s="1386">
        <f>SUMIF(J14:J256,"SB(VR)",L14:L256)</f>
        <v>42.5</v>
      </c>
      <c r="M266" s="2850">
        <f>SUMIF(J10:J252,"SB(VR)",M10:M252)</f>
        <v>84.5</v>
      </c>
      <c r="N266" s="2851"/>
      <c r="O266" s="2851"/>
      <c r="P266" s="2852"/>
      <c r="Q266" s="1764">
        <f>SUMIF(J10:J256,"SB(VR)",Q10:Q256)</f>
        <v>14.3</v>
      </c>
      <c r="R266" s="1764">
        <f>SUMIF(J10:J256,"SB(VR)",R10:R256)</f>
        <v>0</v>
      </c>
      <c r="S266" s="58"/>
      <c r="T266" s="1"/>
      <c r="U266" s="1"/>
      <c r="V266" s="1"/>
      <c r="W266" s="1"/>
    </row>
    <row r="267" spans="1:30" x14ac:dyDescent="0.2">
      <c r="A267" s="2756" t="s">
        <v>28</v>
      </c>
      <c r="B267" s="2757"/>
      <c r="C267" s="2757"/>
      <c r="D267" s="2757"/>
      <c r="E267" s="2757"/>
      <c r="F267" s="2757"/>
      <c r="G267" s="2757"/>
      <c r="H267" s="2757"/>
      <c r="I267" s="2757"/>
      <c r="J267" s="2758"/>
      <c r="K267" s="1386">
        <f>SUMIF(J14:J256,"SB(P)",K14:K256)</f>
        <v>0</v>
      </c>
      <c r="L267" s="1386">
        <f>SUMIF(J14:J256,"SB(P)",L14:L256)</f>
        <v>0</v>
      </c>
      <c r="M267" s="2850">
        <f>SUMIF(J10:J256,"SB(P)",M10:M256)</f>
        <v>0</v>
      </c>
      <c r="N267" s="2851"/>
      <c r="O267" s="2851"/>
      <c r="P267" s="2852"/>
      <c r="Q267" s="1764">
        <f>SUMIF(J10:J256,"SB(P)",Q10:Q256)</f>
        <v>0</v>
      </c>
      <c r="R267" s="1764">
        <f>SUMIF(J10:J256,"SB(P)",R10:R256)</f>
        <v>0</v>
      </c>
      <c r="S267" s="58"/>
      <c r="T267" s="1"/>
      <c r="U267" s="1"/>
      <c r="V267" s="1"/>
      <c r="W267" s="1"/>
    </row>
    <row r="268" spans="1:30" x14ac:dyDescent="0.2">
      <c r="A268" s="2756" t="s">
        <v>347</v>
      </c>
      <c r="B268" s="2757"/>
      <c r="C268" s="2757"/>
      <c r="D268" s="2757"/>
      <c r="E268" s="2757"/>
      <c r="F268" s="2757"/>
      <c r="G268" s="2757"/>
      <c r="H268" s="2757"/>
      <c r="I268" s="2757"/>
      <c r="J268" s="2758"/>
      <c r="K268" s="1386">
        <f>SUMIF(J16:J256,"SB(VB)",K16:K256)</f>
        <v>500</v>
      </c>
      <c r="L268" s="1386">
        <f>SUMIF(J16:J256,"SB(VB)",L16:L256)</f>
        <v>500</v>
      </c>
      <c r="M268" s="2850">
        <f>SUMIF(J12:J256,"SB(VB)",M12:M256)</f>
        <v>0</v>
      </c>
      <c r="N268" s="2851"/>
      <c r="O268" s="2851"/>
      <c r="P268" s="2852"/>
      <c r="Q268" s="1764">
        <f>SUMIF(J12:J256,"SB(VB)",Q12:Q256)</f>
        <v>216.4</v>
      </c>
      <c r="R268" s="1764">
        <f>SUMIF(J12:J256,"SB(VB)",R12:R256)</f>
        <v>486.1</v>
      </c>
    </row>
    <row r="269" spans="1:30" x14ac:dyDescent="0.2">
      <c r="A269" s="2765" t="s">
        <v>384</v>
      </c>
      <c r="B269" s="2766"/>
      <c r="C269" s="2766"/>
      <c r="D269" s="2766"/>
      <c r="E269" s="2766"/>
      <c r="F269" s="2766"/>
      <c r="G269" s="2766"/>
      <c r="H269" s="2766"/>
      <c r="I269" s="2766"/>
      <c r="J269" s="2767"/>
      <c r="K269" s="1385">
        <f>SUMIF(J14:J256,"SB(KPP)",K14:K256)</f>
        <v>316</v>
      </c>
      <c r="L269" s="1385">
        <f>SUMIF(J14:J256,"SB(KPP)",L14:L256)</f>
        <v>82.3</v>
      </c>
      <c r="M269" s="2850">
        <f>SUMIF(J10:J256,"SB(KPP)",M10:M256)</f>
        <v>400</v>
      </c>
      <c r="N269" s="2851"/>
      <c r="O269" s="2851"/>
      <c r="P269" s="2852"/>
      <c r="Q269" s="1764">
        <f>SUMIF(J10:J256,"SB(KPP)",Q10:Q256)</f>
        <v>250</v>
      </c>
      <c r="R269" s="1764">
        <f>SUMIF(J13:J258,"SB(KPP)",R13:R258)</f>
        <v>350</v>
      </c>
      <c r="S269" s="1193"/>
      <c r="T269" s="1193"/>
      <c r="U269" s="1193"/>
      <c r="V269" s="1193"/>
      <c r="W269" s="1193"/>
    </row>
    <row r="270" spans="1:30" ht="14.25" customHeight="1" x14ac:dyDescent="0.2">
      <c r="A270" s="2768" t="s">
        <v>29</v>
      </c>
      <c r="B270" s="2769"/>
      <c r="C270" s="2769"/>
      <c r="D270" s="2769"/>
      <c r="E270" s="2769"/>
      <c r="F270" s="2769"/>
      <c r="G270" s="2769"/>
      <c r="H270" s="2769"/>
      <c r="I270" s="2769"/>
      <c r="J270" s="2770"/>
      <c r="K270" s="1386">
        <f>SUMIF(J14:J251,"ES",K14:K251)</f>
        <v>0</v>
      </c>
      <c r="L270" s="1386">
        <f>SUMIF(J9:J251,"ES",L9:L251)</f>
        <v>0</v>
      </c>
      <c r="M270" s="2850">
        <f>SUMIF(J14:J252,"ES",M14:M252)</f>
        <v>0</v>
      </c>
      <c r="N270" s="2851"/>
      <c r="O270" s="2851"/>
      <c r="P270" s="2852"/>
      <c r="Q270" s="1764">
        <f>SUMIF(J14:J251,"ES",Q14:Q251)</f>
        <v>2450.5</v>
      </c>
      <c r="R270" s="1764">
        <f>SUMIF(J14:J251,"ES",R14:R251)</f>
        <v>5505</v>
      </c>
    </row>
    <row r="271" spans="1:30" x14ac:dyDescent="0.2">
      <c r="A271" s="2759" t="s">
        <v>344</v>
      </c>
      <c r="B271" s="2760"/>
      <c r="C271" s="2760"/>
      <c r="D271" s="2760"/>
      <c r="E271" s="2760"/>
      <c r="F271" s="2760"/>
      <c r="G271" s="2760"/>
      <c r="H271" s="2760"/>
      <c r="I271" s="2760"/>
      <c r="J271" s="2761"/>
      <c r="K271" s="1387">
        <f>SUMIF(J13:J256,"SB(SPL)",K13:K256)</f>
        <v>4.2</v>
      </c>
      <c r="L271" s="1387">
        <f>SUMIF(J13:J256,"SB(SPL)",L13:L256)</f>
        <v>4.2</v>
      </c>
      <c r="M271" s="3001">
        <f>SUMIF(J9:J256,"SB(SPL)",M9:M256)</f>
        <v>0</v>
      </c>
      <c r="N271" s="3002"/>
      <c r="O271" s="3002"/>
      <c r="P271" s="3003"/>
      <c r="Q271" s="1765">
        <f>SUMIF(J9:J256,"SB(SPL)",Q9:Q256)</f>
        <v>0</v>
      </c>
      <c r="R271" s="1766">
        <f>SUMIF(J9:J256,"SB(SPL)",R9:R256)</f>
        <v>0</v>
      </c>
    </row>
    <row r="272" spans="1:30" x14ac:dyDescent="0.2">
      <c r="A272" s="2759" t="s">
        <v>348</v>
      </c>
      <c r="B272" s="2760"/>
      <c r="C272" s="2760"/>
      <c r="D272" s="2760"/>
      <c r="E272" s="2760"/>
      <c r="F272" s="2760"/>
      <c r="G272" s="2760"/>
      <c r="H272" s="2760"/>
      <c r="I272" s="2760"/>
      <c r="J272" s="2761"/>
      <c r="K272" s="1387">
        <f>SUMIF(J14:J256,"SB(ŽPL)",K14:K256)</f>
        <v>0</v>
      </c>
      <c r="L272" s="1387">
        <f>SUMIF(J14:J256,"SB(ŽPL)",L14:L256)</f>
        <v>0</v>
      </c>
      <c r="M272" s="3001">
        <f>SUMIF(J10:J256,"SB(ŽPL)",M10:M256)</f>
        <v>0</v>
      </c>
      <c r="N272" s="3002"/>
      <c r="O272" s="3002"/>
      <c r="P272" s="3003"/>
      <c r="Q272" s="1765">
        <f>SUMIF(J10:J256,"SB(ŽPL)",Q10:Q256)</f>
        <v>0</v>
      </c>
      <c r="R272" s="1766">
        <f>SUMIF(J10:J256,"SB(ŽPL)",R10:R256)</f>
        <v>0</v>
      </c>
    </row>
    <row r="273" spans="1:23" x14ac:dyDescent="0.2">
      <c r="A273" s="2759" t="s">
        <v>345</v>
      </c>
      <c r="B273" s="2760"/>
      <c r="C273" s="2760"/>
      <c r="D273" s="2760"/>
      <c r="E273" s="2760"/>
      <c r="F273" s="2760"/>
      <c r="G273" s="2760"/>
      <c r="H273" s="2760"/>
      <c r="I273" s="2760"/>
      <c r="J273" s="2761"/>
      <c r="K273" s="1387">
        <f>SUMIF(J13:J256,"SB(VRL)",K13:K256)</f>
        <v>0</v>
      </c>
      <c r="L273" s="1387">
        <f>SUMIF(J13:J256,"SB(VRL)",L13:L256)</f>
        <v>27.5</v>
      </c>
      <c r="M273" s="3001">
        <f>SUMIF(J9:J256,"SB(VRL)",M9:M256)</f>
        <v>0</v>
      </c>
      <c r="N273" s="3002"/>
      <c r="O273" s="3002"/>
      <c r="P273" s="3003"/>
      <c r="Q273" s="1767">
        <f>SUMIF(J10:J256,"SB(VRL)",Q10:Q256)</f>
        <v>0</v>
      </c>
      <c r="R273" s="1767">
        <f>SUMIF(J10:J256,"SB(VRL)",R10:R256)</f>
        <v>0</v>
      </c>
    </row>
    <row r="274" spans="1:23" x14ac:dyDescent="0.2">
      <c r="A274" s="2762" t="s">
        <v>20</v>
      </c>
      <c r="B274" s="2763"/>
      <c r="C274" s="2763"/>
      <c r="D274" s="2763"/>
      <c r="E274" s="2763"/>
      <c r="F274" s="2763"/>
      <c r="G274" s="2763"/>
      <c r="H274" s="2763"/>
      <c r="I274" s="2763"/>
      <c r="J274" s="2764"/>
      <c r="K274" s="1388">
        <f>SUM(K276:K277)</f>
        <v>165.6</v>
      </c>
      <c r="L274" s="1388">
        <f>SUM(L275:L277)</f>
        <v>214.1</v>
      </c>
      <c r="M274" s="3007">
        <f>SUM(M275:P277)</f>
        <v>90.1</v>
      </c>
      <c r="N274" s="3008"/>
      <c r="O274" s="3008"/>
      <c r="P274" s="3009"/>
      <c r="Q274" s="1768">
        <f>SUM(Q276:Q277)</f>
        <v>121</v>
      </c>
      <c r="R274" s="1768">
        <f>SUM(R276:R277)</f>
        <v>0</v>
      </c>
    </row>
    <row r="275" spans="1:23" x14ac:dyDescent="0.2">
      <c r="A275" s="2753" t="s">
        <v>582</v>
      </c>
      <c r="B275" s="2754"/>
      <c r="C275" s="2754"/>
      <c r="D275" s="2754"/>
      <c r="E275" s="2754"/>
      <c r="F275" s="2754"/>
      <c r="G275" s="2754"/>
      <c r="H275" s="2754"/>
      <c r="I275" s="2754"/>
      <c r="J275" s="2755"/>
      <c r="K275" s="1386">
        <f>SUMIF(J22:J259,"KVJUD",K22:K259)</f>
        <v>0</v>
      </c>
      <c r="L275" s="1386">
        <f>SUMIF(J22:J256,"KVJUD",L22:L256)</f>
        <v>43.4</v>
      </c>
      <c r="M275" s="2850">
        <f>SUMIF(J13:J256,"KVJUD",M13:M256)</f>
        <v>0</v>
      </c>
      <c r="N275" s="2851"/>
      <c r="O275" s="2851"/>
      <c r="P275" s="2852"/>
      <c r="Q275" s="1764">
        <f>SUMIF(J13:J259,"KVJUD",Q13:Q259)</f>
        <v>0</v>
      </c>
      <c r="R275" s="1764">
        <f>SUMIF(J13:J259,"KVJUD",R13:R259)</f>
        <v>0</v>
      </c>
    </row>
    <row r="276" spans="1:23" ht="13.5" customHeight="1" x14ac:dyDescent="0.2">
      <c r="A276" s="2756" t="s">
        <v>31</v>
      </c>
      <c r="B276" s="2757"/>
      <c r="C276" s="2757"/>
      <c r="D276" s="2757"/>
      <c r="E276" s="2757"/>
      <c r="F276" s="2757"/>
      <c r="G276" s="2757"/>
      <c r="H276" s="2757"/>
      <c r="I276" s="2757"/>
      <c r="J276" s="2758"/>
      <c r="K276" s="1386">
        <f>SUMIF(J14:J256,"LRVB",K14:K256)</f>
        <v>0</v>
      </c>
      <c r="L276" s="1386">
        <f>SUMIF(J14:J256,"LRVB",L14:L256)</f>
        <v>0</v>
      </c>
      <c r="M276" s="2850">
        <f>SUMIF(J10:J256,"LRVB",M10:M256)</f>
        <v>0</v>
      </c>
      <c r="N276" s="2851"/>
      <c r="O276" s="2851"/>
      <c r="P276" s="2852"/>
      <c r="Q276" s="1764">
        <f>SUMIF(J10:J256,"LRVB",Q10:Q256)</f>
        <v>0</v>
      </c>
      <c r="R276" s="1764">
        <f>SUMIF(J10:J256,"LRVB",R10:R256)</f>
        <v>0</v>
      </c>
    </row>
    <row r="277" spans="1:23" ht="15.75" customHeight="1" x14ac:dyDescent="0.2">
      <c r="A277" s="2756" t="s">
        <v>32</v>
      </c>
      <c r="B277" s="2757"/>
      <c r="C277" s="2757"/>
      <c r="D277" s="2757"/>
      <c r="E277" s="2757"/>
      <c r="F277" s="2757"/>
      <c r="G277" s="2757"/>
      <c r="H277" s="2757"/>
      <c r="I277" s="2757"/>
      <c r="J277" s="2758"/>
      <c r="K277" s="1386">
        <f>SUMIF(J13:J256,"Kt",K13:K256)</f>
        <v>165.6</v>
      </c>
      <c r="L277" s="1386">
        <f>SUMIF(J13:J256,"Kt",L13:L256)</f>
        <v>170.7</v>
      </c>
      <c r="M277" s="2850">
        <f>SUMIF(J9:J256,"Kt",M9:M256)</f>
        <v>90.1</v>
      </c>
      <c r="N277" s="2851"/>
      <c r="O277" s="2851"/>
      <c r="P277" s="2852"/>
      <c r="Q277" s="1764">
        <f>SUMIF(J10:J256,"Kt",Q10:Q256)</f>
        <v>121</v>
      </c>
      <c r="R277" s="1764">
        <f>SUMIF(J10:J256,"Kt",R10:R256)</f>
        <v>0</v>
      </c>
    </row>
    <row r="278" spans="1:23" ht="15" customHeight="1" thickBot="1" x14ac:dyDescent="0.25">
      <c r="A278" s="2747" t="s">
        <v>21</v>
      </c>
      <c r="B278" s="2748"/>
      <c r="C278" s="2748"/>
      <c r="D278" s="2748"/>
      <c r="E278" s="2748"/>
      <c r="F278" s="2748"/>
      <c r="G278" s="2748"/>
      <c r="H278" s="2748"/>
      <c r="I278" s="2748"/>
      <c r="J278" s="2749"/>
      <c r="K278" s="1389">
        <f>SUM(K261,K274)</f>
        <v>12220.5</v>
      </c>
      <c r="L278" s="1389">
        <f>SUM(L261,L274)</f>
        <v>11979.5</v>
      </c>
      <c r="M278" s="2989">
        <f>SUM(M261,M274)</f>
        <v>12692.4</v>
      </c>
      <c r="N278" s="2990"/>
      <c r="O278" s="2990"/>
      <c r="P278" s="2991"/>
      <c r="Q278" s="1769">
        <f ca="1">SUM(Q261,Q274)</f>
        <v>13945.2</v>
      </c>
      <c r="R278" s="1769">
        <f ca="1">SUM(R261,R274)</f>
        <v>16692.7</v>
      </c>
      <c r="T278" s="5"/>
      <c r="U278" s="5"/>
      <c r="V278" s="5"/>
      <c r="W278" s="5"/>
    </row>
    <row r="279" spans="1:23" x14ac:dyDescent="0.2">
      <c r="K279" s="21"/>
      <c r="L279" s="21"/>
      <c r="M279" s="21"/>
      <c r="N279" s="21"/>
      <c r="O279" s="21"/>
      <c r="P279" s="21"/>
      <c r="Q279" s="21"/>
      <c r="R279" s="21"/>
      <c r="S279" s="21"/>
      <c r="T279" s="14"/>
      <c r="U279" s="14"/>
      <c r="V279" s="14"/>
      <c r="W279" s="14"/>
    </row>
    <row r="280" spans="1:23" x14ac:dyDescent="0.2">
      <c r="K280" s="1903"/>
      <c r="L280" s="1903"/>
      <c r="M280" s="1903"/>
      <c r="N280" s="1903"/>
      <c r="O280" s="21"/>
      <c r="P280" s="21"/>
      <c r="Q280" s="21"/>
      <c r="R280" s="21"/>
      <c r="S280" s="1302"/>
      <c r="T280" s="14"/>
      <c r="U280" s="14"/>
      <c r="V280" s="14"/>
      <c r="W280" s="14"/>
    </row>
    <row r="281" spans="1:23" x14ac:dyDescent="0.2">
      <c r="K281" s="1324"/>
      <c r="L281" s="1324"/>
      <c r="M281" s="1324"/>
      <c r="N281" s="1324"/>
      <c r="O281" s="1324"/>
      <c r="P281" s="1324"/>
      <c r="Q281" s="1324"/>
      <c r="R281" s="1324"/>
      <c r="S281" s="21"/>
      <c r="T281" s="21"/>
      <c r="U281" s="21"/>
      <c r="V281" s="21"/>
      <c r="W281" s="21"/>
    </row>
    <row r="284" spans="1:23" x14ac:dyDescent="0.2">
      <c r="K284" s="1193"/>
      <c r="L284" s="1193"/>
      <c r="M284" s="1193"/>
      <c r="N284" s="1193"/>
      <c r="O284" s="1193"/>
      <c r="P284" s="1193"/>
      <c r="Q284" s="1193"/>
      <c r="R284" s="1193"/>
    </row>
  </sheetData>
  <mergeCells count="415">
    <mergeCell ref="X167:X169"/>
    <mergeCell ref="F155:F157"/>
    <mergeCell ref="S137:S138"/>
    <mergeCell ref="B121:B122"/>
    <mergeCell ref="C121:C122"/>
    <mergeCell ref="E123:E124"/>
    <mergeCell ref="I123:I124"/>
    <mergeCell ref="D148:D151"/>
    <mergeCell ref="E148:E151"/>
    <mergeCell ref="F152:F154"/>
    <mergeCell ref="F148:F151"/>
    <mergeCell ref="D144:D147"/>
    <mergeCell ref="I135:I136"/>
    <mergeCell ref="B135:B136"/>
    <mergeCell ref="E137:E138"/>
    <mergeCell ref="H135:H136"/>
    <mergeCell ref="E161:E163"/>
    <mergeCell ref="F161:F163"/>
    <mergeCell ref="E121:E122"/>
    <mergeCell ref="G144:G147"/>
    <mergeCell ref="S167:S168"/>
    <mergeCell ref="S134:W134"/>
    <mergeCell ref="I148:I151"/>
    <mergeCell ref="D152:D154"/>
    <mergeCell ref="S221:S222"/>
    <mergeCell ref="H246:H247"/>
    <mergeCell ref="C223:J223"/>
    <mergeCell ref="S226:S227"/>
    <mergeCell ref="G219:G220"/>
    <mergeCell ref="E167:E169"/>
    <mergeCell ref="F167:F169"/>
    <mergeCell ref="D234:D236"/>
    <mergeCell ref="E234:E235"/>
    <mergeCell ref="G234:G236"/>
    <mergeCell ref="I234:I236"/>
    <mergeCell ref="F235:F236"/>
    <mergeCell ref="H235:H236"/>
    <mergeCell ref="C171:J171"/>
    <mergeCell ref="F214:F215"/>
    <mergeCell ref="G214:G215"/>
    <mergeCell ref="G208:G209"/>
    <mergeCell ref="E214:E215"/>
    <mergeCell ref="C208:C209"/>
    <mergeCell ref="I173:I176"/>
    <mergeCell ref="E246:E247"/>
    <mergeCell ref="F246:F247"/>
    <mergeCell ref="C228:C229"/>
    <mergeCell ref="I208:I215"/>
    <mergeCell ref="G210:G211"/>
    <mergeCell ref="D212:D213"/>
    <mergeCell ref="E212:E213"/>
    <mergeCell ref="E221:E222"/>
    <mergeCell ref="G221:G222"/>
    <mergeCell ref="G174:G176"/>
    <mergeCell ref="D208:D209"/>
    <mergeCell ref="E177:E178"/>
    <mergeCell ref="D246:D247"/>
    <mergeCell ref="M278:P278"/>
    <mergeCell ref="M260:P260"/>
    <mergeCell ref="M262:P262"/>
    <mergeCell ref="M263:P263"/>
    <mergeCell ref="M264:P264"/>
    <mergeCell ref="M265:P265"/>
    <mergeCell ref="M266:P266"/>
    <mergeCell ref="M267:P267"/>
    <mergeCell ref="M268:P268"/>
    <mergeCell ref="M269:P269"/>
    <mergeCell ref="M271:P271"/>
    <mergeCell ref="M261:P261"/>
    <mergeCell ref="M272:P272"/>
    <mergeCell ref="M273:P273"/>
    <mergeCell ref="M274:P274"/>
    <mergeCell ref="M276:P276"/>
    <mergeCell ref="M277:P277"/>
    <mergeCell ref="A278:J278"/>
    <mergeCell ref="A276:J276"/>
    <mergeCell ref="A273:J273"/>
    <mergeCell ref="S177:S178"/>
    <mergeCell ref="C224:K224"/>
    <mergeCell ref="G248:G250"/>
    <mergeCell ref="H248:H250"/>
    <mergeCell ref="I248:I250"/>
    <mergeCell ref="A251:A252"/>
    <mergeCell ref="B251:B252"/>
    <mergeCell ref="C251:C252"/>
    <mergeCell ref="D251:D252"/>
    <mergeCell ref="E248:E250"/>
    <mergeCell ref="A210:A211"/>
    <mergeCell ref="B210:B211"/>
    <mergeCell ref="A212:A213"/>
    <mergeCell ref="B212:B213"/>
    <mergeCell ref="E251:E252"/>
    <mergeCell ref="E208:E209"/>
    <mergeCell ref="F208:F209"/>
    <mergeCell ref="C238:K238"/>
    <mergeCell ref="I246:I247"/>
    <mergeCell ref="C212:C213"/>
    <mergeCell ref="C246:C247"/>
    <mergeCell ref="G54:G56"/>
    <mergeCell ref="I66:I68"/>
    <mergeCell ref="G67:G68"/>
    <mergeCell ref="G69:G71"/>
    <mergeCell ref="G113:G115"/>
    <mergeCell ref="G94:G103"/>
    <mergeCell ref="H127:H133"/>
    <mergeCell ref="G57:G58"/>
    <mergeCell ref="H119:H120"/>
    <mergeCell ref="G72:G74"/>
    <mergeCell ref="G92:G93"/>
    <mergeCell ref="I65:J65"/>
    <mergeCell ref="G62:G63"/>
    <mergeCell ref="I62:I63"/>
    <mergeCell ref="I57:I58"/>
    <mergeCell ref="G78:G80"/>
    <mergeCell ref="H57:H58"/>
    <mergeCell ref="H113:H115"/>
    <mergeCell ref="H54:H56"/>
    <mergeCell ref="I54:I56"/>
    <mergeCell ref="G59:G61"/>
    <mergeCell ref="I59:I61"/>
    <mergeCell ref="A277:J277"/>
    <mergeCell ref="E230:E233"/>
    <mergeCell ref="I230:I233"/>
    <mergeCell ref="A263:J263"/>
    <mergeCell ref="A265:J265"/>
    <mergeCell ref="A266:J266"/>
    <mergeCell ref="A274:J274"/>
    <mergeCell ref="A271:J271"/>
    <mergeCell ref="A272:J272"/>
    <mergeCell ref="A269:J269"/>
    <mergeCell ref="A264:J264"/>
    <mergeCell ref="A267:J267"/>
    <mergeCell ref="G251:G252"/>
    <mergeCell ref="A248:A250"/>
    <mergeCell ref="A261:J261"/>
    <mergeCell ref="F251:F252"/>
    <mergeCell ref="C248:C250"/>
    <mergeCell ref="D248:D250"/>
    <mergeCell ref="A260:J260"/>
    <mergeCell ref="A246:A247"/>
    <mergeCell ref="G246:G247"/>
    <mergeCell ref="A268:J268"/>
    <mergeCell ref="C237:J237"/>
    <mergeCell ref="C254:J254"/>
    <mergeCell ref="G34:G35"/>
    <mergeCell ref="H34:H35"/>
    <mergeCell ref="I34:I35"/>
    <mergeCell ref="H48:H49"/>
    <mergeCell ref="I48:I49"/>
    <mergeCell ref="G50:G51"/>
    <mergeCell ref="G48:G49"/>
    <mergeCell ref="G36:G38"/>
    <mergeCell ref="I36:I38"/>
    <mergeCell ref="G39:G40"/>
    <mergeCell ref="G41:G42"/>
    <mergeCell ref="H41:H42"/>
    <mergeCell ref="G45:G47"/>
    <mergeCell ref="I45:I46"/>
    <mergeCell ref="G43:G44"/>
    <mergeCell ref="H43:H44"/>
    <mergeCell ref="I43:I44"/>
    <mergeCell ref="A10:W10"/>
    <mergeCell ref="A16:A18"/>
    <mergeCell ref="D19:D25"/>
    <mergeCell ref="E16:E18"/>
    <mergeCell ref="D16:D18"/>
    <mergeCell ref="B16:B18"/>
    <mergeCell ref="F19:F25"/>
    <mergeCell ref="E19:E25"/>
    <mergeCell ref="L7:L8"/>
    <mergeCell ref="A9:W9"/>
    <mergeCell ref="M7:M8"/>
    <mergeCell ref="N7:O7"/>
    <mergeCell ref="P7:P8"/>
    <mergeCell ref="S7:S8"/>
    <mergeCell ref="T7:W7"/>
    <mergeCell ref="H16:H18"/>
    <mergeCell ref="B11:W11"/>
    <mergeCell ref="C12:W12"/>
    <mergeCell ref="C19:C25"/>
    <mergeCell ref="I14:I15"/>
    <mergeCell ref="G14:G15"/>
    <mergeCell ref="G16:G18"/>
    <mergeCell ref="G20:G24"/>
    <mergeCell ref="H19:H25"/>
    <mergeCell ref="T82:T85"/>
    <mergeCell ref="W78:W81"/>
    <mergeCell ref="I78:I79"/>
    <mergeCell ref="I82:I83"/>
    <mergeCell ref="I86:I87"/>
    <mergeCell ref="I16:I18"/>
    <mergeCell ref="I19:I20"/>
    <mergeCell ref="S54:S55"/>
    <mergeCell ref="S45:S46"/>
    <mergeCell ref="S82:S85"/>
    <mergeCell ref="W82:W85"/>
    <mergeCell ref="S86:S88"/>
    <mergeCell ref="I41:I42"/>
    <mergeCell ref="I69:I71"/>
    <mergeCell ref="I76:J76"/>
    <mergeCell ref="S59:S61"/>
    <mergeCell ref="T78:T81"/>
    <mergeCell ref="S1:W1"/>
    <mergeCell ref="A2:W2"/>
    <mergeCell ref="A6:A8"/>
    <mergeCell ref="B6:B8"/>
    <mergeCell ref="C6:C8"/>
    <mergeCell ref="D6:D8"/>
    <mergeCell ref="E6:E8"/>
    <mergeCell ref="F6:F8"/>
    <mergeCell ref="G6:G8"/>
    <mergeCell ref="H6:H8"/>
    <mergeCell ref="I6:I8"/>
    <mergeCell ref="J6:J8"/>
    <mergeCell ref="M6:P6"/>
    <mergeCell ref="Q6:Q8"/>
    <mergeCell ref="R6:R8"/>
    <mergeCell ref="S6:W6"/>
    <mergeCell ref="K7:K8"/>
    <mergeCell ref="A3:W3"/>
    <mergeCell ref="A4:W4"/>
    <mergeCell ref="S5:W5"/>
    <mergeCell ref="A19:A25"/>
    <mergeCell ref="B69:B71"/>
    <mergeCell ref="C69:C71"/>
    <mergeCell ref="D34:D35"/>
    <mergeCell ref="E34:E35"/>
    <mergeCell ref="D54:D56"/>
    <mergeCell ref="E54:E56"/>
    <mergeCell ref="F54:F56"/>
    <mergeCell ref="D50:D51"/>
    <mergeCell ref="D36:D38"/>
    <mergeCell ref="E50:E51"/>
    <mergeCell ref="E36:E38"/>
    <mergeCell ref="D39:D40"/>
    <mergeCell ref="E39:E40"/>
    <mergeCell ref="D41:D42"/>
    <mergeCell ref="E41:E42"/>
    <mergeCell ref="F36:F42"/>
    <mergeCell ref="F48:F51"/>
    <mergeCell ref="D43:D44"/>
    <mergeCell ref="E43:E44"/>
    <mergeCell ref="F43:F47"/>
    <mergeCell ref="D48:D49"/>
    <mergeCell ref="E48:E49"/>
    <mergeCell ref="A69:A71"/>
    <mergeCell ref="E14:E15"/>
    <mergeCell ref="C16:C18"/>
    <mergeCell ref="F67:F68"/>
    <mergeCell ref="E94:E102"/>
    <mergeCell ref="F16:F18"/>
    <mergeCell ref="B19:B25"/>
    <mergeCell ref="E45:E47"/>
    <mergeCell ref="D57:D58"/>
    <mergeCell ref="E57:E58"/>
    <mergeCell ref="F57:F58"/>
    <mergeCell ref="F78:F81"/>
    <mergeCell ref="E69:E71"/>
    <mergeCell ref="B67:B68"/>
    <mergeCell ref="C67:C68"/>
    <mergeCell ref="D67:D68"/>
    <mergeCell ref="D62:D63"/>
    <mergeCell ref="E62:E63"/>
    <mergeCell ref="D52:D53"/>
    <mergeCell ref="E52:E53"/>
    <mergeCell ref="E59:E61"/>
    <mergeCell ref="F59:F63"/>
    <mergeCell ref="A67:A68"/>
    <mergeCell ref="E104:E112"/>
    <mergeCell ref="E78:E80"/>
    <mergeCell ref="E72:E74"/>
    <mergeCell ref="E92:E93"/>
    <mergeCell ref="E119:E120"/>
    <mergeCell ref="A121:A122"/>
    <mergeCell ref="A119:A120"/>
    <mergeCell ref="D127:D133"/>
    <mergeCell ref="E127:E133"/>
    <mergeCell ref="D121:D122"/>
    <mergeCell ref="A135:A136"/>
    <mergeCell ref="B113:B115"/>
    <mergeCell ref="C113:C115"/>
    <mergeCell ref="G127:G133"/>
    <mergeCell ref="G123:G124"/>
    <mergeCell ref="G152:G154"/>
    <mergeCell ref="G135:G136"/>
    <mergeCell ref="E155:E157"/>
    <mergeCell ref="D113:D115"/>
    <mergeCell ref="E113:E115"/>
    <mergeCell ref="A113:A115"/>
    <mergeCell ref="C135:C136"/>
    <mergeCell ref="F139:F142"/>
    <mergeCell ref="F135:F136"/>
    <mergeCell ref="F144:F147"/>
    <mergeCell ref="F119:F120"/>
    <mergeCell ref="B119:B120"/>
    <mergeCell ref="C119:C120"/>
    <mergeCell ref="D119:D120"/>
    <mergeCell ref="E116:E117"/>
    <mergeCell ref="D135:D136"/>
    <mergeCell ref="E135:E136"/>
    <mergeCell ref="E142:E143"/>
    <mergeCell ref="E144:E146"/>
    <mergeCell ref="W119:W120"/>
    <mergeCell ref="S119:S120"/>
    <mergeCell ref="T119:T120"/>
    <mergeCell ref="G116:G117"/>
    <mergeCell ref="S219:S220"/>
    <mergeCell ref="S217:S218"/>
    <mergeCell ref="C199:J199"/>
    <mergeCell ref="I170:J170"/>
    <mergeCell ref="C200:Q200"/>
    <mergeCell ref="I144:I147"/>
    <mergeCell ref="H152:H154"/>
    <mergeCell ref="G148:G151"/>
    <mergeCell ref="H148:H151"/>
    <mergeCell ref="H159:H162"/>
    <mergeCell ref="I159:I162"/>
    <mergeCell ref="I155:I158"/>
    <mergeCell ref="I216:J216"/>
    <mergeCell ref="C210:C211"/>
    <mergeCell ref="D210:D211"/>
    <mergeCell ref="E210:E211"/>
    <mergeCell ref="F210:F211"/>
    <mergeCell ref="G139:G142"/>
    <mergeCell ref="F121:F122"/>
    <mergeCell ref="G121:G122"/>
    <mergeCell ref="A275:J275"/>
    <mergeCell ref="M275:P275"/>
    <mergeCell ref="A225:A227"/>
    <mergeCell ref="B225:B227"/>
    <mergeCell ref="C225:C227"/>
    <mergeCell ref="D225:D227"/>
    <mergeCell ref="E225:E227"/>
    <mergeCell ref="F225:F227"/>
    <mergeCell ref="G225:G227"/>
    <mergeCell ref="I225:I226"/>
    <mergeCell ref="B256:J256"/>
    <mergeCell ref="H251:H252"/>
    <mergeCell ref="I251:I252"/>
    <mergeCell ref="F248:F250"/>
    <mergeCell ref="A259:K259"/>
    <mergeCell ref="B255:J255"/>
    <mergeCell ref="A228:A229"/>
    <mergeCell ref="B228:B229"/>
    <mergeCell ref="A257:AD257"/>
    <mergeCell ref="A258:AD258"/>
    <mergeCell ref="D228:D229"/>
    <mergeCell ref="E228:E229"/>
    <mergeCell ref="F228:F229"/>
    <mergeCell ref="G228:G229"/>
    <mergeCell ref="A214:A215"/>
    <mergeCell ref="B214:B215"/>
    <mergeCell ref="C214:C215"/>
    <mergeCell ref="D214:D215"/>
    <mergeCell ref="A262:J262"/>
    <mergeCell ref="S170:W170"/>
    <mergeCell ref="A270:J270"/>
    <mergeCell ref="M270:P270"/>
    <mergeCell ref="I241:I244"/>
    <mergeCell ref="B246:B247"/>
    <mergeCell ref="G230:G233"/>
    <mergeCell ref="I201:I205"/>
    <mergeCell ref="F212:F213"/>
    <mergeCell ref="G212:G213"/>
    <mergeCell ref="G177:G182"/>
    <mergeCell ref="E219:E220"/>
    <mergeCell ref="E174:E176"/>
    <mergeCell ref="G217:G218"/>
    <mergeCell ref="S256:W256"/>
    <mergeCell ref="A208:A209"/>
    <mergeCell ref="B208:B209"/>
    <mergeCell ref="B248:B250"/>
    <mergeCell ref="C172:W172"/>
    <mergeCell ref="G203:G207"/>
    <mergeCell ref="H163:H165"/>
    <mergeCell ref="I163:I165"/>
    <mergeCell ref="I127:I133"/>
    <mergeCell ref="H155:H158"/>
    <mergeCell ref="H121:H122"/>
    <mergeCell ref="H139:H142"/>
    <mergeCell ref="I139:I142"/>
    <mergeCell ref="H144:H147"/>
    <mergeCell ref="E139:E141"/>
    <mergeCell ref="I152:I154"/>
    <mergeCell ref="I137:I138"/>
    <mergeCell ref="I134:J134"/>
    <mergeCell ref="E164:E166"/>
    <mergeCell ref="F164:F166"/>
    <mergeCell ref="E158:E160"/>
    <mergeCell ref="F158:F160"/>
    <mergeCell ref="E152:E154"/>
    <mergeCell ref="G52:G53"/>
    <mergeCell ref="H52:H53"/>
    <mergeCell ref="I52:I53"/>
    <mergeCell ref="D32:D33"/>
    <mergeCell ref="E32:E33"/>
    <mergeCell ref="G32:G33"/>
    <mergeCell ref="I32:I33"/>
    <mergeCell ref="S32:S33"/>
    <mergeCell ref="I198:J198"/>
    <mergeCell ref="S92:S93"/>
    <mergeCell ref="I92:I93"/>
    <mergeCell ref="F32:F35"/>
    <mergeCell ref="H50:H51"/>
    <mergeCell ref="I50:I51"/>
    <mergeCell ref="I39:I40"/>
    <mergeCell ref="D69:D71"/>
    <mergeCell ref="S102:S103"/>
    <mergeCell ref="I118:J118"/>
    <mergeCell ref="I94:I103"/>
    <mergeCell ref="S78:S81"/>
    <mergeCell ref="I89:I91"/>
    <mergeCell ref="F94:F103"/>
    <mergeCell ref="H67:H68"/>
    <mergeCell ref="F113:F115"/>
  </mergeCells>
  <printOptions horizontalCentered="1"/>
  <pageMargins left="0" right="0" top="0.59055118110236227" bottom="0.19685039370078741" header="0" footer="0"/>
  <pageSetup paperSize="9" scale="69" orientation="landscape" r:id="rId1"/>
  <rowBreaks count="8" manualBreakCount="8">
    <brk id="85" max="22" man="1"/>
    <brk id="120" max="22" man="1"/>
    <brk id="134" max="22" man="1"/>
    <brk id="154" max="22" man="1"/>
    <brk id="176" max="22" man="1"/>
    <brk id="200" max="22" man="1"/>
    <brk id="233" max="22" man="1"/>
    <brk id="256" max="2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84"/>
  <sheetViews>
    <sheetView workbookViewId="0">
      <selection activeCell="V11" sqref="V11"/>
    </sheetView>
  </sheetViews>
  <sheetFormatPr defaultRowHeight="12.75" x14ac:dyDescent="0.2"/>
  <cols>
    <col min="1" max="3" width="2.7109375" style="10" customWidth="1"/>
    <col min="4" max="4" width="29.42578125" style="10" customWidth="1"/>
    <col min="5" max="5" width="2.7109375" style="47" customWidth="1"/>
    <col min="6" max="6" width="2.7109375" style="10" customWidth="1"/>
    <col min="7" max="7" width="2.7109375" style="64" customWidth="1"/>
    <col min="8" max="8" width="7.7109375" style="90" customWidth="1"/>
    <col min="9" max="9" width="8.5703125" style="10" customWidth="1"/>
    <col min="10" max="10" width="7.42578125" style="10" customWidth="1"/>
    <col min="11" max="11" width="6.140625" style="10" customWidth="1"/>
    <col min="12" max="12" width="6.7109375" style="10" customWidth="1"/>
    <col min="13" max="13" width="8.140625" style="10" customWidth="1"/>
    <col min="14" max="14" width="7.5703125" style="10" customWidth="1"/>
    <col min="15" max="15" width="23.5703125" style="10" customWidth="1"/>
    <col min="16" max="17" width="3.7109375" style="10" customWidth="1"/>
    <col min="18" max="18" width="3.85546875" style="10" customWidth="1"/>
    <col min="19" max="16384" width="9.140625" style="5"/>
  </cols>
  <sheetData>
    <row r="1" spans="1:22" ht="15.75" x14ac:dyDescent="0.2">
      <c r="O1" s="2592" t="s">
        <v>220</v>
      </c>
      <c r="P1" s="2593"/>
      <c r="Q1" s="2593"/>
      <c r="R1" s="2593"/>
    </row>
    <row r="2" spans="1:22" ht="15.75" x14ac:dyDescent="0.2">
      <c r="A2" s="2350" t="s">
        <v>202</v>
      </c>
      <c r="B2" s="2350"/>
      <c r="C2" s="2350"/>
      <c r="D2" s="2350"/>
      <c r="E2" s="2350"/>
      <c r="F2" s="2350"/>
      <c r="G2" s="2350"/>
      <c r="H2" s="2350"/>
      <c r="I2" s="2350"/>
      <c r="J2" s="2350"/>
      <c r="K2" s="2350"/>
      <c r="L2" s="2350"/>
      <c r="M2" s="2350"/>
      <c r="N2" s="2350"/>
      <c r="O2" s="2350"/>
      <c r="P2" s="2350"/>
      <c r="Q2" s="2350"/>
      <c r="R2" s="2350"/>
    </row>
    <row r="3" spans="1:22" ht="15.75" x14ac:dyDescent="0.2">
      <c r="A3" s="2351" t="s">
        <v>37</v>
      </c>
      <c r="B3" s="2351"/>
      <c r="C3" s="2351"/>
      <c r="D3" s="2351"/>
      <c r="E3" s="2351"/>
      <c r="F3" s="2351"/>
      <c r="G3" s="2351"/>
      <c r="H3" s="2351"/>
      <c r="I3" s="2351"/>
      <c r="J3" s="2351"/>
      <c r="K3" s="2351"/>
      <c r="L3" s="2351"/>
      <c r="M3" s="2351"/>
      <c r="N3" s="2351"/>
      <c r="O3" s="2351"/>
      <c r="P3" s="2351"/>
      <c r="Q3" s="2351"/>
      <c r="R3" s="2351"/>
    </row>
    <row r="4" spans="1:22" ht="15.75" x14ac:dyDescent="0.2">
      <c r="A4" s="2352" t="s">
        <v>23</v>
      </c>
      <c r="B4" s="2352"/>
      <c r="C4" s="2352"/>
      <c r="D4" s="2352"/>
      <c r="E4" s="2352"/>
      <c r="F4" s="2352"/>
      <c r="G4" s="2352"/>
      <c r="H4" s="2352"/>
      <c r="I4" s="2352"/>
      <c r="J4" s="2352"/>
      <c r="K4" s="2352"/>
      <c r="L4" s="2352"/>
      <c r="M4" s="2352"/>
      <c r="N4" s="2352"/>
      <c r="O4" s="2352"/>
      <c r="P4" s="2352"/>
      <c r="Q4" s="2352"/>
      <c r="R4" s="2352"/>
      <c r="S4" s="1"/>
      <c r="T4" s="1"/>
      <c r="U4" s="1"/>
      <c r="V4" s="1"/>
    </row>
    <row r="5" spans="1:22" ht="13.5" thickBot="1" x14ac:dyDescent="0.25">
      <c r="P5" s="2353" t="s">
        <v>0</v>
      </c>
      <c r="Q5" s="2353"/>
      <c r="R5" s="2353"/>
    </row>
    <row r="6" spans="1:22" x14ac:dyDescent="0.2">
      <c r="A6" s="2354" t="s">
        <v>24</v>
      </c>
      <c r="B6" s="2357" t="s">
        <v>1</v>
      </c>
      <c r="C6" s="2357" t="s">
        <v>2</v>
      </c>
      <c r="D6" s="2360" t="s">
        <v>16</v>
      </c>
      <c r="E6" s="2363" t="s">
        <v>3</v>
      </c>
      <c r="F6" s="2394" t="s">
        <v>189</v>
      </c>
      <c r="G6" s="2397" t="s">
        <v>4</v>
      </c>
      <c r="H6" s="2400" t="s">
        <v>5</v>
      </c>
      <c r="I6" s="2385" t="s">
        <v>141</v>
      </c>
      <c r="J6" s="2386"/>
      <c r="K6" s="2386"/>
      <c r="L6" s="2387"/>
      <c r="M6" s="2388" t="s">
        <v>33</v>
      </c>
      <c r="N6" s="2388" t="s">
        <v>142</v>
      </c>
      <c r="O6" s="2391" t="s">
        <v>15</v>
      </c>
      <c r="P6" s="2392"/>
      <c r="Q6" s="2392"/>
      <c r="R6" s="2393"/>
    </row>
    <row r="7" spans="1:22" x14ac:dyDescent="0.2">
      <c r="A7" s="2355"/>
      <c r="B7" s="2358"/>
      <c r="C7" s="2358"/>
      <c r="D7" s="2361"/>
      <c r="E7" s="2364"/>
      <c r="F7" s="2395"/>
      <c r="G7" s="2398"/>
      <c r="H7" s="2401"/>
      <c r="I7" s="2366" t="s">
        <v>6</v>
      </c>
      <c r="J7" s="2367" t="s">
        <v>7</v>
      </c>
      <c r="K7" s="2368"/>
      <c r="L7" s="2369" t="s">
        <v>22</v>
      </c>
      <c r="M7" s="2389"/>
      <c r="N7" s="2389"/>
      <c r="O7" s="2371" t="s">
        <v>16</v>
      </c>
      <c r="P7" s="2367" t="s">
        <v>8</v>
      </c>
      <c r="Q7" s="2373"/>
      <c r="R7" s="2374"/>
    </row>
    <row r="8" spans="1:22" ht="61.5" thickBot="1" x14ac:dyDescent="0.25">
      <c r="A8" s="2356"/>
      <c r="B8" s="2359"/>
      <c r="C8" s="2359"/>
      <c r="D8" s="2362"/>
      <c r="E8" s="2365"/>
      <c r="F8" s="2396"/>
      <c r="G8" s="2399"/>
      <c r="H8" s="2402"/>
      <c r="I8" s="2356"/>
      <c r="J8" s="7" t="s">
        <v>6</v>
      </c>
      <c r="K8" s="6" t="s">
        <v>17</v>
      </c>
      <c r="L8" s="2370"/>
      <c r="M8" s="2390"/>
      <c r="N8" s="2390"/>
      <c r="O8" s="2372"/>
      <c r="P8" s="8" t="s">
        <v>34</v>
      </c>
      <c r="Q8" s="8" t="s">
        <v>35</v>
      </c>
      <c r="R8" s="9" t="s">
        <v>143</v>
      </c>
    </row>
    <row r="9" spans="1:22" s="30" customFormat="1" x14ac:dyDescent="0.2">
      <c r="A9" s="2382" t="s">
        <v>135</v>
      </c>
      <c r="B9" s="2383"/>
      <c r="C9" s="2383"/>
      <c r="D9" s="2383"/>
      <c r="E9" s="2383"/>
      <c r="F9" s="2383"/>
      <c r="G9" s="2383"/>
      <c r="H9" s="2383"/>
      <c r="I9" s="2383"/>
      <c r="J9" s="2383"/>
      <c r="K9" s="2383"/>
      <c r="L9" s="2383"/>
      <c r="M9" s="2383"/>
      <c r="N9" s="2383"/>
      <c r="O9" s="2383"/>
      <c r="P9" s="2383"/>
      <c r="Q9" s="2383"/>
      <c r="R9" s="2384"/>
    </row>
    <row r="10" spans="1:22" s="30" customFormat="1" x14ac:dyDescent="0.2">
      <c r="A10" s="2403" t="s">
        <v>85</v>
      </c>
      <c r="B10" s="2404"/>
      <c r="C10" s="2404"/>
      <c r="D10" s="2404"/>
      <c r="E10" s="2404"/>
      <c r="F10" s="2404"/>
      <c r="G10" s="2404"/>
      <c r="H10" s="2404"/>
      <c r="I10" s="2404"/>
      <c r="J10" s="2404"/>
      <c r="K10" s="2404"/>
      <c r="L10" s="2404"/>
      <c r="M10" s="2404"/>
      <c r="N10" s="2404"/>
      <c r="O10" s="2404"/>
      <c r="P10" s="2404"/>
      <c r="Q10" s="2404"/>
      <c r="R10" s="2405"/>
    </row>
    <row r="11" spans="1:22" ht="25.5" x14ac:dyDescent="0.2">
      <c r="A11" s="97" t="s">
        <v>9</v>
      </c>
      <c r="B11" s="2406" t="s">
        <v>136</v>
      </c>
      <c r="C11" s="2407"/>
      <c r="D11" s="2407"/>
      <c r="E11" s="2407"/>
      <c r="F11" s="2407"/>
      <c r="G11" s="2407"/>
      <c r="H11" s="2407"/>
      <c r="I11" s="2407"/>
      <c r="J11" s="2407"/>
      <c r="K11" s="2407"/>
      <c r="L11" s="2407"/>
      <c r="M11" s="2407"/>
      <c r="N11" s="2407"/>
      <c r="O11" s="2407"/>
      <c r="P11" s="2407"/>
      <c r="Q11" s="2407"/>
      <c r="R11" s="2408"/>
    </row>
    <row r="12" spans="1:22" x14ac:dyDescent="0.2">
      <c r="A12" s="95" t="s">
        <v>9</v>
      </c>
      <c r="B12" s="96" t="s">
        <v>9</v>
      </c>
      <c r="C12" s="2409" t="s">
        <v>70</v>
      </c>
      <c r="D12" s="2410"/>
      <c r="E12" s="2410"/>
      <c r="F12" s="2410"/>
      <c r="G12" s="2410"/>
      <c r="H12" s="2410"/>
      <c r="I12" s="2410"/>
      <c r="J12" s="2410"/>
      <c r="K12" s="2410"/>
      <c r="L12" s="2410"/>
      <c r="M12" s="2410"/>
      <c r="N12" s="2410"/>
      <c r="O12" s="2410"/>
      <c r="P12" s="2410"/>
      <c r="Q12" s="2410"/>
      <c r="R12" s="2411"/>
    </row>
    <row r="13" spans="1:22" x14ac:dyDescent="0.2">
      <c r="A13" s="2412" t="s">
        <v>9</v>
      </c>
      <c r="B13" s="2413" t="s">
        <v>9</v>
      </c>
      <c r="C13" s="2414" t="s">
        <v>9</v>
      </c>
      <c r="D13" s="2415" t="s">
        <v>112</v>
      </c>
      <c r="E13" s="2416"/>
      <c r="F13" s="2417" t="s">
        <v>44</v>
      </c>
      <c r="G13" s="2381" t="s">
        <v>40</v>
      </c>
      <c r="H13" s="134" t="s">
        <v>36</v>
      </c>
      <c r="I13" s="316">
        <f>J13+L13</f>
        <v>979.7</v>
      </c>
      <c r="J13" s="219">
        <f>949.7-99.9</f>
        <v>849.8</v>
      </c>
      <c r="K13" s="219"/>
      <c r="L13" s="243">
        <f>30+99.9</f>
        <v>129.9</v>
      </c>
      <c r="M13" s="317">
        <v>1841.4</v>
      </c>
      <c r="N13" s="45">
        <v>826.4</v>
      </c>
      <c r="O13" s="2418"/>
      <c r="P13" s="2346"/>
      <c r="Q13" s="2346"/>
      <c r="R13" s="2348"/>
    </row>
    <row r="14" spans="1:22" x14ac:dyDescent="0.2">
      <c r="A14" s="2412"/>
      <c r="B14" s="2413"/>
      <c r="C14" s="2414"/>
      <c r="D14" s="2415"/>
      <c r="E14" s="2416"/>
      <c r="F14" s="2417"/>
      <c r="G14" s="2381"/>
      <c r="H14" s="134"/>
      <c r="I14" s="316"/>
      <c r="J14" s="219"/>
      <c r="K14" s="219"/>
      <c r="L14" s="243"/>
      <c r="M14" s="81"/>
      <c r="N14" s="69"/>
      <c r="O14" s="2419"/>
      <c r="P14" s="2347"/>
      <c r="Q14" s="2347"/>
      <c r="R14" s="2349"/>
    </row>
    <row r="15" spans="1:22" x14ac:dyDescent="0.2">
      <c r="A15" s="2412"/>
      <c r="B15" s="2413"/>
      <c r="C15" s="2414"/>
      <c r="D15" s="2437" t="s">
        <v>46</v>
      </c>
      <c r="E15" s="2378"/>
      <c r="F15" s="2427"/>
      <c r="G15" s="2429"/>
      <c r="H15" s="134"/>
      <c r="I15" s="318"/>
      <c r="J15" s="219"/>
      <c r="K15" s="219"/>
      <c r="L15" s="243"/>
      <c r="M15" s="317"/>
      <c r="N15" s="45"/>
      <c r="O15" s="2431" t="s">
        <v>97</v>
      </c>
      <c r="P15" s="112">
        <v>3.5</v>
      </c>
      <c r="Q15" s="112">
        <v>3.4</v>
      </c>
      <c r="R15" s="113">
        <v>3.5</v>
      </c>
    </row>
    <row r="16" spans="1:22" x14ac:dyDescent="0.2">
      <c r="A16" s="2412"/>
      <c r="B16" s="2413"/>
      <c r="C16" s="2414"/>
      <c r="D16" s="2438"/>
      <c r="E16" s="2379"/>
      <c r="F16" s="2428"/>
      <c r="G16" s="2430"/>
      <c r="H16" s="319"/>
      <c r="I16" s="320"/>
      <c r="J16" s="321"/>
      <c r="K16" s="321"/>
      <c r="L16" s="322"/>
      <c r="M16" s="323"/>
      <c r="N16" s="324"/>
      <c r="O16" s="2419"/>
      <c r="P16" s="59"/>
      <c r="Q16" s="59"/>
      <c r="R16" s="143"/>
      <c r="S16" s="14"/>
      <c r="U16" s="13"/>
    </row>
    <row r="17" spans="1:28" x14ac:dyDescent="0.2">
      <c r="A17" s="2412"/>
      <c r="B17" s="2413"/>
      <c r="C17" s="2414"/>
      <c r="D17" s="2432" t="s">
        <v>47</v>
      </c>
      <c r="E17" s="2376"/>
      <c r="F17" s="2380"/>
      <c r="G17" s="2381"/>
      <c r="H17" s="312"/>
      <c r="I17" s="318"/>
      <c r="J17" s="219"/>
      <c r="K17" s="219"/>
      <c r="L17" s="243"/>
      <c r="M17" s="325"/>
      <c r="N17" s="326"/>
      <c r="O17" s="2433" t="s">
        <v>49</v>
      </c>
      <c r="P17" s="657">
        <v>5</v>
      </c>
      <c r="Q17" s="657">
        <v>5</v>
      </c>
      <c r="R17" s="659">
        <v>5</v>
      </c>
    </row>
    <row r="18" spans="1:28" x14ac:dyDescent="0.2">
      <c r="A18" s="2412"/>
      <c r="B18" s="2413"/>
      <c r="C18" s="2414"/>
      <c r="D18" s="2432"/>
      <c r="E18" s="2376"/>
      <c r="F18" s="2380"/>
      <c r="G18" s="2381"/>
      <c r="H18" s="319"/>
      <c r="I18" s="320"/>
      <c r="J18" s="321"/>
      <c r="K18" s="321"/>
      <c r="L18" s="322"/>
      <c r="M18" s="323"/>
      <c r="N18" s="324"/>
      <c r="O18" s="2434"/>
      <c r="P18" s="657"/>
      <c r="Q18" s="657"/>
      <c r="R18" s="659"/>
    </row>
    <row r="19" spans="1:28" x14ac:dyDescent="0.2">
      <c r="A19" s="2412"/>
      <c r="B19" s="2413"/>
      <c r="C19" s="2414"/>
      <c r="D19" s="2437" t="s">
        <v>48</v>
      </c>
      <c r="E19" s="2375"/>
      <c r="F19" s="2435"/>
      <c r="G19" s="2429"/>
      <c r="H19" s="312"/>
      <c r="I19" s="318"/>
      <c r="J19" s="219"/>
      <c r="K19" s="219"/>
      <c r="L19" s="243"/>
      <c r="M19" s="325"/>
      <c r="N19" s="326"/>
      <c r="O19" s="2433" t="s">
        <v>113</v>
      </c>
      <c r="P19" s="509">
        <v>4</v>
      </c>
      <c r="Q19" s="509">
        <v>4</v>
      </c>
      <c r="R19" s="508">
        <v>4</v>
      </c>
    </row>
    <row r="20" spans="1:28" x14ac:dyDescent="0.2">
      <c r="A20" s="2412"/>
      <c r="B20" s="2413"/>
      <c r="C20" s="2414"/>
      <c r="D20" s="2432"/>
      <c r="E20" s="2376"/>
      <c r="F20" s="2380"/>
      <c r="G20" s="2381"/>
      <c r="H20" s="312"/>
      <c r="I20" s="318"/>
      <c r="J20" s="219"/>
      <c r="K20" s="219"/>
      <c r="L20" s="243"/>
      <c r="M20" s="325"/>
      <c r="N20" s="326"/>
      <c r="O20" s="2436"/>
      <c r="P20" s="657"/>
      <c r="Q20" s="657"/>
      <c r="R20" s="659"/>
    </row>
    <row r="21" spans="1:28" ht="25.5" x14ac:dyDescent="0.2">
      <c r="A21" s="2412"/>
      <c r="B21" s="2413"/>
      <c r="C21" s="2414"/>
      <c r="D21" s="2432"/>
      <c r="E21" s="2376"/>
      <c r="F21" s="2380"/>
      <c r="G21" s="2381"/>
      <c r="H21" s="312"/>
      <c r="I21" s="318"/>
      <c r="J21" s="219"/>
      <c r="K21" s="219"/>
      <c r="L21" s="243"/>
      <c r="M21" s="325"/>
      <c r="N21" s="326"/>
      <c r="O21" s="631" t="s">
        <v>147</v>
      </c>
      <c r="P21" s="657">
        <v>20</v>
      </c>
      <c r="Q21" s="657"/>
      <c r="R21" s="659"/>
    </row>
    <row r="22" spans="1:28" x14ac:dyDescent="0.2">
      <c r="A22" s="2412"/>
      <c r="B22" s="2413"/>
      <c r="C22" s="2414"/>
      <c r="D22" s="2432"/>
      <c r="E22" s="2376"/>
      <c r="F22" s="2380"/>
      <c r="G22" s="2381"/>
      <c r="H22" s="312"/>
      <c r="I22" s="318"/>
      <c r="J22" s="219"/>
      <c r="K22" s="219"/>
      <c r="L22" s="243"/>
      <c r="M22" s="325"/>
      <c r="N22" s="326"/>
      <c r="O22" s="17" t="s">
        <v>140</v>
      </c>
      <c r="P22" s="657">
        <v>1</v>
      </c>
      <c r="Q22" s="657">
        <v>1</v>
      </c>
      <c r="R22" s="659">
        <v>1</v>
      </c>
    </row>
    <row r="23" spans="1:28" x14ac:dyDescent="0.2">
      <c r="A23" s="2412"/>
      <c r="B23" s="2413"/>
      <c r="C23" s="2414"/>
      <c r="D23" s="2432"/>
      <c r="E23" s="2376"/>
      <c r="F23" s="2380"/>
      <c r="G23" s="2381"/>
      <c r="H23" s="312"/>
      <c r="I23" s="318"/>
      <c r="J23" s="219"/>
      <c r="K23" s="219"/>
      <c r="L23" s="243"/>
      <c r="M23" s="313"/>
      <c r="N23" s="314"/>
      <c r="O23" s="17" t="s">
        <v>50</v>
      </c>
      <c r="P23" s="657">
        <v>44</v>
      </c>
      <c r="Q23" s="657">
        <v>30</v>
      </c>
      <c r="R23" s="659">
        <v>30</v>
      </c>
    </row>
    <row r="24" spans="1:28" x14ac:dyDescent="0.2">
      <c r="A24" s="2412"/>
      <c r="B24" s="2413"/>
      <c r="C24" s="2414"/>
      <c r="D24" s="2432"/>
      <c r="E24" s="2376"/>
      <c r="F24" s="2380"/>
      <c r="G24" s="2381"/>
      <c r="H24" s="312"/>
      <c r="I24" s="318"/>
      <c r="J24" s="219"/>
      <c r="K24" s="219"/>
      <c r="L24" s="243"/>
      <c r="M24" s="313"/>
      <c r="N24" s="314"/>
      <c r="O24" s="17" t="s">
        <v>51</v>
      </c>
      <c r="P24" s="657">
        <v>8</v>
      </c>
      <c r="Q24" s="657">
        <v>10</v>
      </c>
      <c r="R24" s="659">
        <v>10</v>
      </c>
    </row>
    <row r="25" spans="1:28" x14ac:dyDescent="0.2">
      <c r="A25" s="2412"/>
      <c r="B25" s="2413"/>
      <c r="C25" s="2414"/>
      <c r="D25" s="2432"/>
      <c r="E25" s="2377"/>
      <c r="F25" s="2380"/>
      <c r="G25" s="2381"/>
      <c r="H25" s="319"/>
      <c r="I25" s="320"/>
      <c r="J25" s="321"/>
      <c r="K25" s="321"/>
      <c r="L25" s="322"/>
      <c r="M25" s="323"/>
      <c r="N25" s="324"/>
      <c r="O25" s="61" t="s">
        <v>52</v>
      </c>
      <c r="P25" s="669">
        <v>28</v>
      </c>
      <c r="Q25" s="669">
        <v>30</v>
      </c>
      <c r="R25" s="670">
        <v>30</v>
      </c>
    </row>
    <row r="26" spans="1:28" ht="25.5" x14ac:dyDescent="0.2">
      <c r="A26" s="94"/>
      <c r="B26" s="637"/>
      <c r="C26" s="648"/>
      <c r="D26" s="2420" t="s">
        <v>201</v>
      </c>
      <c r="E26" s="2375" t="s">
        <v>171</v>
      </c>
      <c r="F26" s="667"/>
      <c r="G26" s="84"/>
      <c r="H26" s="327"/>
      <c r="I26" s="318"/>
      <c r="J26" s="219"/>
      <c r="K26" s="321"/>
      <c r="L26" s="322"/>
      <c r="M26" s="313"/>
      <c r="N26" s="324"/>
      <c r="O26" s="206" t="s">
        <v>186</v>
      </c>
      <c r="P26" s="207">
        <v>1</v>
      </c>
      <c r="Q26" s="199">
        <v>1</v>
      </c>
      <c r="R26" s="85"/>
      <c r="AA26" s="14"/>
      <c r="AB26" s="14"/>
    </row>
    <row r="27" spans="1:28" ht="13.5" thickBot="1" x14ac:dyDescent="0.25">
      <c r="A27" s="98"/>
      <c r="B27" s="645"/>
      <c r="C27" s="649"/>
      <c r="D27" s="2421"/>
      <c r="E27" s="2422"/>
      <c r="F27" s="654"/>
      <c r="G27" s="92"/>
      <c r="H27" s="602"/>
      <c r="I27" s="603"/>
      <c r="J27" s="343"/>
      <c r="K27" s="565"/>
      <c r="L27" s="569"/>
      <c r="M27" s="604"/>
      <c r="N27" s="570"/>
      <c r="O27" s="18" t="s">
        <v>187</v>
      </c>
      <c r="P27" s="605">
        <v>100</v>
      </c>
      <c r="Q27" s="86">
        <v>100</v>
      </c>
      <c r="R27" s="87"/>
      <c r="AA27" s="14"/>
      <c r="AB27" s="14"/>
    </row>
    <row r="28" spans="1:28" x14ac:dyDescent="0.2">
      <c r="A28" s="363"/>
      <c r="B28" s="644"/>
      <c r="C28" s="647"/>
      <c r="D28" s="2423" t="s">
        <v>190</v>
      </c>
      <c r="E28" s="2425" t="s">
        <v>171</v>
      </c>
      <c r="F28" s="653"/>
      <c r="G28" s="91"/>
      <c r="H28" s="571" t="s">
        <v>94</v>
      </c>
      <c r="I28" s="266">
        <f>J28</f>
        <v>150</v>
      </c>
      <c r="J28" s="268">
        <v>150</v>
      </c>
      <c r="K28" s="572"/>
      <c r="L28" s="573"/>
      <c r="M28" s="606">
        <v>100</v>
      </c>
      <c r="N28" s="607"/>
      <c r="O28" s="608" t="s">
        <v>163</v>
      </c>
      <c r="P28" s="609">
        <v>1</v>
      </c>
      <c r="Q28" s="656"/>
      <c r="R28" s="574"/>
      <c r="S28" s="141"/>
      <c r="AA28" s="14"/>
      <c r="AB28" s="14"/>
    </row>
    <row r="29" spans="1:28" x14ac:dyDescent="0.2">
      <c r="A29" s="94"/>
      <c r="B29" s="637"/>
      <c r="C29" s="648"/>
      <c r="D29" s="2424"/>
      <c r="E29" s="2426"/>
      <c r="F29" s="640"/>
      <c r="G29" s="84"/>
      <c r="H29" s="411"/>
      <c r="I29" s="412"/>
      <c r="J29" s="408"/>
      <c r="K29" s="408"/>
      <c r="L29" s="409"/>
      <c r="M29" s="413"/>
      <c r="N29" s="410"/>
      <c r="O29" s="77" t="s">
        <v>162</v>
      </c>
      <c r="P29" s="198">
        <v>50</v>
      </c>
      <c r="Q29" s="669">
        <v>50</v>
      </c>
      <c r="R29" s="116"/>
      <c r="AA29" s="14"/>
      <c r="AB29" s="14"/>
    </row>
    <row r="30" spans="1:28" x14ac:dyDescent="0.2">
      <c r="A30" s="94"/>
      <c r="B30" s="637"/>
      <c r="C30" s="648"/>
      <c r="D30" s="2340" t="s">
        <v>210</v>
      </c>
      <c r="E30" s="2344" t="s">
        <v>212</v>
      </c>
      <c r="F30" s="538"/>
      <c r="G30" s="539" t="s">
        <v>90</v>
      </c>
      <c r="H30" s="540" t="s">
        <v>36</v>
      </c>
      <c r="I30" s="541">
        <f>J30</f>
        <v>200</v>
      </c>
      <c r="J30" s="377">
        <v>200</v>
      </c>
      <c r="K30" s="542"/>
      <c r="L30" s="543"/>
      <c r="M30" s="544"/>
      <c r="N30" s="545"/>
      <c r="O30" s="2342" t="s">
        <v>211</v>
      </c>
      <c r="P30" s="551">
        <v>0.33</v>
      </c>
      <c r="Q30" s="546"/>
      <c r="R30" s="85"/>
      <c r="AA30" s="14"/>
      <c r="AB30" s="14"/>
    </row>
    <row r="31" spans="1:28" x14ac:dyDescent="0.2">
      <c r="A31" s="94"/>
      <c r="B31" s="637"/>
      <c r="C31" s="648"/>
      <c r="D31" s="2341"/>
      <c r="E31" s="2345"/>
      <c r="F31" s="547"/>
      <c r="G31" s="539"/>
      <c r="H31" s="548"/>
      <c r="I31" s="549"/>
      <c r="J31" s="542"/>
      <c r="K31" s="542"/>
      <c r="L31" s="543"/>
      <c r="M31" s="544"/>
      <c r="N31" s="545"/>
      <c r="O31" s="2343"/>
      <c r="P31" s="552"/>
      <c r="Q31" s="546"/>
      <c r="R31" s="85"/>
      <c r="AA31" s="14"/>
      <c r="AB31" s="14"/>
    </row>
    <row r="32" spans="1:28" ht="26.25" thickBot="1" x14ac:dyDescent="0.25">
      <c r="A32" s="621"/>
      <c r="B32" s="645"/>
      <c r="C32" s="649"/>
      <c r="D32" s="626"/>
      <c r="E32" s="652"/>
      <c r="F32" s="654"/>
      <c r="G32" s="617"/>
      <c r="H32" s="277" t="s">
        <v>10</v>
      </c>
      <c r="I32" s="536" t="s">
        <v>213</v>
      </c>
      <c r="J32" s="550" t="s">
        <v>214</v>
      </c>
      <c r="K32" s="237">
        <f>K13</f>
        <v>0</v>
      </c>
      <c r="L32" s="238">
        <f>L13</f>
        <v>129.9</v>
      </c>
      <c r="M32" s="242">
        <f>M13+M28</f>
        <v>1941.4</v>
      </c>
      <c r="N32" s="236">
        <f>N13</f>
        <v>826.4</v>
      </c>
      <c r="O32" s="331"/>
      <c r="P32" s="553"/>
      <c r="Q32" s="86"/>
      <c r="R32" s="87"/>
      <c r="AA32" s="14"/>
      <c r="AB32" s="14"/>
    </row>
    <row r="33" spans="1:18" x14ac:dyDescent="0.2">
      <c r="A33" s="2412" t="s">
        <v>9</v>
      </c>
      <c r="B33" s="2413" t="s">
        <v>9</v>
      </c>
      <c r="C33" s="2414" t="s">
        <v>11</v>
      </c>
      <c r="D33" s="2415" t="s">
        <v>114</v>
      </c>
      <c r="E33" s="2376"/>
      <c r="F33" s="2380" t="s">
        <v>54</v>
      </c>
      <c r="G33" s="2381" t="s">
        <v>40</v>
      </c>
      <c r="H33" s="16" t="s">
        <v>36</v>
      </c>
      <c r="I33" s="246">
        <f>J33+L33</f>
        <v>6410.1</v>
      </c>
      <c r="J33" s="219">
        <v>6405.6</v>
      </c>
      <c r="K33" s="219"/>
      <c r="L33" s="220">
        <v>4.5</v>
      </c>
      <c r="M33" s="338">
        <f>7481+130</f>
        <v>7611</v>
      </c>
      <c r="N33" s="106">
        <f>7481+130</f>
        <v>7611</v>
      </c>
      <c r="O33" s="330"/>
      <c r="P33" s="662"/>
      <c r="Q33" s="662"/>
      <c r="R33" s="664"/>
    </row>
    <row r="34" spans="1:18" x14ac:dyDescent="0.2">
      <c r="A34" s="2412"/>
      <c r="B34" s="2413"/>
      <c r="C34" s="2414"/>
      <c r="D34" s="2448"/>
      <c r="E34" s="2376"/>
      <c r="F34" s="2380"/>
      <c r="G34" s="2381"/>
      <c r="H34" s="332" t="s">
        <v>61</v>
      </c>
      <c r="I34" s="246">
        <f>J34+L34</f>
        <v>3.5</v>
      </c>
      <c r="J34" s="219">
        <v>3.5</v>
      </c>
      <c r="K34" s="219"/>
      <c r="L34" s="220"/>
      <c r="M34" s="326">
        <v>3.5</v>
      </c>
      <c r="N34" s="337">
        <v>3.5</v>
      </c>
      <c r="O34" s="17"/>
      <c r="P34" s="662"/>
      <c r="Q34" s="662"/>
      <c r="R34" s="664"/>
    </row>
    <row r="35" spans="1:18" ht="15.75" x14ac:dyDescent="0.2">
      <c r="A35" s="2412"/>
      <c r="B35" s="2413"/>
      <c r="C35" s="2414"/>
      <c r="D35" s="2445" t="s">
        <v>191</v>
      </c>
      <c r="E35" s="2375"/>
      <c r="F35" s="2435" t="s">
        <v>41</v>
      </c>
      <c r="G35" s="2429"/>
      <c r="H35" s="16"/>
      <c r="I35" s="246"/>
      <c r="J35" s="219"/>
      <c r="K35" s="219"/>
      <c r="L35" s="220"/>
      <c r="M35" s="45"/>
      <c r="N35" s="106"/>
      <c r="O35" s="60" t="s">
        <v>148</v>
      </c>
      <c r="P35" s="661">
        <v>3.7</v>
      </c>
      <c r="Q35" s="661">
        <v>3.7</v>
      </c>
      <c r="R35" s="663">
        <v>3.7</v>
      </c>
    </row>
    <row r="36" spans="1:18" ht="15.75" x14ac:dyDescent="0.2">
      <c r="A36" s="2412"/>
      <c r="B36" s="2413"/>
      <c r="C36" s="2414"/>
      <c r="D36" s="2444"/>
      <c r="E36" s="2376"/>
      <c r="F36" s="2380"/>
      <c r="G36" s="2381"/>
      <c r="H36" s="332"/>
      <c r="I36" s="246"/>
      <c r="J36" s="219"/>
      <c r="K36" s="219"/>
      <c r="L36" s="220"/>
      <c r="M36" s="69"/>
      <c r="N36" s="103"/>
      <c r="O36" s="17" t="s">
        <v>193</v>
      </c>
      <c r="P36" s="662">
        <v>2.5</v>
      </c>
      <c r="Q36" s="662">
        <v>2.5</v>
      </c>
      <c r="R36" s="664">
        <v>2.5</v>
      </c>
    </row>
    <row r="37" spans="1:18" x14ac:dyDescent="0.2">
      <c r="A37" s="2412"/>
      <c r="B37" s="2413"/>
      <c r="C37" s="2414"/>
      <c r="D37" s="2444"/>
      <c r="E37" s="2376"/>
      <c r="F37" s="2380"/>
      <c r="G37" s="2381"/>
      <c r="H37" s="332"/>
      <c r="I37" s="246"/>
      <c r="J37" s="219"/>
      <c r="K37" s="219"/>
      <c r="L37" s="220"/>
      <c r="M37" s="35"/>
      <c r="N37" s="175"/>
      <c r="O37" s="2436" t="s">
        <v>98</v>
      </c>
      <c r="P37" s="2440">
        <v>20</v>
      </c>
      <c r="Q37" s="2440">
        <v>20</v>
      </c>
      <c r="R37" s="2442">
        <v>20</v>
      </c>
    </row>
    <row r="38" spans="1:18" x14ac:dyDescent="0.2">
      <c r="A38" s="2412"/>
      <c r="B38" s="2413"/>
      <c r="C38" s="2414"/>
      <c r="D38" s="2446"/>
      <c r="E38" s="2377"/>
      <c r="F38" s="2447"/>
      <c r="G38" s="2430"/>
      <c r="H38" s="334"/>
      <c r="I38" s="335"/>
      <c r="J38" s="321"/>
      <c r="K38" s="321"/>
      <c r="L38" s="336"/>
      <c r="M38" s="324"/>
      <c r="N38" s="329"/>
      <c r="O38" s="2439"/>
      <c r="P38" s="2441"/>
      <c r="Q38" s="2441"/>
      <c r="R38" s="2443"/>
    </row>
    <row r="39" spans="1:18" ht="25.5" x14ac:dyDescent="0.2">
      <c r="A39" s="2412"/>
      <c r="B39" s="2413"/>
      <c r="C39" s="2414"/>
      <c r="D39" s="2444" t="s">
        <v>56</v>
      </c>
      <c r="E39" s="2376"/>
      <c r="F39" s="2380"/>
      <c r="G39" s="2381"/>
      <c r="H39" s="332"/>
      <c r="I39" s="246"/>
      <c r="J39" s="219"/>
      <c r="K39" s="219"/>
      <c r="L39" s="220"/>
      <c r="M39" s="326"/>
      <c r="N39" s="337"/>
      <c r="O39" s="631" t="s">
        <v>58</v>
      </c>
      <c r="P39" s="657">
        <v>44</v>
      </c>
      <c r="Q39" s="657">
        <v>44</v>
      </c>
      <c r="R39" s="659">
        <v>44</v>
      </c>
    </row>
    <row r="40" spans="1:18" x14ac:dyDescent="0.2">
      <c r="A40" s="2412"/>
      <c r="B40" s="2413"/>
      <c r="C40" s="2414"/>
      <c r="D40" s="2444"/>
      <c r="E40" s="2376"/>
      <c r="F40" s="2380"/>
      <c r="G40" s="2381"/>
      <c r="H40" s="332"/>
      <c r="I40" s="246"/>
      <c r="J40" s="219"/>
      <c r="K40" s="219"/>
      <c r="L40" s="220"/>
      <c r="M40" s="314"/>
      <c r="N40" s="328"/>
      <c r="O40" s="2436" t="s">
        <v>194</v>
      </c>
      <c r="P40" s="2440">
        <v>387</v>
      </c>
      <c r="Q40" s="2440">
        <v>387</v>
      </c>
      <c r="R40" s="2442">
        <v>387</v>
      </c>
    </row>
    <row r="41" spans="1:18" x14ac:dyDescent="0.2">
      <c r="A41" s="2412"/>
      <c r="B41" s="2413"/>
      <c r="C41" s="2414"/>
      <c r="D41" s="2444"/>
      <c r="E41" s="2376"/>
      <c r="F41" s="2380"/>
      <c r="G41" s="2381"/>
      <c r="H41" s="407"/>
      <c r="I41" s="414"/>
      <c r="J41" s="408"/>
      <c r="K41" s="408"/>
      <c r="L41" s="415"/>
      <c r="M41" s="410"/>
      <c r="N41" s="416"/>
      <c r="O41" s="2436"/>
      <c r="P41" s="2441"/>
      <c r="Q41" s="2441"/>
      <c r="R41" s="2443"/>
    </row>
    <row r="42" spans="1:18" ht="25.5" x14ac:dyDescent="0.2">
      <c r="A42" s="620"/>
      <c r="B42" s="637"/>
      <c r="C42" s="648"/>
      <c r="D42" s="2445" t="s">
        <v>99</v>
      </c>
      <c r="E42" s="2375"/>
      <c r="F42" s="2435"/>
      <c r="G42" s="2429"/>
      <c r="H42" s="16" t="s">
        <v>36</v>
      </c>
      <c r="I42" s="246">
        <f>J42+L42</f>
        <v>114.5</v>
      </c>
      <c r="J42" s="219">
        <v>114.5</v>
      </c>
      <c r="K42" s="219"/>
      <c r="L42" s="220"/>
      <c r="M42" s="45"/>
      <c r="N42" s="106"/>
      <c r="O42" s="114" t="s">
        <v>149</v>
      </c>
      <c r="P42" s="115">
        <v>2.5</v>
      </c>
      <c r="Q42" s="67">
        <v>3</v>
      </c>
      <c r="R42" s="68">
        <v>3</v>
      </c>
    </row>
    <row r="43" spans="1:18" x14ac:dyDescent="0.2">
      <c r="A43" s="620"/>
      <c r="B43" s="637"/>
      <c r="C43" s="648"/>
      <c r="D43" s="2444"/>
      <c r="E43" s="2376"/>
      <c r="F43" s="2380"/>
      <c r="G43" s="2381"/>
      <c r="H43" s="145" t="s">
        <v>181</v>
      </c>
      <c r="I43" s="215">
        <f>J43+L43</f>
        <v>15</v>
      </c>
      <c r="J43" s="216">
        <v>15</v>
      </c>
      <c r="K43" s="216"/>
      <c r="L43" s="217"/>
      <c r="M43" s="65"/>
      <c r="N43" s="105"/>
      <c r="O43" s="2433" t="s">
        <v>101</v>
      </c>
      <c r="P43" s="333">
        <v>1</v>
      </c>
      <c r="Q43" s="509">
        <v>1</v>
      </c>
      <c r="R43" s="508">
        <v>1</v>
      </c>
    </row>
    <row r="44" spans="1:18" ht="13.5" thickBot="1" x14ac:dyDescent="0.25">
      <c r="A44" s="94"/>
      <c r="B44" s="637"/>
      <c r="C44" s="648"/>
      <c r="D44" s="2444"/>
      <c r="E44" s="2376"/>
      <c r="F44" s="2380"/>
      <c r="G44" s="2381"/>
      <c r="H44" s="279" t="s">
        <v>10</v>
      </c>
      <c r="I44" s="226">
        <f>I42+I34+I33+I43</f>
        <v>6543.1</v>
      </c>
      <c r="J44" s="226">
        <f>J42+J34+J33+J43</f>
        <v>6538.6</v>
      </c>
      <c r="K44" s="226">
        <f>K42+K34+K33</f>
        <v>0</v>
      </c>
      <c r="L44" s="275">
        <f>L42+L34+L33</f>
        <v>4.5</v>
      </c>
      <c r="M44" s="276">
        <f>M42+M34+M33</f>
        <v>7614.5</v>
      </c>
      <c r="N44" s="226">
        <f>N42+N34+N33</f>
        <v>7614.5</v>
      </c>
      <c r="O44" s="2449"/>
      <c r="P44" s="655"/>
      <c r="Q44" s="657"/>
      <c r="R44" s="659"/>
    </row>
    <row r="45" spans="1:18" x14ac:dyDescent="0.2">
      <c r="A45" s="2457" t="s">
        <v>9</v>
      </c>
      <c r="B45" s="2458" t="s">
        <v>9</v>
      </c>
      <c r="C45" s="2459" t="s">
        <v>38</v>
      </c>
      <c r="D45" s="2460" t="s">
        <v>115</v>
      </c>
      <c r="E45" s="2462" t="s">
        <v>170</v>
      </c>
      <c r="F45" s="2450" t="s">
        <v>41</v>
      </c>
      <c r="G45" s="2451" t="s">
        <v>40</v>
      </c>
      <c r="H45" s="15" t="s">
        <v>36</v>
      </c>
      <c r="I45" s="228">
        <f>J45+L45</f>
        <v>1355.2</v>
      </c>
      <c r="J45" s="228">
        <f>1292.2+10</f>
        <v>1302.2</v>
      </c>
      <c r="K45" s="228">
        <v>710.7</v>
      </c>
      <c r="L45" s="381">
        <f>63-10</f>
        <v>53</v>
      </c>
      <c r="M45" s="383">
        <v>1592.1</v>
      </c>
      <c r="N45" s="341">
        <v>1146.0999999999999</v>
      </c>
      <c r="O45" s="618"/>
      <c r="P45" s="126"/>
      <c r="Q45" s="126"/>
      <c r="R45" s="37"/>
    </row>
    <row r="46" spans="1:18" x14ac:dyDescent="0.2">
      <c r="A46" s="2412"/>
      <c r="B46" s="2413"/>
      <c r="C46" s="2414"/>
      <c r="D46" s="2461"/>
      <c r="E46" s="2376"/>
      <c r="F46" s="2380"/>
      <c r="G46" s="2381"/>
      <c r="H46" s="16" t="s">
        <v>61</v>
      </c>
      <c r="I46" s="246">
        <f>J46+L46</f>
        <v>116.2</v>
      </c>
      <c r="J46" s="246">
        <v>116.2</v>
      </c>
      <c r="K46" s="246">
        <v>31.7</v>
      </c>
      <c r="L46" s="376">
        <f>L51+L53+L56</f>
        <v>0</v>
      </c>
      <c r="M46" s="314">
        <v>115.8</v>
      </c>
      <c r="N46" s="328">
        <v>115.8</v>
      </c>
      <c r="O46" s="631"/>
      <c r="P46" s="662"/>
      <c r="Q46" s="662"/>
      <c r="R46" s="664"/>
    </row>
    <row r="47" spans="1:18" x14ac:dyDescent="0.2">
      <c r="A47" s="2412"/>
      <c r="B47" s="2413"/>
      <c r="C47" s="2414"/>
      <c r="D47" s="2445" t="s">
        <v>164</v>
      </c>
      <c r="E47" s="2463"/>
      <c r="F47" s="2380"/>
      <c r="G47" s="2381"/>
      <c r="H47" s="16"/>
      <c r="I47" s="246"/>
      <c r="J47" s="219"/>
      <c r="K47" s="219"/>
      <c r="L47" s="220"/>
      <c r="M47" s="45"/>
      <c r="N47" s="106"/>
      <c r="O47" s="60" t="s">
        <v>86</v>
      </c>
      <c r="P47" s="661">
        <v>0.2</v>
      </c>
      <c r="Q47" s="661">
        <v>0.2</v>
      </c>
      <c r="R47" s="663">
        <v>0.2</v>
      </c>
    </row>
    <row r="48" spans="1:18" x14ac:dyDescent="0.2">
      <c r="A48" s="2412"/>
      <c r="B48" s="2413"/>
      <c r="C48" s="2414"/>
      <c r="D48" s="2444"/>
      <c r="E48" s="2463"/>
      <c r="F48" s="2380"/>
      <c r="G48" s="2381"/>
      <c r="H48" s="16"/>
      <c r="I48" s="246"/>
      <c r="J48" s="219"/>
      <c r="K48" s="219"/>
      <c r="L48" s="220"/>
      <c r="M48" s="45"/>
      <c r="N48" s="106"/>
      <c r="O48" s="2436" t="s">
        <v>87</v>
      </c>
      <c r="P48" s="662">
        <v>0.1</v>
      </c>
      <c r="Q48" s="662">
        <v>0.1</v>
      </c>
      <c r="R48" s="664">
        <v>0.1</v>
      </c>
    </row>
    <row r="49" spans="1:21" ht="13.5" thickBot="1" x14ac:dyDescent="0.25">
      <c r="A49" s="2452"/>
      <c r="B49" s="2453"/>
      <c r="C49" s="2454"/>
      <c r="D49" s="2455"/>
      <c r="E49" s="2464"/>
      <c r="F49" s="2456"/>
      <c r="G49" s="2465"/>
      <c r="H49" s="564"/>
      <c r="I49" s="270"/>
      <c r="J49" s="565"/>
      <c r="K49" s="565"/>
      <c r="L49" s="566"/>
      <c r="M49" s="567"/>
      <c r="N49" s="568"/>
      <c r="O49" s="2466"/>
      <c r="P49" s="507"/>
      <c r="Q49" s="507"/>
      <c r="R49" s="506"/>
    </row>
    <row r="50" spans="1:21" x14ac:dyDescent="0.2">
      <c r="A50" s="2457"/>
      <c r="B50" s="2458"/>
      <c r="C50" s="2459"/>
      <c r="D50" s="2467" t="s">
        <v>59</v>
      </c>
      <c r="E50" s="2462"/>
      <c r="F50" s="2450"/>
      <c r="G50" s="2451"/>
      <c r="H50" s="339"/>
      <c r="I50" s="340"/>
      <c r="J50" s="268"/>
      <c r="K50" s="268"/>
      <c r="L50" s="269"/>
      <c r="M50" s="338"/>
      <c r="N50" s="563"/>
      <c r="O50" s="2470" t="s">
        <v>60</v>
      </c>
      <c r="P50" s="656">
        <v>3</v>
      </c>
      <c r="Q50" s="656">
        <v>3</v>
      </c>
      <c r="R50" s="658">
        <v>3</v>
      </c>
    </row>
    <row r="51" spans="1:21" x14ac:dyDescent="0.2">
      <c r="A51" s="2412"/>
      <c r="B51" s="2413"/>
      <c r="C51" s="2414"/>
      <c r="D51" s="2444"/>
      <c r="E51" s="2376"/>
      <c r="F51" s="2380"/>
      <c r="G51" s="2381"/>
      <c r="H51" s="16"/>
      <c r="I51" s="246"/>
      <c r="J51" s="219"/>
      <c r="K51" s="219"/>
      <c r="L51" s="220"/>
      <c r="M51" s="45"/>
      <c r="N51" s="106"/>
      <c r="O51" s="2436"/>
      <c r="P51" s="657"/>
      <c r="Q51" s="657"/>
      <c r="R51" s="659"/>
    </row>
    <row r="52" spans="1:21" x14ac:dyDescent="0.2">
      <c r="A52" s="2412"/>
      <c r="B52" s="2413"/>
      <c r="C52" s="2414"/>
      <c r="D52" s="2445" t="s">
        <v>144</v>
      </c>
      <c r="E52" s="2376"/>
      <c r="F52" s="2380"/>
      <c r="G52" s="2381"/>
      <c r="H52" s="16"/>
      <c r="I52" s="246"/>
      <c r="J52" s="219"/>
      <c r="K52" s="219"/>
      <c r="L52" s="220"/>
      <c r="M52" s="45"/>
      <c r="N52" s="106"/>
      <c r="O52" s="2433" t="s">
        <v>195</v>
      </c>
      <c r="P52" s="509">
        <v>2</v>
      </c>
      <c r="Q52" s="509">
        <v>2</v>
      </c>
      <c r="R52" s="508">
        <v>2</v>
      </c>
    </row>
    <row r="53" spans="1:21" x14ac:dyDescent="0.2">
      <c r="A53" s="2412"/>
      <c r="B53" s="2413"/>
      <c r="C53" s="2414"/>
      <c r="D53" s="2446"/>
      <c r="E53" s="2377"/>
      <c r="F53" s="2447"/>
      <c r="G53" s="2430"/>
      <c r="H53" s="145"/>
      <c r="I53" s="215"/>
      <c r="J53" s="216"/>
      <c r="K53" s="216"/>
      <c r="L53" s="217"/>
      <c r="M53" s="65"/>
      <c r="N53" s="105"/>
      <c r="O53" s="2439"/>
      <c r="P53" s="669"/>
      <c r="Q53" s="669"/>
      <c r="R53" s="670"/>
    </row>
    <row r="54" spans="1:21" x14ac:dyDescent="0.2">
      <c r="A54" s="620"/>
      <c r="B54" s="637"/>
      <c r="C54" s="648"/>
      <c r="D54" s="2445" t="s">
        <v>205</v>
      </c>
      <c r="E54" s="666"/>
      <c r="F54" s="667" t="s">
        <v>38</v>
      </c>
      <c r="G54" s="668"/>
      <c r="H54" s="12"/>
      <c r="I54" s="359"/>
      <c r="J54" s="224"/>
      <c r="K54" s="224"/>
      <c r="L54" s="225"/>
      <c r="M54" s="356"/>
      <c r="N54" s="357"/>
      <c r="O54" s="2433" t="s">
        <v>63</v>
      </c>
      <c r="P54" s="661">
        <v>15.5</v>
      </c>
      <c r="Q54" s="661">
        <v>15.5</v>
      </c>
      <c r="R54" s="663">
        <v>15.5</v>
      </c>
    </row>
    <row r="55" spans="1:21" x14ac:dyDescent="0.2">
      <c r="A55" s="620"/>
      <c r="B55" s="637"/>
      <c r="C55" s="648"/>
      <c r="D55" s="2468"/>
      <c r="E55" s="651"/>
      <c r="F55" s="640"/>
      <c r="G55" s="616"/>
      <c r="H55" s="16"/>
      <c r="I55" s="316"/>
      <c r="J55" s="219"/>
      <c r="K55" s="219"/>
      <c r="L55" s="220"/>
      <c r="M55" s="45"/>
      <c r="N55" s="106"/>
      <c r="O55" s="2436"/>
      <c r="P55" s="657"/>
      <c r="Q55" s="657"/>
      <c r="R55" s="659"/>
      <c r="U55" s="88"/>
    </row>
    <row r="56" spans="1:21" ht="25.5" x14ac:dyDescent="0.2">
      <c r="A56" s="620"/>
      <c r="B56" s="637"/>
      <c r="C56" s="648"/>
      <c r="D56" s="2469"/>
      <c r="E56" s="671"/>
      <c r="F56" s="641"/>
      <c r="G56" s="642"/>
      <c r="H56" s="145"/>
      <c r="I56" s="231"/>
      <c r="J56" s="216"/>
      <c r="K56" s="216"/>
      <c r="L56" s="217"/>
      <c r="M56" s="36"/>
      <c r="N56" s="382"/>
      <c r="O56" s="66" t="s">
        <v>62</v>
      </c>
      <c r="P56" s="67">
        <v>102</v>
      </c>
      <c r="Q56" s="67">
        <v>102</v>
      </c>
      <c r="R56" s="68">
        <v>102</v>
      </c>
      <c r="U56" s="88"/>
    </row>
    <row r="57" spans="1:21" ht="25.5" x14ac:dyDescent="0.2">
      <c r="A57" s="620"/>
      <c r="B57" s="637"/>
      <c r="C57" s="648"/>
      <c r="D57" s="639" t="s">
        <v>160</v>
      </c>
      <c r="E57" s="651"/>
      <c r="F57" s="640"/>
      <c r="G57" s="616"/>
      <c r="H57" s="16"/>
      <c r="I57" s="316"/>
      <c r="J57" s="219"/>
      <c r="K57" s="219"/>
      <c r="L57" s="220"/>
      <c r="M57" s="35"/>
      <c r="N57" s="175"/>
      <c r="O57" s="643" t="s">
        <v>152</v>
      </c>
      <c r="P57" s="669">
        <v>1</v>
      </c>
      <c r="Q57" s="669"/>
      <c r="R57" s="670"/>
    </row>
    <row r="58" spans="1:21" x14ac:dyDescent="0.2">
      <c r="A58" s="620"/>
      <c r="B58" s="637"/>
      <c r="C58" s="648"/>
      <c r="D58" s="118" t="s">
        <v>153</v>
      </c>
      <c r="E58" s="651"/>
      <c r="F58" s="640"/>
      <c r="G58" s="616"/>
      <c r="H58" s="16"/>
      <c r="I58" s="316"/>
      <c r="J58" s="219"/>
      <c r="K58" s="219"/>
      <c r="L58" s="220"/>
      <c r="M58" s="35"/>
      <c r="N58" s="175"/>
      <c r="O58" s="66" t="s">
        <v>151</v>
      </c>
      <c r="P58" s="67">
        <v>1</v>
      </c>
      <c r="Q58" s="67"/>
      <c r="R58" s="68"/>
    </row>
    <row r="59" spans="1:21" x14ac:dyDescent="0.2">
      <c r="A59" s="620"/>
      <c r="B59" s="637"/>
      <c r="C59" s="648"/>
      <c r="D59" s="133" t="s">
        <v>156</v>
      </c>
      <c r="E59" s="651"/>
      <c r="F59" s="640"/>
      <c r="G59" s="616"/>
      <c r="H59" s="332"/>
      <c r="I59" s="316"/>
      <c r="J59" s="219"/>
      <c r="K59" s="219"/>
      <c r="L59" s="220"/>
      <c r="M59" s="35"/>
      <c r="N59" s="175"/>
      <c r="O59" s="2433" t="s">
        <v>204</v>
      </c>
      <c r="P59" s="509"/>
      <c r="Q59" s="509">
        <v>10</v>
      </c>
      <c r="R59" s="508">
        <v>90</v>
      </c>
    </row>
    <row r="60" spans="1:21" x14ac:dyDescent="0.2">
      <c r="A60" s="620"/>
      <c r="B60" s="637"/>
      <c r="C60" s="648"/>
      <c r="D60" s="2444"/>
      <c r="E60" s="651"/>
      <c r="F60" s="640"/>
      <c r="G60" s="616"/>
      <c r="H60" s="145"/>
      <c r="I60" s="231"/>
      <c r="J60" s="216"/>
      <c r="K60" s="216"/>
      <c r="L60" s="217"/>
      <c r="M60" s="36"/>
      <c r="N60" s="382"/>
      <c r="O60" s="2439"/>
      <c r="P60" s="669"/>
      <c r="Q60" s="669"/>
      <c r="R60" s="670"/>
    </row>
    <row r="61" spans="1:21" ht="13.5" thickBot="1" x14ac:dyDescent="0.25">
      <c r="A61" s="621"/>
      <c r="B61" s="645"/>
      <c r="C61" s="649"/>
      <c r="D61" s="2455"/>
      <c r="E61" s="652"/>
      <c r="F61" s="654"/>
      <c r="G61" s="617"/>
      <c r="H61" s="280" t="s">
        <v>10</v>
      </c>
      <c r="I61" s="285">
        <f t="shared" ref="I61:N61" si="0">I45+I46</f>
        <v>1471.4</v>
      </c>
      <c r="J61" s="237">
        <f t="shared" si="0"/>
        <v>1418.4</v>
      </c>
      <c r="K61" s="237">
        <f t="shared" si="0"/>
        <v>742.4</v>
      </c>
      <c r="L61" s="247">
        <f t="shared" si="0"/>
        <v>53</v>
      </c>
      <c r="M61" s="278">
        <f t="shared" si="0"/>
        <v>1707.9</v>
      </c>
      <c r="N61" s="247">
        <f t="shared" si="0"/>
        <v>1261.9000000000001</v>
      </c>
      <c r="O61" s="636"/>
      <c r="P61" s="507"/>
      <c r="Q61" s="507"/>
      <c r="R61" s="506"/>
    </row>
    <row r="62" spans="1:21" x14ac:dyDescent="0.2">
      <c r="A62" s="2457" t="s">
        <v>9</v>
      </c>
      <c r="B62" s="2458" t="s">
        <v>9</v>
      </c>
      <c r="C62" s="2459" t="s">
        <v>53</v>
      </c>
      <c r="D62" s="2460" t="s">
        <v>116</v>
      </c>
      <c r="E62" s="2462"/>
      <c r="F62" s="2450" t="s">
        <v>41</v>
      </c>
      <c r="G62" s="2451" t="s">
        <v>40</v>
      </c>
      <c r="H62" s="339" t="s">
        <v>36</v>
      </c>
      <c r="I62" s="340">
        <f>J62</f>
        <v>6017.6</v>
      </c>
      <c r="J62" s="340">
        <v>6017.6</v>
      </c>
      <c r="K62" s="340">
        <f>K64+K67</f>
        <v>0</v>
      </c>
      <c r="L62" s="345">
        <f>L64+L67</f>
        <v>0</v>
      </c>
      <c r="M62" s="344">
        <v>7827.6</v>
      </c>
      <c r="N62" s="346">
        <v>8062</v>
      </c>
      <c r="O62" s="2470"/>
      <c r="P62" s="2471"/>
      <c r="Q62" s="2471"/>
      <c r="R62" s="2472"/>
    </row>
    <row r="63" spans="1:21" x14ac:dyDescent="0.2">
      <c r="A63" s="2412"/>
      <c r="B63" s="2413"/>
      <c r="C63" s="2414"/>
      <c r="D63" s="2461"/>
      <c r="E63" s="2376"/>
      <c r="F63" s="2380"/>
      <c r="G63" s="2381"/>
      <c r="H63" s="16"/>
      <c r="I63" s="246"/>
      <c r="J63" s="219"/>
      <c r="K63" s="219"/>
      <c r="L63" s="220"/>
      <c r="M63" s="45"/>
      <c r="N63" s="106"/>
      <c r="O63" s="2436"/>
      <c r="P63" s="2440"/>
      <c r="Q63" s="2440"/>
      <c r="R63" s="2442"/>
    </row>
    <row r="64" spans="1:21" x14ac:dyDescent="0.2">
      <c r="A64" s="2412"/>
      <c r="B64" s="2413"/>
      <c r="C64" s="2414"/>
      <c r="D64" s="2445" t="s">
        <v>65</v>
      </c>
      <c r="E64" s="2376"/>
      <c r="F64" s="2380"/>
      <c r="G64" s="2381"/>
      <c r="H64" s="16"/>
      <c r="I64" s="246"/>
      <c r="J64" s="219"/>
      <c r="K64" s="219"/>
      <c r="L64" s="220"/>
      <c r="M64" s="45"/>
      <c r="N64" s="106"/>
      <c r="O64" s="2433" t="s">
        <v>100</v>
      </c>
      <c r="P64" s="2476">
        <v>7.7</v>
      </c>
      <c r="Q64" s="2476">
        <v>7.8</v>
      </c>
      <c r="R64" s="2473">
        <v>7.8</v>
      </c>
    </row>
    <row r="65" spans="1:19" x14ac:dyDescent="0.2">
      <c r="A65" s="2412"/>
      <c r="B65" s="2413"/>
      <c r="C65" s="2414"/>
      <c r="D65" s="2444"/>
      <c r="E65" s="2376"/>
      <c r="F65" s="2380"/>
      <c r="G65" s="2381"/>
      <c r="H65" s="16"/>
      <c r="I65" s="246"/>
      <c r="J65" s="219"/>
      <c r="K65" s="219"/>
      <c r="L65" s="220"/>
      <c r="M65" s="45"/>
      <c r="N65" s="106"/>
      <c r="O65" s="2436"/>
      <c r="P65" s="2477"/>
      <c r="Q65" s="2477"/>
      <c r="R65" s="2474"/>
    </row>
    <row r="66" spans="1:19" x14ac:dyDescent="0.2">
      <c r="A66" s="2412"/>
      <c r="B66" s="2413"/>
      <c r="C66" s="2414"/>
      <c r="D66" s="2444"/>
      <c r="E66" s="2376"/>
      <c r="F66" s="2380"/>
      <c r="G66" s="2381"/>
      <c r="H66" s="347"/>
      <c r="I66" s="335"/>
      <c r="J66" s="321"/>
      <c r="K66" s="321"/>
      <c r="L66" s="336"/>
      <c r="M66" s="348"/>
      <c r="N66" s="349"/>
      <c r="O66" s="61"/>
      <c r="P66" s="669"/>
      <c r="Q66" s="669"/>
      <c r="R66" s="670"/>
    </row>
    <row r="67" spans="1:19" x14ac:dyDescent="0.2">
      <c r="A67" s="2412"/>
      <c r="B67" s="2413"/>
      <c r="C67" s="2414"/>
      <c r="D67" s="2445" t="s">
        <v>64</v>
      </c>
      <c r="E67" s="2475" t="s">
        <v>184</v>
      </c>
      <c r="F67" s="2380"/>
      <c r="G67" s="2381"/>
      <c r="H67" s="16"/>
      <c r="I67" s="246"/>
      <c r="J67" s="219"/>
      <c r="K67" s="219"/>
      <c r="L67" s="220"/>
      <c r="M67" s="45"/>
      <c r="N67" s="106"/>
      <c r="O67" s="2436" t="s">
        <v>196</v>
      </c>
      <c r="P67" s="2478">
        <v>14.2</v>
      </c>
      <c r="Q67" s="2478">
        <v>14.4</v>
      </c>
      <c r="R67" s="2479">
        <v>14.6</v>
      </c>
    </row>
    <row r="68" spans="1:19" x14ac:dyDescent="0.2">
      <c r="A68" s="2412"/>
      <c r="B68" s="2413"/>
      <c r="C68" s="2414"/>
      <c r="D68" s="2444"/>
      <c r="E68" s="2475"/>
      <c r="F68" s="2380"/>
      <c r="G68" s="2381"/>
      <c r="H68" s="16"/>
      <c r="I68" s="246"/>
      <c r="J68" s="219"/>
      <c r="K68" s="219"/>
      <c r="L68" s="220"/>
      <c r="M68" s="45"/>
      <c r="N68" s="106"/>
      <c r="O68" s="2436"/>
      <c r="P68" s="2478"/>
      <c r="Q68" s="2478"/>
      <c r="R68" s="2479"/>
    </row>
    <row r="69" spans="1:19" x14ac:dyDescent="0.2">
      <c r="A69" s="2412"/>
      <c r="B69" s="2413"/>
      <c r="C69" s="2414"/>
      <c r="D69" s="2444"/>
      <c r="E69" s="2475"/>
      <c r="F69" s="2380"/>
      <c r="G69" s="2381"/>
      <c r="H69" s="16"/>
      <c r="I69" s="246"/>
      <c r="J69" s="219"/>
      <c r="K69" s="219"/>
      <c r="L69" s="220"/>
      <c r="M69" s="35"/>
      <c r="N69" s="175"/>
      <c r="O69" s="17" t="s">
        <v>145</v>
      </c>
      <c r="P69" s="107">
        <v>420</v>
      </c>
      <c r="Q69" s="107">
        <v>0</v>
      </c>
      <c r="R69" s="108">
        <v>0</v>
      </c>
    </row>
    <row r="70" spans="1:19" x14ac:dyDescent="0.2">
      <c r="A70" s="2412"/>
      <c r="B70" s="2413"/>
      <c r="C70" s="2414"/>
      <c r="D70" s="2446"/>
      <c r="E70" s="2475"/>
      <c r="F70" s="2380"/>
      <c r="G70" s="2381"/>
      <c r="H70" s="347"/>
      <c r="I70" s="335"/>
      <c r="J70" s="321"/>
      <c r="K70" s="321"/>
      <c r="L70" s="336"/>
      <c r="M70" s="348"/>
      <c r="N70" s="349"/>
      <c r="O70" s="61" t="s">
        <v>197</v>
      </c>
      <c r="P70" s="669">
        <v>89</v>
      </c>
      <c r="Q70" s="669">
        <v>100</v>
      </c>
      <c r="R70" s="670">
        <v>100</v>
      </c>
    </row>
    <row r="71" spans="1:19" x14ac:dyDescent="0.2">
      <c r="A71" s="2412"/>
      <c r="B71" s="2413"/>
      <c r="C71" s="2414"/>
      <c r="D71" s="2444" t="s">
        <v>66</v>
      </c>
      <c r="E71" s="2376"/>
      <c r="F71" s="2380"/>
      <c r="G71" s="2381"/>
      <c r="H71" s="16"/>
      <c r="I71" s="246"/>
      <c r="J71" s="219"/>
      <c r="K71" s="219"/>
      <c r="L71" s="220"/>
      <c r="M71" s="45"/>
      <c r="N71" s="106"/>
      <c r="O71" s="60" t="s">
        <v>102</v>
      </c>
      <c r="P71" s="509"/>
      <c r="Q71" s="509">
        <v>27</v>
      </c>
      <c r="R71" s="508"/>
    </row>
    <row r="72" spans="1:19" x14ac:dyDescent="0.2">
      <c r="A72" s="2412"/>
      <c r="B72" s="2413"/>
      <c r="C72" s="2414"/>
      <c r="D72" s="2446"/>
      <c r="E72" s="2376"/>
      <c r="F72" s="2380"/>
      <c r="G72" s="2381"/>
      <c r="H72" s="347"/>
      <c r="I72" s="335"/>
      <c r="J72" s="321"/>
      <c r="K72" s="321"/>
      <c r="L72" s="336"/>
      <c r="M72" s="348"/>
      <c r="N72" s="349"/>
      <c r="O72" s="61"/>
      <c r="P72" s="669"/>
      <c r="Q72" s="669"/>
      <c r="R72" s="670"/>
    </row>
    <row r="73" spans="1:19" x14ac:dyDescent="0.2">
      <c r="A73" s="2412"/>
      <c r="B73" s="2413"/>
      <c r="C73" s="2414"/>
      <c r="D73" s="2444" t="s">
        <v>67</v>
      </c>
      <c r="E73" s="2376"/>
      <c r="F73" s="2380"/>
      <c r="G73" s="2381"/>
      <c r="H73" s="12" t="s">
        <v>94</v>
      </c>
      <c r="I73" s="218">
        <f>J73</f>
        <v>2038</v>
      </c>
      <c r="J73" s="224">
        <v>2038</v>
      </c>
      <c r="K73" s="224"/>
      <c r="L73" s="225"/>
      <c r="M73" s="356"/>
      <c r="N73" s="357"/>
      <c r="O73" s="17" t="s">
        <v>68</v>
      </c>
      <c r="P73" s="657"/>
      <c r="Q73" s="657">
        <v>94</v>
      </c>
      <c r="R73" s="659"/>
    </row>
    <row r="74" spans="1:19" ht="13.5" thickBot="1" x14ac:dyDescent="0.25">
      <c r="A74" s="2452"/>
      <c r="B74" s="2453"/>
      <c r="C74" s="2454"/>
      <c r="D74" s="2455"/>
      <c r="E74" s="2480"/>
      <c r="F74" s="2456"/>
      <c r="G74" s="2465"/>
      <c r="H74" s="564"/>
      <c r="I74" s="270"/>
      <c r="J74" s="565"/>
      <c r="K74" s="565"/>
      <c r="L74" s="566"/>
      <c r="M74" s="567"/>
      <c r="N74" s="568"/>
      <c r="O74" s="18"/>
      <c r="P74" s="507"/>
      <c r="Q74" s="507"/>
      <c r="R74" s="506"/>
    </row>
    <row r="75" spans="1:19" ht="25.5" x14ac:dyDescent="0.2">
      <c r="A75" s="620"/>
      <c r="B75" s="637"/>
      <c r="C75" s="648"/>
      <c r="D75" s="639" t="s">
        <v>132</v>
      </c>
      <c r="E75" s="651"/>
      <c r="F75" s="640"/>
      <c r="G75" s="616"/>
      <c r="H75" s="16"/>
      <c r="I75" s="246"/>
      <c r="J75" s="219"/>
      <c r="K75" s="219"/>
      <c r="L75" s="220"/>
      <c r="M75" s="45"/>
      <c r="N75" s="106"/>
      <c r="O75" s="61" t="s">
        <v>117</v>
      </c>
      <c r="P75" s="669"/>
      <c r="Q75" s="669">
        <v>33</v>
      </c>
      <c r="R75" s="670">
        <v>33</v>
      </c>
    </row>
    <row r="76" spans="1:19" x14ac:dyDescent="0.2">
      <c r="A76" s="2412"/>
      <c r="B76" s="2413"/>
      <c r="C76" s="2414"/>
      <c r="D76" s="2444" t="s">
        <v>133</v>
      </c>
      <c r="E76" s="2376"/>
      <c r="F76" s="2380"/>
      <c r="G76" s="2381"/>
      <c r="H76" s="145"/>
      <c r="I76" s="215"/>
      <c r="J76" s="216"/>
      <c r="K76" s="216"/>
      <c r="L76" s="217"/>
      <c r="M76" s="65"/>
      <c r="N76" s="105"/>
      <c r="O76" s="2436" t="s">
        <v>69</v>
      </c>
      <c r="P76" s="657"/>
      <c r="Q76" s="657">
        <v>9</v>
      </c>
      <c r="R76" s="659">
        <v>7</v>
      </c>
    </row>
    <row r="77" spans="1:19" ht="13.5" thickBot="1" x14ac:dyDescent="0.25">
      <c r="A77" s="2452"/>
      <c r="B77" s="2453"/>
      <c r="C77" s="2454"/>
      <c r="D77" s="2455"/>
      <c r="E77" s="2480"/>
      <c r="F77" s="2456"/>
      <c r="G77" s="2465"/>
      <c r="H77" s="280" t="s">
        <v>10</v>
      </c>
      <c r="I77" s="242">
        <f>I62+I73</f>
        <v>8055.6</v>
      </c>
      <c r="J77" s="237">
        <f>J62+J73</f>
        <v>8055.6</v>
      </c>
      <c r="K77" s="237">
        <f>SUM(K76:K76)</f>
        <v>0</v>
      </c>
      <c r="L77" s="241">
        <f>SUM(L76:L76)</f>
        <v>0</v>
      </c>
      <c r="M77" s="278">
        <f>M62</f>
        <v>7827.6</v>
      </c>
      <c r="N77" s="245">
        <f>N62</f>
        <v>8062</v>
      </c>
      <c r="O77" s="2466"/>
      <c r="P77" s="507"/>
      <c r="Q77" s="507"/>
      <c r="R77" s="506"/>
    </row>
    <row r="78" spans="1:19" x14ac:dyDescent="0.2">
      <c r="A78" s="2457" t="s">
        <v>9</v>
      </c>
      <c r="B78" s="2458" t="s">
        <v>9</v>
      </c>
      <c r="C78" s="2459" t="s">
        <v>54</v>
      </c>
      <c r="D78" s="2481" t="s">
        <v>167</v>
      </c>
      <c r="E78" s="2462"/>
      <c r="F78" s="2450" t="s">
        <v>38</v>
      </c>
      <c r="G78" s="2487" t="s">
        <v>95</v>
      </c>
      <c r="H78" s="15" t="s">
        <v>36</v>
      </c>
      <c r="I78" s="239">
        <f>J78+L78</f>
        <v>610.4</v>
      </c>
      <c r="J78" s="229">
        <v>610.4</v>
      </c>
      <c r="K78" s="229"/>
      <c r="L78" s="240"/>
      <c r="M78" s="46">
        <f>50+577</f>
        <v>627</v>
      </c>
      <c r="N78" s="46">
        <f>50+577</f>
        <v>627</v>
      </c>
      <c r="O78" s="2470" t="s">
        <v>103</v>
      </c>
      <c r="P78" s="656">
        <f>57+15</f>
        <v>72</v>
      </c>
      <c r="Q78" s="656">
        <f>15+57</f>
        <v>72</v>
      </c>
      <c r="R78" s="658">
        <f>15+57</f>
        <v>72</v>
      </c>
    </row>
    <row r="79" spans="1:19" x14ac:dyDescent="0.2">
      <c r="A79" s="2412"/>
      <c r="B79" s="2413"/>
      <c r="C79" s="2414"/>
      <c r="D79" s="2482"/>
      <c r="E79" s="2376"/>
      <c r="F79" s="2380"/>
      <c r="G79" s="2488"/>
      <c r="H79" s="25"/>
      <c r="I79" s="233">
        <f>J79+L79</f>
        <v>0</v>
      </c>
      <c r="J79" s="219"/>
      <c r="K79" s="219"/>
      <c r="L79" s="243"/>
      <c r="M79" s="69"/>
      <c r="N79" s="69"/>
      <c r="O79" s="2436"/>
      <c r="P79" s="657"/>
      <c r="Q79" s="657"/>
      <c r="R79" s="659"/>
    </row>
    <row r="80" spans="1:19" x14ac:dyDescent="0.2">
      <c r="A80" s="2412"/>
      <c r="B80" s="2413"/>
      <c r="C80" s="2414"/>
      <c r="D80" s="2482"/>
      <c r="E80" s="2376"/>
      <c r="F80" s="2380"/>
      <c r="G80" s="2488"/>
      <c r="H80" s="16"/>
      <c r="I80" s="231">
        <f>J80+L80</f>
        <v>0</v>
      </c>
      <c r="J80" s="224"/>
      <c r="K80" s="224"/>
      <c r="L80" s="244"/>
      <c r="M80" s="23"/>
      <c r="N80" s="23"/>
      <c r="O80" s="17"/>
      <c r="P80" s="657"/>
      <c r="Q80" s="657"/>
      <c r="R80" s="659"/>
      <c r="S80" s="48"/>
    </row>
    <row r="81" spans="1:21" ht="13.5" thickBot="1" x14ac:dyDescent="0.25">
      <c r="A81" s="2452"/>
      <c r="B81" s="2453"/>
      <c r="C81" s="2454"/>
      <c r="D81" s="2483"/>
      <c r="E81" s="2480"/>
      <c r="F81" s="2456"/>
      <c r="G81" s="2489"/>
      <c r="H81" s="280" t="s">
        <v>10</v>
      </c>
      <c r="I81" s="236">
        <f t="shared" ref="I81:N81" si="1">SUM(I78:I80)</f>
        <v>610.4</v>
      </c>
      <c r="J81" s="242">
        <f t="shared" si="1"/>
        <v>610.4</v>
      </c>
      <c r="K81" s="242">
        <f t="shared" si="1"/>
        <v>0</v>
      </c>
      <c r="L81" s="245">
        <f t="shared" si="1"/>
        <v>0</v>
      </c>
      <c r="M81" s="278">
        <f t="shared" si="1"/>
        <v>627</v>
      </c>
      <c r="N81" s="278">
        <f t="shared" si="1"/>
        <v>627</v>
      </c>
      <c r="O81" s="18"/>
      <c r="P81" s="507"/>
      <c r="Q81" s="507"/>
      <c r="R81" s="506"/>
    </row>
    <row r="82" spans="1:21" x14ac:dyDescent="0.2">
      <c r="A82" s="2457" t="s">
        <v>9</v>
      </c>
      <c r="B82" s="2458" t="s">
        <v>9</v>
      </c>
      <c r="C82" s="2459" t="s">
        <v>41</v>
      </c>
      <c r="D82" s="2490" t="s">
        <v>154</v>
      </c>
      <c r="E82" s="2493" t="s">
        <v>91</v>
      </c>
      <c r="F82" s="2450" t="s">
        <v>54</v>
      </c>
      <c r="G82" s="615" t="s">
        <v>90</v>
      </c>
      <c r="H82" s="15" t="s">
        <v>36</v>
      </c>
      <c r="I82" s="228">
        <f>J82+L82</f>
        <v>3.5</v>
      </c>
      <c r="J82" s="229">
        <f>1.9+1.6</f>
        <v>3.5</v>
      </c>
      <c r="K82" s="229"/>
      <c r="L82" s="230"/>
      <c r="M82" s="46"/>
      <c r="N82" s="109"/>
      <c r="O82" s="2470" t="s">
        <v>111</v>
      </c>
      <c r="P82" s="2484">
        <v>12</v>
      </c>
      <c r="Q82" s="2471"/>
      <c r="R82" s="2472"/>
    </row>
    <row r="83" spans="1:21" x14ac:dyDescent="0.2">
      <c r="A83" s="2412"/>
      <c r="B83" s="2413"/>
      <c r="C83" s="2414"/>
      <c r="D83" s="2491"/>
      <c r="E83" s="2494"/>
      <c r="F83" s="2380"/>
      <c r="G83" s="616"/>
      <c r="H83" s="25" t="s">
        <v>88</v>
      </c>
      <c r="I83" s="221">
        <f>J83+L83</f>
        <v>598.79999999999995</v>
      </c>
      <c r="J83" s="219"/>
      <c r="K83" s="219"/>
      <c r="L83" s="220">
        <v>598.79999999999995</v>
      </c>
      <c r="M83" s="69"/>
      <c r="N83" s="103"/>
      <c r="O83" s="2436"/>
      <c r="P83" s="2485"/>
      <c r="Q83" s="2440"/>
      <c r="R83" s="2442"/>
    </row>
    <row r="84" spans="1:21" x14ac:dyDescent="0.2">
      <c r="A84" s="2412"/>
      <c r="B84" s="2413"/>
      <c r="C84" s="2414"/>
      <c r="D84" s="2491"/>
      <c r="E84" s="49"/>
      <c r="F84" s="2380"/>
      <c r="G84" s="668" t="s">
        <v>203</v>
      </c>
      <c r="H84" s="25" t="s">
        <v>92</v>
      </c>
      <c r="I84" s="215">
        <f>J84+L84</f>
        <v>0</v>
      </c>
      <c r="J84" s="224"/>
      <c r="K84" s="224"/>
      <c r="L84" s="225"/>
      <c r="M84" s="23"/>
      <c r="N84" s="104"/>
      <c r="O84" s="2436"/>
      <c r="P84" s="63"/>
      <c r="Q84" s="63"/>
      <c r="R84" s="659"/>
    </row>
    <row r="85" spans="1:21" x14ac:dyDescent="0.2">
      <c r="A85" s="2412"/>
      <c r="B85" s="2413"/>
      <c r="C85" s="2414"/>
      <c r="D85" s="2491"/>
      <c r="E85" s="49"/>
      <c r="F85" s="2380"/>
      <c r="G85" s="616"/>
      <c r="H85" s="25" t="s">
        <v>36</v>
      </c>
      <c r="I85" s="221">
        <f>J85+L85</f>
        <v>0.5</v>
      </c>
      <c r="J85" s="222">
        <v>0.5</v>
      </c>
      <c r="K85" s="222">
        <v>0.3</v>
      </c>
      <c r="L85" s="223"/>
      <c r="M85" s="123"/>
      <c r="N85" s="174"/>
      <c r="O85" s="2486"/>
      <c r="P85" s="657"/>
      <c r="Q85" s="657"/>
      <c r="R85" s="659"/>
    </row>
    <row r="86" spans="1:21" x14ac:dyDescent="0.2">
      <c r="A86" s="2412"/>
      <c r="B86" s="2413"/>
      <c r="C86" s="2414"/>
      <c r="D86" s="2491"/>
      <c r="E86" s="49"/>
      <c r="F86" s="2380"/>
      <c r="G86" s="616"/>
      <c r="H86" s="16" t="s">
        <v>36</v>
      </c>
      <c r="I86" s="246"/>
      <c r="J86" s="219"/>
      <c r="K86" s="219"/>
      <c r="L86" s="220"/>
      <c r="M86" s="35"/>
      <c r="N86" s="175"/>
      <c r="O86" s="2486"/>
      <c r="P86" s="63"/>
      <c r="Q86" s="63"/>
      <c r="R86" s="659"/>
    </row>
    <row r="87" spans="1:21" ht="13.5" thickBot="1" x14ac:dyDescent="0.25">
      <c r="A87" s="2452"/>
      <c r="B87" s="2453"/>
      <c r="C87" s="2454"/>
      <c r="D87" s="2492"/>
      <c r="E87" s="50"/>
      <c r="F87" s="2456"/>
      <c r="G87" s="617"/>
      <c r="H87" s="280" t="s">
        <v>10</v>
      </c>
      <c r="I87" s="242">
        <f>SUM(I82:I86)</f>
        <v>602.79999999999995</v>
      </c>
      <c r="J87" s="242">
        <f>SUM(J82:J86)</f>
        <v>4</v>
      </c>
      <c r="K87" s="242">
        <f>SUM(K82:K86)</f>
        <v>0.3</v>
      </c>
      <c r="L87" s="247">
        <f>SUM(L82:L86)</f>
        <v>598.79999999999995</v>
      </c>
      <c r="M87" s="278">
        <f>M86</f>
        <v>0</v>
      </c>
      <c r="N87" s="242">
        <f>SUM(N82:N86)</f>
        <v>0</v>
      </c>
      <c r="O87" s="2495"/>
      <c r="P87" s="507"/>
      <c r="Q87" s="507"/>
      <c r="R87" s="506"/>
    </row>
    <row r="88" spans="1:21" x14ac:dyDescent="0.2">
      <c r="A88" s="2457" t="s">
        <v>9</v>
      </c>
      <c r="B88" s="2458" t="s">
        <v>9</v>
      </c>
      <c r="C88" s="2459" t="s">
        <v>55</v>
      </c>
      <c r="D88" s="2467" t="s">
        <v>129</v>
      </c>
      <c r="E88" s="2462"/>
      <c r="F88" s="2450" t="s">
        <v>54</v>
      </c>
      <c r="G88" s="2451" t="s">
        <v>40</v>
      </c>
      <c r="H88" s="15" t="s">
        <v>36</v>
      </c>
      <c r="I88" s="239">
        <f>J88+L88</f>
        <v>150</v>
      </c>
      <c r="J88" s="229">
        <v>150</v>
      </c>
      <c r="K88" s="229"/>
      <c r="L88" s="230"/>
      <c r="M88" s="46"/>
      <c r="N88" s="46"/>
      <c r="O88" s="618" t="s">
        <v>57</v>
      </c>
      <c r="P88" s="657">
        <v>4</v>
      </c>
      <c r="Q88" s="657"/>
      <c r="R88" s="659"/>
    </row>
    <row r="89" spans="1:21" x14ac:dyDescent="0.2">
      <c r="A89" s="2412"/>
      <c r="B89" s="2413"/>
      <c r="C89" s="2414"/>
      <c r="D89" s="2444"/>
      <c r="E89" s="2376"/>
      <c r="F89" s="2380"/>
      <c r="G89" s="2381"/>
      <c r="H89" s="117"/>
      <c r="I89" s="233"/>
      <c r="J89" s="222"/>
      <c r="K89" s="222"/>
      <c r="L89" s="223"/>
      <c r="M89" s="51"/>
      <c r="N89" s="51"/>
      <c r="O89" s="17"/>
      <c r="P89" s="657"/>
      <c r="Q89" s="657"/>
      <c r="R89" s="659"/>
    </row>
    <row r="90" spans="1:21" ht="13.5" thickBot="1" x14ac:dyDescent="0.25">
      <c r="A90" s="2452"/>
      <c r="B90" s="2453"/>
      <c r="C90" s="2454"/>
      <c r="D90" s="2455"/>
      <c r="E90" s="2480"/>
      <c r="F90" s="2456"/>
      <c r="G90" s="617"/>
      <c r="H90" s="280" t="s">
        <v>10</v>
      </c>
      <c r="I90" s="242">
        <f t="shared" ref="I90:N90" si="2">SUM(I88:I89)</f>
        <v>150</v>
      </c>
      <c r="J90" s="237">
        <f t="shared" si="2"/>
        <v>150</v>
      </c>
      <c r="K90" s="237">
        <f t="shared" si="2"/>
        <v>0</v>
      </c>
      <c r="L90" s="237">
        <f t="shared" si="2"/>
        <v>0</v>
      </c>
      <c r="M90" s="278">
        <f t="shared" si="2"/>
        <v>0</v>
      </c>
      <c r="N90" s="278">
        <f t="shared" si="2"/>
        <v>0</v>
      </c>
      <c r="O90" s="18"/>
      <c r="P90" s="507"/>
      <c r="Q90" s="507"/>
      <c r="R90" s="506"/>
    </row>
    <row r="91" spans="1:21" x14ac:dyDescent="0.2">
      <c r="A91" s="2457" t="s">
        <v>9</v>
      </c>
      <c r="B91" s="2458" t="s">
        <v>9</v>
      </c>
      <c r="C91" s="2500" t="s">
        <v>44</v>
      </c>
      <c r="D91" s="2490" t="s">
        <v>188</v>
      </c>
      <c r="E91" s="2503" t="s">
        <v>169</v>
      </c>
      <c r="F91" s="2506" t="s">
        <v>53</v>
      </c>
      <c r="G91" s="2451" t="s">
        <v>90</v>
      </c>
      <c r="H91" s="339" t="s">
        <v>92</v>
      </c>
      <c r="I91" s="228">
        <f>J91+L91</f>
        <v>445</v>
      </c>
      <c r="J91" s="268"/>
      <c r="K91" s="268"/>
      <c r="L91" s="269">
        <v>445</v>
      </c>
      <c r="M91" s="311">
        <v>49.5</v>
      </c>
      <c r="N91" s="109"/>
      <c r="O91" s="2496" t="s">
        <v>200</v>
      </c>
      <c r="P91" s="146">
        <v>50</v>
      </c>
      <c r="Q91" s="146">
        <v>50</v>
      </c>
      <c r="R91" s="147"/>
    </row>
    <row r="92" spans="1:21" x14ac:dyDescent="0.2">
      <c r="A92" s="2412"/>
      <c r="B92" s="2413"/>
      <c r="C92" s="2501"/>
      <c r="D92" s="2491"/>
      <c r="E92" s="2504"/>
      <c r="F92" s="2417"/>
      <c r="G92" s="2381"/>
      <c r="H92" s="12" t="s">
        <v>36</v>
      </c>
      <c r="I92" s="215">
        <f>L92</f>
        <v>0.1</v>
      </c>
      <c r="J92" s="224"/>
      <c r="K92" s="224"/>
      <c r="L92" s="225">
        <v>0.1</v>
      </c>
      <c r="M92" s="83"/>
      <c r="N92" s="55"/>
      <c r="O92" s="2418"/>
      <c r="P92" s="75"/>
      <c r="Q92" s="75"/>
      <c r="R92" s="76"/>
    </row>
    <row r="93" spans="1:21" x14ac:dyDescent="0.2">
      <c r="A93" s="2412"/>
      <c r="B93" s="2413"/>
      <c r="C93" s="2501"/>
      <c r="D93" s="2491"/>
      <c r="E93" s="2504"/>
      <c r="F93" s="2417"/>
      <c r="G93" s="2381"/>
      <c r="H93" s="12" t="s">
        <v>93</v>
      </c>
      <c r="I93" s="215">
        <f>J93+L93</f>
        <v>93.4</v>
      </c>
      <c r="J93" s="224"/>
      <c r="K93" s="224"/>
      <c r="L93" s="225">
        <v>93.4</v>
      </c>
      <c r="M93" s="83">
        <v>10.4</v>
      </c>
      <c r="N93" s="103"/>
      <c r="O93" s="2419"/>
      <c r="P93" s="78"/>
      <c r="Q93" s="78"/>
      <c r="R93" s="148"/>
    </row>
    <row r="94" spans="1:21" ht="29.25" thickBot="1" x14ac:dyDescent="0.25">
      <c r="A94" s="2452"/>
      <c r="B94" s="2453"/>
      <c r="C94" s="2502"/>
      <c r="D94" s="2492"/>
      <c r="E94" s="2505"/>
      <c r="F94" s="2507"/>
      <c r="G94" s="2465"/>
      <c r="H94" s="280" t="s">
        <v>10</v>
      </c>
      <c r="I94" s="242">
        <f t="shared" ref="I94:N94" si="3">SUM(I91:I93)</f>
        <v>538.5</v>
      </c>
      <c r="J94" s="242">
        <f t="shared" si="3"/>
        <v>0</v>
      </c>
      <c r="K94" s="242">
        <f t="shared" si="3"/>
        <v>0</v>
      </c>
      <c r="L94" s="247">
        <f t="shared" si="3"/>
        <v>538.5</v>
      </c>
      <c r="M94" s="278">
        <f>SUM(M91:M93)</f>
        <v>59.9</v>
      </c>
      <c r="N94" s="242">
        <f t="shared" si="3"/>
        <v>0</v>
      </c>
      <c r="O94" s="136" t="s">
        <v>199</v>
      </c>
      <c r="P94" s="633">
        <v>50</v>
      </c>
      <c r="Q94" s="633">
        <v>50</v>
      </c>
      <c r="R94" s="635"/>
      <c r="S94" s="14"/>
      <c r="U94" s="13"/>
    </row>
    <row r="95" spans="1:21" x14ac:dyDescent="0.2">
      <c r="A95" s="363" t="s">
        <v>9</v>
      </c>
      <c r="B95" s="627" t="s">
        <v>9</v>
      </c>
      <c r="C95" s="646" t="s">
        <v>161</v>
      </c>
      <c r="D95" s="2490" t="s">
        <v>179</v>
      </c>
      <c r="E95" s="650"/>
      <c r="F95" s="186"/>
      <c r="G95" s="190"/>
      <c r="H95" s="455" t="s">
        <v>36</v>
      </c>
      <c r="I95" s="248">
        <f>J95+L95</f>
        <v>69.2</v>
      </c>
      <c r="J95" s="249">
        <v>19.2</v>
      </c>
      <c r="K95" s="249"/>
      <c r="L95" s="250">
        <v>50</v>
      </c>
      <c r="M95" s="201">
        <v>150</v>
      </c>
      <c r="N95" s="201"/>
      <c r="O95" s="2498" t="s">
        <v>177</v>
      </c>
      <c r="P95" s="184">
        <f>P98+P99+P100+P101+P102+P106</f>
        <v>4</v>
      </c>
      <c r="Q95" s="656">
        <v>2</v>
      </c>
      <c r="R95" s="658"/>
    </row>
    <row r="96" spans="1:21" x14ac:dyDescent="0.2">
      <c r="A96" s="94"/>
      <c r="B96" s="628"/>
      <c r="C96" s="638"/>
      <c r="D96" s="2497"/>
      <c r="E96" s="671"/>
      <c r="F96" s="196"/>
      <c r="G96" s="197"/>
      <c r="H96" s="456" t="s">
        <v>88</v>
      </c>
      <c r="I96" s="251"/>
      <c r="J96" s="252"/>
      <c r="K96" s="252"/>
      <c r="L96" s="253"/>
      <c r="M96" s="202">
        <v>227.3</v>
      </c>
      <c r="N96" s="202">
        <v>243.3</v>
      </c>
      <c r="O96" s="2499"/>
      <c r="P96" s="183"/>
      <c r="Q96" s="669"/>
      <c r="R96" s="670"/>
    </row>
    <row r="97" spans="1:21" ht="25.5" x14ac:dyDescent="0.2">
      <c r="A97" s="94"/>
      <c r="B97" s="628"/>
      <c r="C97" s="638"/>
      <c r="D97" s="350" t="s">
        <v>178</v>
      </c>
      <c r="E97" s="651"/>
      <c r="F97" s="187" t="s">
        <v>41</v>
      </c>
      <c r="G97" s="191" t="s">
        <v>90</v>
      </c>
      <c r="H97" s="456" t="s">
        <v>92</v>
      </c>
      <c r="I97" s="251">
        <f>J97</f>
        <v>108.4</v>
      </c>
      <c r="J97" s="252">
        <v>108.4</v>
      </c>
      <c r="K97" s="252"/>
      <c r="L97" s="253"/>
      <c r="M97" s="202">
        <v>2802.7</v>
      </c>
      <c r="N97" s="202">
        <v>2999.4</v>
      </c>
      <c r="O97" s="194"/>
      <c r="P97" s="183"/>
      <c r="Q97" s="669"/>
      <c r="R97" s="670"/>
    </row>
    <row r="98" spans="1:21" ht="29.25" x14ac:dyDescent="0.2">
      <c r="A98" s="364"/>
      <c r="B98" s="440"/>
      <c r="C98" s="360"/>
      <c r="D98" s="195" t="s">
        <v>172</v>
      </c>
      <c r="E98" s="435" t="s">
        <v>182</v>
      </c>
      <c r="F98" s="189"/>
      <c r="G98" s="193"/>
      <c r="H98" s="457"/>
      <c r="I98" s="436"/>
      <c r="J98" s="437"/>
      <c r="K98" s="437"/>
      <c r="L98" s="438"/>
      <c r="M98" s="439"/>
      <c r="N98" s="439"/>
      <c r="O98" s="130" t="s">
        <v>176</v>
      </c>
      <c r="P98" s="131">
        <v>1</v>
      </c>
      <c r="Q98" s="131"/>
      <c r="R98" s="127"/>
    </row>
    <row r="99" spans="1:21" ht="38.25" x14ac:dyDescent="0.2">
      <c r="A99" s="361"/>
      <c r="B99" s="362"/>
      <c r="C99" s="360"/>
      <c r="D99" s="433" t="s">
        <v>173</v>
      </c>
      <c r="E99" s="434" t="s">
        <v>182</v>
      </c>
      <c r="F99" s="188"/>
      <c r="G99" s="192"/>
      <c r="H99" s="458"/>
      <c r="I99" s="254"/>
      <c r="J99" s="255"/>
      <c r="K99" s="255"/>
      <c r="L99" s="256"/>
      <c r="M99" s="203"/>
      <c r="N99" s="203"/>
      <c r="O99" s="179" t="s">
        <v>176</v>
      </c>
      <c r="P99" s="178">
        <v>1</v>
      </c>
      <c r="Q99" s="178"/>
      <c r="R99" s="132"/>
    </row>
    <row r="100" spans="1:21" ht="38.25" x14ac:dyDescent="0.2">
      <c r="A100" s="361"/>
      <c r="B100" s="362"/>
      <c r="C100" s="360"/>
      <c r="D100" s="195" t="s">
        <v>174</v>
      </c>
      <c r="E100" s="200" t="s">
        <v>183</v>
      </c>
      <c r="F100" s="188"/>
      <c r="G100" s="192"/>
      <c r="H100" s="458"/>
      <c r="I100" s="254"/>
      <c r="J100" s="255"/>
      <c r="K100" s="255"/>
      <c r="L100" s="256"/>
      <c r="M100" s="203"/>
      <c r="N100" s="203"/>
      <c r="O100" s="180" t="s">
        <v>176</v>
      </c>
      <c r="P100" s="181">
        <v>1</v>
      </c>
      <c r="Q100" s="181"/>
      <c r="R100" s="182"/>
    </row>
    <row r="101" spans="1:21" ht="38.25" x14ac:dyDescent="0.2">
      <c r="A101" s="361"/>
      <c r="B101" s="362"/>
      <c r="C101" s="360"/>
      <c r="D101" s="195" t="s">
        <v>175</v>
      </c>
      <c r="E101" s="185"/>
      <c r="F101" s="189"/>
      <c r="G101" s="193"/>
      <c r="H101" s="459"/>
      <c r="I101" s="352"/>
      <c r="J101" s="353"/>
      <c r="K101" s="353"/>
      <c r="L101" s="354"/>
      <c r="M101" s="463"/>
      <c r="N101" s="355"/>
      <c r="O101" s="130" t="s">
        <v>176</v>
      </c>
      <c r="P101" s="178">
        <v>1</v>
      </c>
      <c r="Q101" s="178"/>
      <c r="R101" s="132"/>
    </row>
    <row r="102" spans="1:21" x14ac:dyDescent="0.2">
      <c r="A102" s="2412"/>
      <c r="B102" s="2512"/>
      <c r="C102" s="2501"/>
      <c r="D102" s="2513" t="s">
        <v>165</v>
      </c>
      <c r="E102" s="2494" t="s">
        <v>91</v>
      </c>
      <c r="F102" s="2417" t="s">
        <v>53</v>
      </c>
      <c r="G102" s="2381" t="s">
        <v>90</v>
      </c>
      <c r="H102" s="460"/>
      <c r="I102" s="359"/>
      <c r="J102" s="224"/>
      <c r="K102" s="224"/>
      <c r="L102" s="244"/>
      <c r="M102" s="357"/>
      <c r="N102" s="357"/>
      <c r="O102" s="2508" t="s">
        <v>159</v>
      </c>
      <c r="P102" s="54"/>
      <c r="Q102" s="53">
        <v>1</v>
      </c>
      <c r="R102" s="173"/>
      <c r="U102" s="13"/>
    </row>
    <row r="103" spans="1:21" x14ac:dyDescent="0.2">
      <c r="A103" s="2412"/>
      <c r="B103" s="2512"/>
      <c r="C103" s="2501"/>
      <c r="D103" s="2513"/>
      <c r="E103" s="2494"/>
      <c r="F103" s="2417"/>
      <c r="G103" s="2381"/>
      <c r="H103" s="461"/>
      <c r="I103" s="316"/>
      <c r="J103" s="219"/>
      <c r="K103" s="219"/>
      <c r="L103" s="243"/>
      <c r="M103" s="106"/>
      <c r="N103" s="106"/>
      <c r="O103" s="2509"/>
      <c r="P103" s="128"/>
      <c r="Q103" s="129"/>
      <c r="R103" s="132"/>
      <c r="U103" s="13"/>
    </row>
    <row r="104" spans="1:21" x14ac:dyDescent="0.2">
      <c r="A104" s="2412"/>
      <c r="B104" s="2512"/>
      <c r="C104" s="2501"/>
      <c r="D104" s="2513"/>
      <c r="E104" s="2494"/>
      <c r="F104" s="2417"/>
      <c r="G104" s="2381"/>
      <c r="H104" s="461"/>
      <c r="I104" s="316"/>
      <c r="J104" s="219"/>
      <c r="K104" s="219"/>
      <c r="L104" s="243"/>
      <c r="M104" s="106"/>
      <c r="N104" s="106"/>
      <c r="O104" s="2510"/>
      <c r="P104" s="128"/>
      <c r="Q104" s="129"/>
      <c r="R104" s="132"/>
      <c r="U104" s="13"/>
    </row>
    <row r="105" spans="1:21" x14ac:dyDescent="0.2">
      <c r="A105" s="2412"/>
      <c r="B105" s="2512"/>
      <c r="C105" s="2501"/>
      <c r="D105" s="2514"/>
      <c r="E105" s="2515"/>
      <c r="F105" s="2428"/>
      <c r="G105" s="2430"/>
      <c r="H105" s="462"/>
      <c r="I105" s="464"/>
      <c r="J105" s="335"/>
      <c r="K105" s="335"/>
      <c r="L105" s="465"/>
      <c r="M105" s="349"/>
      <c r="N105" s="349"/>
      <c r="O105" s="2511"/>
      <c r="P105" s="59"/>
      <c r="Q105" s="59"/>
      <c r="R105" s="143"/>
      <c r="U105" s="13"/>
    </row>
    <row r="106" spans="1:21" x14ac:dyDescent="0.2">
      <c r="A106" s="2412"/>
      <c r="B106" s="2413"/>
      <c r="C106" s="2501"/>
      <c r="D106" s="2444" t="s">
        <v>192</v>
      </c>
      <c r="E106" s="2494" t="s">
        <v>91</v>
      </c>
      <c r="F106" s="2380" t="s">
        <v>44</v>
      </c>
      <c r="G106" s="2381" t="s">
        <v>90</v>
      </c>
      <c r="H106" s="358"/>
      <c r="I106" s="359"/>
      <c r="J106" s="224"/>
      <c r="K106" s="224"/>
      <c r="L106" s="244"/>
      <c r="M106" s="357"/>
      <c r="N106" s="357"/>
      <c r="O106" s="2531" t="s">
        <v>155</v>
      </c>
      <c r="P106" s="657"/>
      <c r="Q106" s="657">
        <v>1</v>
      </c>
      <c r="R106" s="659"/>
    </row>
    <row r="107" spans="1:21" x14ac:dyDescent="0.2">
      <c r="A107" s="2412"/>
      <c r="B107" s="2413"/>
      <c r="C107" s="2501"/>
      <c r="D107" s="2444"/>
      <c r="E107" s="2494"/>
      <c r="F107" s="2380"/>
      <c r="G107" s="2381"/>
      <c r="H107" s="135"/>
      <c r="I107" s="316"/>
      <c r="J107" s="219"/>
      <c r="K107" s="219"/>
      <c r="L107" s="243"/>
      <c r="M107" s="106"/>
      <c r="N107" s="106"/>
      <c r="O107" s="2449"/>
      <c r="P107" s="657"/>
      <c r="Q107" s="657"/>
      <c r="R107" s="659"/>
    </row>
    <row r="108" spans="1:21" x14ac:dyDescent="0.2">
      <c r="A108" s="2412"/>
      <c r="B108" s="2413"/>
      <c r="C108" s="2501"/>
      <c r="D108" s="2444"/>
      <c r="E108" s="2494"/>
      <c r="F108" s="2380"/>
      <c r="G108" s="2381"/>
      <c r="H108" s="135"/>
      <c r="I108" s="231"/>
      <c r="J108" s="219"/>
      <c r="K108" s="219"/>
      <c r="L108" s="243"/>
      <c r="M108" s="175"/>
      <c r="N108" s="175"/>
      <c r="O108" s="2436"/>
      <c r="P108" s="657"/>
      <c r="Q108" s="657"/>
      <c r="R108" s="659"/>
    </row>
    <row r="109" spans="1:21" ht="13.5" thickBot="1" x14ac:dyDescent="0.25">
      <c r="A109" s="2412"/>
      <c r="B109" s="2413"/>
      <c r="C109" s="2501"/>
      <c r="D109" s="2444"/>
      <c r="E109" s="2494"/>
      <c r="F109" s="2380"/>
      <c r="G109" s="2381"/>
      <c r="H109" s="272" t="s">
        <v>10</v>
      </c>
      <c r="I109" s="273">
        <f>I97+I95</f>
        <v>177.6</v>
      </c>
      <c r="J109" s="227">
        <f>J97+J95</f>
        <v>127.6</v>
      </c>
      <c r="K109" s="227">
        <f>K97+K95</f>
        <v>0</v>
      </c>
      <c r="L109" s="274">
        <f>L97+L95</f>
        <v>50</v>
      </c>
      <c r="M109" s="226">
        <f>M95+M96+M97</f>
        <v>3180</v>
      </c>
      <c r="N109" s="273">
        <f>N95+N96+N97</f>
        <v>3242.7</v>
      </c>
      <c r="O109" s="2436"/>
      <c r="P109" s="657"/>
      <c r="Q109" s="657"/>
      <c r="R109" s="659"/>
    </row>
    <row r="110" spans="1:21" ht="26.25" thickBot="1" x14ac:dyDescent="0.25">
      <c r="A110" s="93" t="s">
        <v>9</v>
      </c>
      <c r="B110" s="11" t="s">
        <v>9</v>
      </c>
      <c r="C110" s="2516" t="s">
        <v>12</v>
      </c>
      <c r="D110" s="2516"/>
      <c r="E110" s="2516"/>
      <c r="F110" s="2516"/>
      <c r="G110" s="2516"/>
      <c r="H110" s="2516"/>
      <c r="I110" s="537" t="s">
        <v>215</v>
      </c>
      <c r="J110" s="554" t="s">
        <v>216</v>
      </c>
      <c r="K110" s="466">
        <f>K109+K94+K90+K87+K81+K77+K61+K44+K32</f>
        <v>742.7</v>
      </c>
      <c r="L110" s="467">
        <f>L109+L94+L90+L87+L81+L77+L61+L44+L32</f>
        <v>1374.7</v>
      </c>
      <c r="M110" s="24">
        <f>M109+M94+M90+M87+M81+M77+M61+M44+M32</f>
        <v>22958.3</v>
      </c>
      <c r="N110" s="176">
        <f>N109+N94+N90+N87+N81+N77+N61+N44+N32</f>
        <v>21634.5</v>
      </c>
      <c r="O110" s="610"/>
      <c r="P110" s="611"/>
      <c r="Q110" s="611"/>
      <c r="R110" s="612"/>
    </row>
    <row r="111" spans="1:21" ht="13.5" thickBot="1" x14ac:dyDescent="0.25">
      <c r="A111" s="93" t="s">
        <v>9</v>
      </c>
      <c r="B111" s="11" t="s">
        <v>11</v>
      </c>
      <c r="C111" s="2517" t="s">
        <v>71</v>
      </c>
      <c r="D111" s="2518"/>
      <c r="E111" s="2518"/>
      <c r="F111" s="2518"/>
      <c r="G111" s="2518"/>
      <c r="H111" s="2518"/>
      <c r="I111" s="2518"/>
      <c r="J111" s="2518"/>
      <c r="K111" s="2518"/>
      <c r="L111" s="2518"/>
      <c r="M111" s="2518"/>
      <c r="N111" s="2518"/>
      <c r="O111" s="2518"/>
      <c r="P111" s="2518"/>
      <c r="Q111" s="2518"/>
      <c r="R111" s="2519"/>
    </row>
    <row r="112" spans="1:21" x14ac:dyDescent="0.2">
      <c r="A112" s="2457" t="s">
        <v>9</v>
      </c>
      <c r="B112" s="2520" t="s">
        <v>11</v>
      </c>
      <c r="C112" s="2523" t="s">
        <v>9</v>
      </c>
      <c r="D112" s="2526" t="s">
        <v>108</v>
      </c>
      <c r="E112" s="2528"/>
      <c r="F112" s="2506" t="s">
        <v>54</v>
      </c>
      <c r="G112" s="2451" t="s">
        <v>40</v>
      </c>
      <c r="H112" s="19" t="s">
        <v>36</v>
      </c>
      <c r="I112" s="239">
        <f>J112+L112</f>
        <v>513.5</v>
      </c>
      <c r="J112" s="229">
        <v>513.5</v>
      </c>
      <c r="K112" s="229"/>
      <c r="L112" s="230"/>
      <c r="M112" s="41">
        <v>582</v>
      </c>
      <c r="N112" s="41">
        <v>582</v>
      </c>
      <c r="O112" s="2470" t="s">
        <v>74</v>
      </c>
      <c r="P112" s="632">
        <v>18</v>
      </c>
      <c r="Q112" s="632">
        <v>18</v>
      </c>
      <c r="R112" s="634">
        <v>18</v>
      </c>
      <c r="U112" s="13"/>
    </row>
    <row r="113" spans="1:24" x14ac:dyDescent="0.2">
      <c r="A113" s="2412"/>
      <c r="B113" s="2521"/>
      <c r="C113" s="2524"/>
      <c r="D113" s="2513"/>
      <c r="E113" s="2529"/>
      <c r="F113" s="2417"/>
      <c r="G113" s="2381"/>
      <c r="H113" s="26"/>
      <c r="I113" s="233">
        <f>J113+L113</f>
        <v>0</v>
      </c>
      <c r="J113" s="219"/>
      <c r="K113" s="219"/>
      <c r="L113" s="220"/>
      <c r="M113" s="69"/>
      <c r="N113" s="69"/>
      <c r="O113" s="2436"/>
      <c r="P113" s="31"/>
      <c r="Q113" s="31"/>
      <c r="R113" s="144"/>
      <c r="U113" s="13"/>
    </row>
    <row r="114" spans="1:24" x14ac:dyDescent="0.2">
      <c r="A114" s="2412"/>
      <c r="B114" s="2521"/>
      <c r="C114" s="2524"/>
      <c r="D114" s="2513"/>
      <c r="E114" s="2529"/>
      <c r="F114" s="2417"/>
      <c r="G114" s="2381"/>
      <c r="H114" s="20"/>
      <c r="I114" s="215">
        <f>J114+L114</f>
        <v>0</v>
      </c>
      <c r="J114" s="224"/>
      <c r="K114" s="224"/>
      <c r="L114" s="225"/>
      <c r="M114" s="23"/>
      <c r="N114" s="23"/>
      <c r="O114" s="2436"/>
      <c r="P114" s="31"/>
      <c r="Q114" s="31"/>
      <c r="R114" s="144"/>
      <c r="U114" s="13"/>
    </row>
    <row r="115" spans="1:24" ht="13.5" thickBot="1" x14ac:dyDescent="0.25">
      <c r="A115" s="2452"/>
      <c r="B115" s="2522"/>
      <c r="C115" s="2525"/>
      <c r="D115" s="2527"/>
      <c r="E115" s="2530"/>
      <c r="F115" s="2507"/>
      <c r="G115" s="2465"/>
      <c r="H115" s="280" t="s">
        <v>10</v>
      </c>
      <c r="I115" s="242">
        <f t="shared" ref="I115:N115" si="4">SUM(I112:I114)</f>
        <v>513.5</v>
      </c>
      <c r="J115" s="237">
        <f t="shared" si="4"/>
        <v>513.5</v>
      </c>
      <c r="K115" s="237">
        <f t="shared" si="4"/>
        <v>0</v>
      </c>
      <c r="L115" s="237">
        <f t="shared" si="4"/>
        <v>0</v>
      </c>
      <c r="M115" s="278">
        <f t="shared" si="4"/>
        <v>582</v>
      </c>
      <c r="N115" s="278">
        <f t="shared" si="4"/>
        <v>582</v>
      </c>
      <c r="O115" s="18"/>
      <c r="P115" s="633"/>
      <c r="Q115" s="633"/>
      <c r="R115" s="635"/>
      <c r="U115" s="13"/>
    </row>
    <row r="116" spans="1:24" x14ac:dyDescent="0.2">
      <c r="A116" s="2457" t="s">
        <v>9</v>
      </c>
      <c r="B116" s="2520" t="s">
        <v>11</v>
      </c>
      <c r="C116" s="2523" t="s">
        <v>11</v>
      </c>
      <c r="D116" s="2526" t="s">
        <v>75</v>
      </c>
      <c r="E116" s="2528"/>
      <c r="F116" s="2506" t="s">
        <v>54</v>
      </c>
      <c r="G116" s="2451" t="s">
        <v>40</v>
      </c>
      <c r="H116" s="19" t="s">
        <v>36</v>
      </c>
      <c r="I116" s="239">
        <f>J116+L116</f>
        <v>5</v>
      </c>
      <c r="J116" s="229">
        <v>5</v>
      </c>
      <c r="K116" s="229"/>
      <c r="L116" s="230"/>
      <c r="M116" s="41">
        <v>5</v>
      </c>
      <c r="N116" s="41">
        <v>5</v>
      </c>
      <c r="O116" s="2470" t="s">
        <v>105</v>
      </c>
      <c r="P116" s="632">
        <v>3</v>
      </c>
      <c r="Q116" s="632">
        <v>3</v>
      </c>
      <c r="R116" s="634">
        <v>3</v>
      </c>
      <c r="U116" s="13"/>
    </row>
    <row r="117" spans="1:24" x14ac:dyDescent="0.2">
      <c r="A117" s="2412"/>
      <c r="B117" s="2521"/>
      <c r="C117" s="2524"/>
      <c r="D117" s="2513"/>
      <c r="E117" s="2529"/>
      <c r="F117" s="2417"/>
      <c r="G117" s="2381"/>
      <c r="H117" s="20"/>
      <c r="I117" s="246"/>
      <c r="J117" s="219"/>
      <c r="K117" s="219"/>
      <c r="L117" s="220"/>
      <c r="M117" s="45"/>
      <c r="N117" s="45"/>
      <c r="O117" s="2436"/>
      <c r="P117" s="31"/>
      <c r="Q117" s="31"/>
      <c r="R117" s="144"/>
      <c r="U117" s="13"/>
    </row>
    <row r="118" spans="1:24" ht="13.5" thickBot="1" x14ac:dyDescent="0.25">
      <c r="A118" s="2452"/>
      <c r="B118" s="2522"/>
      <c r="C118" s="2525"/>
      <c r="D118" s="2527"/>
      <c r="E118" s="2530"/>
      <c r="F118" s="2507"/>
      <c r="G118" s="2465"/>
      <c r="H118" s="280" t="s">
        <v>10</v>
      </c>
      <c r="I118" s="242">
        <f t="shared" ref="I118:N118" si="5">SUM(I116:I116)</f>
        <v>5</v>
      </c>
      <c r="J118" s="237">
        <f t="shared" si="5"/>
        <v>5</v>
      </c>
      <c r="K118" s="237">
        <f t="shared" si="5"/>
        <v>0</v>
      </c>
      <c r="L118" s="237">
        <f t="shared" si="5"/>
        <v>0</v>
      </c>
      <c r="M118" s="278">
        <f t="shared" si="5"/>
        <v>5</v>
      </c>
      <c r="N118" s="278">
        <f t="shared" si="5"/>
        <v>5</v>
      </c>
      <c r="O118" s="2532"/>
      <c r="P118" s="633"/>
      <c r="Q118" s="633"/>
      <c r="R118" s="635"/>
      <c r="U118" s="13"/>
    </row>
    <row r="119" spans="1:24" x14ac:dyDescent="0.2">
      <c r="A119" s="2457" t="s">
        <v>9</v>
      </c>
      <c r="B119" s="2520" t="s">
        <v>11</v>
      </c>
      <c r="C119" s="2523" t="s">
        <v>38</v>
      </c>
      <c r="D119" s="2526" t="s">
        <v>104</v>
      </c>
      <c r="E119" s="2528"/>
      <c r="F119" s="2506" t="s">
        <v>54</v>
      </c>
      <c r="G119" s="2451" t="s">
        <v>40</v>
      </c>
      <c r="H119" s="417" t="s">
        <v>36</v>
      </c>
      <c r="I119" s="418">
        <f>J119+L119</f>
        <v>90</v>
      </c>
      <c r="J119" s="419">
        <v>90</v>
      </c>
      <c r="K119" s="419"/>
      <c r="L119" s="269"/>
      <c r="M119" s="338">
        <v>46</v>
      </c>
      <c r="N119" s="338">
        <v>46</v>
      </c>
      <c r="O119" s="2470" t="s">
        <v>76</v>
      </c>
      <c r="P119" s="632">
        <v>350</v>
      </c>
      <c r="Q119" s="632">
        <v>350</v>
      </c>
      <c r="R119" s="634">
        <v>350</v>
      </c>
      <c r="U119" s="13"/>
    </row>
    <row r="120" spans="1:24" x14ac:dyDescent="0.2">
      <c r="A120" s="2412"/>
      <c r="B120" s="2521"/>
      <c r="C120" s="2524"/>
      <c r="D120" s="2513"/>
      <c r="E120" s="2529"/>
      <c r="F120" s="2417"/>
      <c r="G120" s="2381"/>
      <c r="H120" s="20"/>
      <c r="I120" s="318"/>
      <c r="J120" s="259"/>
      <c r="K120" s="259"/>
      <c r="L120" s="220"/>
      <c r="M120" s="69"/>
      <c r="N120" s="69"/>
      <c r="O120" s="2436"/>
      <c r="P120" s="31"/>
      <c r="Q120" s="31"/>
      <c r="R120" s="144"/>
      <c r="U120" s="13"/>
    </row>
    <row r="121" spans="1:24" x14ac:dyDescent="0.2">
      <c r="A121" s="2412"/>
      <c r="B121" s="2521"/>
      <c r="C121" s="2524"/>
      <c r="D121" s="2513"/>
      <c r="E121" s="2529"/>
      <c r="F121" s="2417"/>
      <c r="G121" s="2381"/>
      <c r="H121" s="20"/>
      <c r="I121" s="318"/>
      <c r="J121" s="259"/>
      <c r="K121" s="259"/>
      <c r="L121" s="220"/>
      <c r="M121" s="69"/>
      <c r="N121" s="69"/>
      <c r="O121" s="2436" t="s">
        <v>77</v>
      </c>
      <c r="P121" s="31">
        <v>30</v>
      </c>
      <c r="Q121" s="31">
        <v>30</v>
      </c>
      <c r="R121" s="144">
        <v>30</v>
      </c>
      <c r="U121" s="13"/>
    </row>
    <row r="122" spans="1:24" x14ac:dyDescent="0.2">
      <c r="A122" s="2412"/>
      <c r="B122" s="2521"/>
      <c r="C122" s="2524"/>
      <c r="D122" s="2513"/>
      <c r="E122" s="2529"/>
      <c r="F122" s="2417"/>
      <c r="G122" s="2381"/>
      <c r="H122" s="20"/>
      <c r="I122" s="260"/>
      <c r="J122" s="259"/>
      <c r="K122" s="259"/>
      <c r="L122" s="220"/>
      <c r="M122" s="35"/>
      <c r="N122" s="35"/>
      <c r="O122" s="2436"/>
      <c r="P122" s="31"/>
      <c r="Q122" s="31"/>
      <c r="R122" s="144"/>
      <c r="U122" s="13"/>
    </row>
    <row r="123" spans="1:24" ht="13.5" thickBot="1" x14ac:dyDescent="0.25">
      <c r="A123" s="2452"/>
      <c r="B123" s="2522"/>
      <c r="C123" s="2525"/>
      <c r="D123" s="2527"/>
      <c r="E123" s="2530"/>
      <c r="F123" s="2507"/>
      <c r="G123" s="2465"/>
      <c r="H123" s="280" t="s">
        <v>10</v>
      </c>
      <c r="I123" s="261">
        <f t="shared" ref="I123:N123" si="6">SUM(I119:I122)</f>
        <v>90</v>
      </c>
      <c r="J123" s="262">
        <f t="shared" si="6"/>
        <v>90</v>
      </c>
      <c r="K123" s="262">
        <f t="shared" si="6"/>
        <v>0</v>
      </c>
      <c r="L123" s="237">
        <f t="shared" si="6"/>
        <v>0</v>
      </c>
      <c r="M123" s="278">
        <f t="shared" si="6"/>
        <v>46</v>
      </c>
      <c r="N123" s="278">
        <f t="shared" si="6"/>
        <v>46</v>
      </c>
      <c r="O123" s="18" t="s">
        <v>139</v>
      </c>
      <c r="P123" s="633">
        <v>30</v>
      </c>
      <c r="Q123" s="633">
        <v>30</v>
      </c>
      <c r="R123" s="635">
        <v>30</v>
      </c>
      <c r="U123" s="13"/>
    </row>
    <row r="124" spans="1:24" x14ac:dyDescent="0.2">
      <c r="A124" s="2457" t="s">
        <v>9</v>
      </c>
      <c r="B124" s="2520" t="s">
        <v>11</v>
      </c>
      <c r="C124" s="2523" t="s">
        <v>53</v>
      </c>
      <c r="D124" s="2526" t="s">
        <v>80</v>
      </c>
      <c r="E124" s="2528"/>
      <c r="F124" s="2506" t="s">
        <v>54</v>
      </c>
      <c r="G124" s="2451" t="s">
        <v>40</v>
      </c>
      <c r="H124" s="19" t="s">
        <v>36</v>
      </c>
      <c r="I124" s="257">
        <f>J124+L124</f>
        <v>6</v>
      </c>
      <c r="J124" s="258">
        <v>6</v>
      </c>
      <c r="K124" s="258"/>
      <c r="L124" s="230"/>
      <c r="M124" s="41">
        <v>6</v>
      </c>
      <c r="N124" s="41">
        <v>6</v>
      </c>
      <c r="O124" s="2470" t="s">
        <v>81</v>
      </c>
      <c r="P124" s="632">
        <v>20</v>
      </c>
      <c r="Q124" s="632">
        <v>20</v>
      </c>
      <c r="R124" s="634">
        <v>20</v>
      </c>
      <c r="U124" s="13"/>
    </row>
    <row r="125" spans="1:24" x14ac:dyDescent="0.2">
      <c r="A125" s="2412"/>
      <c r="B125" s="2521"/>
      <c r="C125" s="2524"/>
      <c r="D125" s="2513"/>
      <c r="E125" s="2529"/>
      <c r="F125" s="2417"/>
      <c r="G125" s="2381"/>
      <c r="H125" s="26"/>
      <c r="I125" s="235">
        <f>J125+L125</f>
        <v>0</v>
      </c>
      <c r="J125" s="259"/>
      <c r="K125" s="259"/>
      <c r="L125" s="220"/>
      <c r="M125" s="69"/>
      <c r="N125" s="69"/>
      <c r="O125" s="2436"/>
      <c r="P125" s="31"/>
      <c r="Q125" s="31"/>
      <c r="R125" s="144"/>
      <c r="U125" s="13"/>
    </row>
    <row r="126" spans="1:24" ht="13.5" thickBot="1" x14ac:dyDescent="0.25">
      <c r="A126" s="2452"/>
      <c r="B126" s="2522"/>
      <c r="C126" s="2525"/>
      <c r="D126" s="2527"/>
      <c r="E126" s="2530"/>
      <c r="F126" s="2507"/>
      <c r="G126" s="2465"/>
      <c r="H126" s="280" t="s">
        <v>10</v>
      </c>
      <c r="I126" s="261">
        <f t="shared" ref="I126:N126" si="7">SUM(I124:I125)</f>
        <v>6</v>
      </c>
      <c r="J126" s="262">
        <f t="shared" si="7"/>
        <v>6</v>
      </c>
      <c r="K126" s="262">
        <f t="shared" si="7"/>
        <v>0</v>
      </c>
      <c r="L126" s="237">
        <f t="shared" si="7"/>
        <v>0</v>
      </c>
      <c r="M126" s="278">
        <f t="shared" si="7"/>
        <v>6</v>
      </c>
      <c r="N126" s="278">
        <f t="shared" si="7"/>
        <v>6</v>
      </c>
      <c r="O126" s="18"/>
      <c r="P126" s="633"/>
      <c r="Q126" s="633"/>
      <c r="R126" s="635"/>
      <c r="U126" s="13"/>
    </row>
    <row r="127" spans="1:24" x14ac:dyDescent="0.2">
      <c r="A127" s="2457" t="s">
        <v>9</v>
      </c>
      <c r="B127" s="2520" t="s">
        <v>11</v>
      </c>
      <c r="C127" s="2523" t="s">
        <v>54</v>
      </c>
      <c r="D127" s="2536" t="s">
        <v>89</v>
      </c>
      <c r="E127" s="2493" t="s">
        <v>91</v>
      </c>
      <c r="F127" s="2506" t="s">
        <v>41</v>
      </c>
      <c r="G127" s="2451" t="s">
        <v>90</v>
      </c>
      <c r="H127" s="281" t="s">
        <v>36</v>
      </c>
      <c r="I127" s="257">
        <f>J127+L127</f>
        <v>75.2</v>
      </c>
      <c r="J127" s="258"/>
      <c r="K127" s="258"/>
      <c r="L127" s="230">
        <v>75.2</v>
      </c>
      <c r="M127" s="46"/>
      <c r="N127" s="46"/>
      <c r="O127" s="2470" t="s">
        <v>138</v>
      </c>
      <c r="P127" s="2534"/>
      <c r="Q127" s="632"/>
      <c r="R127" s="634"/>
      <c r="U127" s="13"/>
      <c r="V127" s="14"/>
      <c r="W127" s="14"/>
      <c r="X127" s="14"/>
    </row>
    <row r="128" spans="1:24" x14ac:dyDescent="0.2">
      <c r="A128" s="2412"/>
      <c r="B128" s="2521"/>
      <c r="C128" s="2524"/>
      <c r="D128" s="2537"/>
      <c r="E128" s="2494"/>
      <c r="F128" s="2417"/>
      <c r="G128" s="2381"/>
      <c r="H128" s="282" t="s">
        <v>130</v>
      </c>
      <c r="I128" s="235">
        <f>J128+L128</f>
        <v>400</v>
      </c>
      <c r="J128" s="259"/>
      <c r="K128" s="259"/>
      <c r="L128" s="220">
        <v>400</v>
      </c>
      <c r="M128" s="69"/>
      <c r="N128" s="69"/>
      <c r="O128" s="2436"/>
      <c r="P128" s="2535"/>
      <c r="Q128" s="31"/>
      <c r="R128" s="144"/>
      <c r="U128" s="13"/>
      <c r="V128" s="14"/>
      <c r="W128" s="14"/>
      <c r="X128" s="14"/>
    </row>
    <row r="129" spans="1:32" ht="13.5" thickBot="1" x14ac:dyDescent="0.25">
      <c r="A129" s="2452"/>
      <c r="B129" s="2522"/>
      <c r="C129" s="2525"/>
      <c r="D129" s="2538"/>
      <c r="E129" s="2533"/>
      <c r="F129" s="2507"/>
      <c r="G129" s="2465"/>
      <c r="H129" s="280" t="s">
        <v>10</v>
      </c>
      <c r="I129" s="261">
        <f t="shared" ref="I129:N129" si="8">SUM(I127:I128)</f>
        <v>475.2</v>
      </c>
      <c r="J129" s="262">
        <f t="shared" si="8"/>
        <v>0</v>
      </c>
      <c r="K129" s="262">
        <f t="shared" si="8"/>
        <v>0</v>
      </c>
      <c r="L129" s="237">
        <f t="shared" si="8"/>
        <v>475.2</v>
      </c>
      <c r="M129" s="278">
        <f t="shared" si="8"/>
        <v>0</v>
      </c>
      <c r="N129" s="278">
        <f t="shared" si="8"/>
        <v>0</v>
      </c>
      <c r="O129" s="2466"/>
      <c r="P129" s="420">
        <v>100</v>
      </c>
      <c r="Q129" s="633"/>
      <c r="R129" s="635"/>
      <c r="U129" s="13"/>
      <c r="V129" s="14"/>
      <c r="W129" s="14"/>
      <c r="X129" s="14"/>
    </row>
    <row r="130" spans="1:32" x14ac:dyDescent="0.2">
      <c r="A130" s="2457" t="s">
        <v>9</v>
      </c>
      <c r="B130" s="2520" t="s">
        <v>11</v>
      </c>
      <c r="C130" s="2523" t="s">
        <v>41</v>
      </c>
      <c r="D130" s="2539" t="s">
        <v>96</v>
      </c>
      <c r="E130" s="2528"/>
      <c r="F130" s="2506" t="s">
        <v>54</v>
      </c>
      <c r="G130" s="2451" t="s">
        <v>40</v>
      </c>
      <c r="H130" s="281" t="s">
        <v>36</v>
      </c>
      <c r="I130" s="239">
        <f>J130+L130</f>
        <v>100.3</v>
      </c>
      <c r="J130" s="229">
        <v>100.3</v>
      </c>
      <c r="K130" s="229"/>
      <c r="L130" s="230"/>
      <c r="M130" s="41">
        <v>100</v>
      </c>
      <c r="N130" s="41"/>
      <c r="O130" s="618" t="s">
        <v>78</v>
      </c>
      <c r="P130" s="632"/>
      <c r="Q130" s="632">
        <v>1</v>
      </c>
      <c r="R130" s="634"/>
      <c r="U130" s="13"/>
      <c r="V130" s="14"/>
      <c r="W130" s="14"/>
      <c r="X130" s="14"/>
    </row>
    <row r="131" spans="1:32" x14ac:dyDescent="0.2">
      <c r="A131" s="2412"/>
      <c r="B131" s="2521"/>
      <c r="C131" s="2524"/>
      <c r="D131" s="2540"/>
      <c r="E131" s="2529"/>
      <c r="F131" s="2417"/>
      <c r="G131" s="2381"/>
      <c r="H131" s="282"/>
      <c r="I131" s="233">
        <f>J131+L131</f>
        <v>0</v>
      </c>
      <c r="J131" s="219"/>
      <c r="K131" s="219"/>
      <c r="L131" s="220"/>
      <c r="M131" s="69"/>
      <c r="N131" s="69"/>
      <c r="O131" s="17"/>
      <c r="P131" s="31"/>
      <c r="Q131" s="31"/>
      <c r="R131" s="144"/>
      <c r="U131" s="13"/>
      <c r="V131" s="14"/>
      <c r="W131" s="14"/>
      <c r="X131" s="14"/>
    </row>
    <row r="132" spans="1:32" ht="13.5" thickBot="1" x14ac:dyDescent="0.25">
      <c r="A132" s="2452"/>
      <c r="B132" s="2522"/>
      <c r="C132" s="2525"/>
      <c r="D132" s="2541"/>
      <c r="E132" s="2530"/>
      <c r="F132" s="2507"/>
      <c r="G132" s="2465"/>
      <c r="H132" s="280" t="s">
        <v>10</v>
      </c>
      <c r="I132" s="242">
        <f t="shared" ref="I132:N132" si="9">SUM(I130:I131)</f>
        <v>100.3</v>
      </c>
      <c r="J132" s="237">
        <f t="shared" si="9"/>
        <v>100.3</v>
      </c>
      <c r="K132" s="237">
        <f t="shared" si="9"/>
        <v>0</v>
      </c>
      <c r="L132" s="237">
        <f t="shared" si="9"/>
        <v>0</v>
      </c>
      <c r="M132" s="278">
        <f t="shared" si="9"/>
        <v>100</v>
      </c>
      <c r="N132" s="278">
        <f t="shared" si="9"/>
        <v>0</v>
      </c>
      <c r="O132" s="18"/>
      <c r="P132" s="633"/>
      <c r="Q132" s="633"/>
      <c r="R132" s="635"/>
      <c r="U132" s="13"/>
      <c r="V132" s="14"/>
      <c r="W132" s="14"/>
      <c r="X132" s="14"/>
    </row>
    <row r="133" spans="1:32" x14ac:dyDescent="0.2">
      <c r="A133" s="2457" t="s">
        <v>9</v>
      </c>
      <c r="B133" s="2520" t="s">
        <v>11</v>
      </c>
      <c r="C133" s="2523" t="s">
        <v>55</v>
      </c>
      <c r="D133" s="2539" t="s">
        <v>107</v>
      </c>
      <c r="E133" s="2528"/>
      <c r="F133" s="2506" t="s">
        <v>54</v>
      </c>
      <c r="G133" s="2451" t="s">
        <v>40</v>
      </c>
      <c r="H133" s="19" t="s">
        <v>36</v>
      </c>
      <c r="I133" s="239">
        <f>J133+L133</f>
        <v>20</v>
      </c>
      <c r="J133" s="229">
        <v>20</v>
      </c>
      <c r="K133" s="229"/>
      <c r="L133" s="230"/>
      <c r="M133" s="41"/>
      <c r="N133" s="41"/>
      <c r="O133" s="618" t="s">
        <v>79</v>
      </c>
      <c r="P133" s="632">
        <v>150</v>
      </c>
      <c r="Q133" s="632"/>
      <c r="R133" s="634"/>
      <c r="U133" s="13"/>
    </row>
    <row r="134" spans="1:32" x14ac:dyDescent="0.2">
      <c r="A134" s="2412"/>
      <c r="B134" s="2521"/>
      <c r="C134" s="2524"/>
      <c r="D134" s="2540"/>
      <c r="E134" s="2529"/>
      <c r="F134" s="2417"/>
      <c r="G134" s="2381"/>
      <c r="H134" s="26"/>
      <c r="I134" s="233">
        <f>J134+L134</f>
        <v>0</v>
      </c>
      <c r="J134" s="219"/>
      <c r="K134" s="219"/>
      <c r="L134" s="220"/>
      <c r="M134" s="69"/>
      <c r="N134" s="69"/>
      <c r="O134" s="17"/>
      <c r="P134" s="31"/>
      <c r="Q134" s="31"/>
      <c r="R134" s="144"/>
      <c r="U134" s="13"/>
    </row>
    <row r="135" spans="1:32" ht="13.5" thickBot="1" x14ac:dyDescent="0.25">
      <c r="A135" s="2452"/>
      <c r="B135" s="2522"/>
      <c r="C135" s="2525"/>
      <c r="D135" s="2541"/>
      <c r="E135" s="2530"/>
      <c r="F135" s="2507"/>
      <c r="G135" s="2465"/>
      <c r="H135" s="280" t="s">
        <v>10</v>
      </c>
      <c r="I135" s="242">
        <f t="shared" ref="I135:N135" si="10">SUM(I133:I134)</f>
        <v>20</v>
      </c>
      <c r="J135" s="237">
        <f t="shared" si="10"/>
        <v>20</v>
      </c>
      <c r="K135" s="237">
        <f t="shared" si="10"/>
        <v>0</v>
      </c>
      <c r="L135" s="237">
        <f t="shared" si="10"/>
        <v>0</v>
      </c>
      <c r="M135" s="278">
        <f t="shared" si="10"/>
        <v>0</v>
      </c>
      <c r="N135" s="278">
        <f t="shared" si="10"/>
        <v>0</v>
      </c>
      <c r="O135" s="18"/>
      <c r="P135" s="633"/>
      <c r="Q135" s="633"/>
      <c r="R135" s="635"/>
      <c r="U135" s="13"/>
    </row>
    <row r="136" spans="1:32" ht="13.5" thickBot="1" x14ac:dyDescent="0.25">
      <c r="A136" s="99" t="s">
        <v>9</v>
      </c>
      <c r="B136" s="11" t="s">
        <v>11</v>
      </c>
      <c r="C136" s="2516" t="s">
        <v>12</v>
      </c>
      <c r="D136" s="2516"/>
      <c r="E136" s="2516"/>
      <c r="F136" s="2516"/>
      <c r="G136" s="2516"/>
      <c r="H136" s="2542"/>
      <c r="I136" s="24">
        <f t="shared" ref="I136:N136" si="11">SUM(I129,I126,I135,I132,I123,I118,I115)</f>
        <v>1210</v>
      </c>
      <c r="J136" s="24">
        <f t="shared" si="11"/>
        <v>734.8</v>
      </c>
      <c r="K136" s="24">
        <f t="shared" si="11"/>
        <v>0</v>
      </c>
      <c r="L136" s="24">
        <f t="shared" si="11"/>
        <v>475.2</v>
      </c>
      <c r="M136" s="24">
        <f t="shared" si="11"/>
        <v>739</v>
      </c>
      <c r="N136" s="24">
        <f t="shared" si="11"/>
        <v>639</v>
      </c>
      <c r="O136" s="2543"/>
      <c r="P136" s="2544"/>
      <c r="Q136" s="2544"/>
      <c r="R136" s="2545"/>
      <c r="V136" s="14"/>
      <c r="W136" s="14"/>
      <c r="X136" s="14"/>
      <c r="Y136" s="14"/>
      <c r="Z136" s="14"/>
      <c r="AA136" s="14"/>
      <c r="AB136" s="14"/>
      <c r="AC136" s="14"/>
      <c r="AD136" s="14"/>
      <c r="AE136" s="14"/>
      <c r="AF136" s="14"/>
    </row>
    <row r="137" spans="1:32" ht="13.5" thickBot="1" x14ac:dyDescent="0.25">
      <c r="A137" s="93" t="s">
        <v>9</v>
      </c>
      <c r="B137" s="11" t="s">
        <v>38</v>
      </c>
      <c r="C137" s="2517" t="s">
        <v>72</v>
      </c>
      <c r="D137" s="2518"/>
      <c r="E137" s="2518"/>
      <c r="F137" s="2518"/>
      <c r="G137" s="2518"/>
      <c r="H137" s="2518"/>
      <c r="I137" s="2518"/>
      <c r="J137" s="2518"/>
      <c r="K137" s="2518"/>
      <c r="L137" s="2518"/>
      <c r="M137" s="2518"/>
      <c r="N137" s="2518"/>
      <c r="O137" s="2518"/>
      <c r="P137" s="2518"/>
      <c r="Q137" s="2518"/>
      <c r="R137" s="2519"/>
      <c r="V137" s="14"/>
      <c r="W137" s="14"/>
      <c r="X137" s="14"/>
      <c r="Y137" s="14"/>
      <c r="Z137" s="14"/>
      <c r="AA137" s="14"/>
      <c r="AB137" s="14"/>
      <c r="AC137" s="14"/>
      <c r="AD137" s="14"/>
      <c r="AE137" s="14"/>
      <c r="AF137" s="14"/>
    </row>
    <row r="138" spans="1:32" x14ac:dyDescent="0.2">
      <c r="A138" s="2457" t="s">
        <v>9</v>
      </c>
      <c r="B138" s="2520" t="s">
        <v>38</v>
      </c>
      <c r="C138" s="2523" t="s">
        <v>9</v>
      </c>
      <c r="D138" s="2526" t="s">
        <v>82</v>
      </c>
      <c r="E138" s="2546"/>
      <c r="F138" s="2506" t="s">
        <v>54</v>
      </c>
      <c r="G138" s="2487" t="s">
        <v>40</v>
      </c>
      <c r="H138" s="281" t="s">
        <v>36</v>
      </c>
      <c r="I138" s="239">
        <f>J138+L138</f>
        <v>1233.5</v>
      </c>
      <c r="J138" s="229">
        <v>1233.5</v>
      </c>
      <c r="K138" s="229"/>
      <c r="L138" s="230"/>
      <c r="M138" s="46">
        <v>2006.3</v>
      </c>
      <c r="N138" s="46">
        <v>2006.3</v>
      </c>
      <c r="O138" s="2470" t="s">
        <v>198</v>
      </c>
      <c r="P138" s="43">
        <v>3.7</v>
      </c>
      <c r="Q138" s="43">
        <v>3.7</v>
      </c>
      <c r="R138" s="44">
        <v>3.7</v>
      </c>
      <c r="U138" s="13"/>
      <c r="V138" s="14"/>
      <c r="W138" s="14"/>
      <c r="X138" s="14"/>
      <c r="Y138" s="14"/>
      <c r="Z138" s="14"/>
      <c r="AA138" s="14"/>
      <c r="AB138" s="14"/>
      <c r="AC138" s="14"/>
      <c r="AD138" s="14"/>
      <c r="AE138" s="14"/>
      <c r="AF138" s="14"/>
    </row>
    <row r="139" spans="1:32" x14ac:dyDescent="0.2">
      <c r="A139" s="2412"/>
      <c r="B139" s="2521"/>
      <c r="C139" s="2524"/>
      <c r="D139" s="2513"/>
      <c r="E139" s="2416"/>
      <c r="F139" s="2417"/>
      <c r="G139" s="2488"/>
      <c r="H139" s="282"/>
      <c r="I139" s="233">
        <f>J139+L139</f>
        <v>0</v>
      </c>
      <c r="J139" s="219"/>
      <c r="K139" s="219"/>
      <c r="L139" s="220"/>
      <c r="M139" s="69"/>
      <c r="N139" s="69"/>
      <c r="O139" s="2436"/>
      <c r="P139" s="42"/>
      <c r="Q139" s="31"/>
      <c r="R139" s="144"/>
      <c r="U139" s="13"/>
      <c r="V139" s="14"/>
      <c r="W139" s="14"/>
      <c r="X139" s="14"/>
      <c r="Y139" s="14"/>
      <c r="Z139" s="14"/>
      <c r="AA139" s="14"/>
      <c r="AB139" s="14"/>
      <c r="AC139" s="14"/>
      <c r="AD139" s="14"/>
      <c r="AE139" s="14"/>
      <c r="AF139" s="14"/>
    </row>
    <row r="140" spans="1:32" x14ac:dyDescent="0.2">
      <c r="A140" s="2412"/>
      <c r="B140" s="2521"/>
      <c r="C140" s="2524"/>
      <c r="D140" s="2513"/>
      <c r="E140" s="2416"/>
      <c r="F140" s="2417"/>
      <c r="G140" s="2488"/>
      <c r="H140" s="365"/>
      <c r="I140" s="215">
        <f>J140+L140</f>
        <v>0</v>
      </c>
      <c r="J140" s="224"/>
      <c r="K140" s="224"/>
      <c r="L140" s="225"/>
      <c r="M140" s="23"/>
      <c r="N140" s="23"/>
      <c r="O140" s="2436"/>
      <c r="P140" s="31"/>
      <c r="Q140" s="31"/>
      <c r="R140" s="144"/>
      <c r="U140" s="13"/>
      <c r="V140" s="14"/>
      <c r="W140" s="14"/>
      <c r="X140" s="14"/>
      <c r="Y140" s="14"/>
      <c r="Z140" s="14"/>
      <c r="AA140" s="14"/>
      <c r="AB140" s="14"/>
      <c r="AC140" s="14"/>
      <c r="AD140" s="14"/>
      <c r="AE140" s="14"/>
      <c r="AF140" s="14"/>
    </row>
    <row r="141" spans="1:32" ht="13.5" thickBot="1" x14ac:dyDescent="0.25">
      <c r="A141" s="2452"/>
      <c r="B141" s="2522"/>
      <c r="C141" s="2525"/>
      <c r="D141" s="2527"/>
      <c r="E141" s="2547"/>
      <c r="F141" s="2507"/>
      <c r="G141" s="2489"/>
      <c r="H141" s="280" t="s">
        <v>10</v>
      </c>
      <c r="I141" s="242">
        <f t="shared" ref="I141:N141" si="12">SUM(I138:I140)</f>
        <v>1233.5</v>
      </c>
      <c r="J141" s="237">
        <f t="shared" si="12"/>
        <v>1233.5</v>
      </c>
      <c r="K141" s="237">
        <f t="shared" si="12"/>
        <v>0</v>
      </c>
      <c r="L141" s="237">
        <f t="shared" si="12"/>
        <v>0</v>
      </c>
      <c r="M141" s="278">
        <f t="shared" si="12"/>
        <v>2006.3</v>
      </c>
      <c r="N141" s="278">
        <f t="shared" si="12"/>
        <v>2006.3</v>
      </c>
      <c r="O141" s="2466"/>
      <c r="P141" s="633"/>
      <c r="Q141" s="633"/>
      <c r="R141" s="635"/>
      <c r="U141" s="13"/>
      <c r="V141" s="14"/>
      <c r="W141" s="14"/>
      <c r="X141" s="14"/>
      <c r="Y141" s="14"/>
      <c r="Z141" s="14"/>
      <c r="AA141" s="14"/>
      <c r="AB141" s="14"/>
      <c r="AC141" s="14"/>
      <c r="AD141" s="14"/>
      <c r="AE141" s="14"/>
      <c r="AF141" s="14"/>
    </row>
    <row r="142" spans="1:32" x14ac:dyDescent="0.2">
      <c r="A142" s="2457" t="s">
        <v>9</v>
      </c>
      <c r="B142" s="2520" t="s">
        <v>38</v>
      </c>
      <c r="C142" s="2523" t="s">
        <v>11</v>
      </c>
      <c r="D142" s="2526" t="s">
        <v>39</v>
      </c>
      <c r="E142" s="2546"/>
      <c r="F142" s="2506" t="s">
        <v>41</v>
      </c>
      <c r="G142" s="2487" t="s">
        <v>40</v>
      </c>
      <c r="H142" s="281" t="s">
        <v>36</v>
      </c>
      <c r="I142" s="239">
        <f>J142+L142</f>
        <v>0</v>
      </c>
      <c r="J142" s="229"/>
      <c r="K142" s="229"/>
      <c r="L142" s="230"/>
      <c r="M142" s="46"/>
      <c r="N142" s="46"/>
      <c r="O142" s="2470" t="s">
        <v>106</v>
      </c>
      <c r="P142" s="632"/>
      <c r="Q142" s="632" t="s">
        <v>42</v>
      </c>
      <c r="R142" s="634" t="s">
        <v>42</v>
      </c>
      <c r="U142" s="13"/>
      <c r="V142" s="14"/>
      <c r="W142" s="14"/>
      <c r="X142" s="14"/>
      <c r="Y142" s="14"/>
      <c r="Z142" s="14"/>
      <c r="AA142" s="14"/>
      <c r="AB142" s="14"/>
      <c r="AC142" s="14"/>
      <c r="AD142" s="14"/>
      <c r="AE142" s="14"/>
      <c r="AF142" s="14"/>
    </row>
    <row r="143" spans="1:32" x14ac:dyDescent="0.2">
      <c r="A143" s="2412"/>
      <c r="B143" s="2521"/>
      <c r="C143" s="2524"/>
      <c r="D143" s="2513"/>
      <c r="E143" s="2416"/>
      <c r="F143" s="2417"/>
      <c r="G143" s="2488"/>
      <c r="H143" s="282"/>
      <c r="I143" s="233">
        <f>J143+L143</f>
        <v>0</v>
      </c>
      <c r="J143" s="219">
        <v>0</v>
      </c>
      <c r="K143" s="219"/>
      <c r="L143" s="220"/>
      <c r="M143" s="69"/>
      <c r="N143" s="69"/>
      <c r="O143" s="2436"/>
      <c r="P143" s="31"/>
      <c r="Q143" s="31"/>
      <c r="R143" s="144"/>
      <c r="U143" s="13"/>
      <c r="V143" s="14"/>
      <c r="W143" s="14"/>
      <c r="X143" s="14"/>
      <c r="Y143" s="14"/>
      <c r="Z143" s="14"/>
      <c r="AA143" s="14"/>
      <c r="AB143" s="14"/>
      <c r="AC143" s="14"/>
      <c r="AD143" s="14"/>
      <c r="AE143" s="14"/>
      <c r="AF143" s="14"/>
    </row>
    <row r="144" spans="1:32" ht="13.5" thickBot="1" x14ac:dyDescent="0.25">
      <c r="A144" s="2452"/>
      <c r="B144" s="2522"/>
      <c r="C144" s="2525"/>
      <c r="D144" s="2527"/>
      <c r="E144" s="2547"/>
      <c r="F144" s="2507"/>
      <c r="G144" s="2489"/>
      <c r="H144" s="280" t="s">
        <v>10</v>
      </c>
      <c r="I144" s="242">
        <f t="shared" ref="I144:N144" si="13">SUM(I142:I143)</f>
        <v>0</v>
      </c>
      <c r="J144" s="237">
        <f t="shared" si="13"/>
        <v>0</v>
      </c>
      <c r="K144" s="237">
        <f t="shared" si="13"/>
        <v>0</v>
      </c>
      <c r="L144" s="237">
        <f t="shared" si="13"/>
        <v>0</v>
      </c>
      <c r="M144" s="278">
        <f t="shared" si="13"/>
        <v>0</v>
      </c>
      <c r="N144" s="278">
        <f t="shared" si="13"/>
        <v>0</v>
      </c>
      <c r="O144" s="18"/>
      <c r="P144" s="633"/>
      <c r="Q144" s="633"/>
      <c r="R144" s="635"/>
      <c r="U144" s="13"/>
      <c r="V144" s="14"/>
      <c r="W144" s="14"/>
      <c r="X144" s="14"/>
      <c r="Y144" s="14"/>
      <c r="Z144" s="14"/>
      <c r="AA144" s="14"/>
      <c r="AB144" s="14"/>
      <c r="AC144" s="14"/>
      <c r="AD144" s="14"/>
      <c r="AE144" s="14"/>
      <c r="AF144" s="14"/>
    </row>
    <row r="145" spans="1:32" x14ac:dyDescent="0.2">
      <c r="A145" s="2457" t="s">
        <v>9</v>
      </c>
      <c r="B145" s="2520" t="s">
        <v>38</v>
      </c>
      <c r="C145" s="2523" t="s">
        <v>38</v>
      </c>
      <c r="D145" s="2526" t="s">
        <v>43</v>
      </c>
      <c r="E145" s="2546"/>
      <c r="F145" s="2506" t="s">
        <v>44</v>
      </c>
      <c r="G145" s="2487" t="s">
        <v>40</v>
      </c>
      <c r="H145" s="281" t="s">
        <v>36</v>
      </c>
      <c r="I145" s="239">
        <f>J145+L145</f>
        <v>0</v>
      </c>
      <c r="J145" s="229"/>
      <c r="K145" s="229"/>
      <c r="L145" s="230"/>
      <c r="M145" s="46">
        <v>62</v>
      </c>
      <c r="N145" s="46">
        <v>62</v>
      </c>
      <c r="O145" s="2470" t="s">
        <v>45</v>
      </c>
      <c r="P145" s="632"/>
      <c r="Q145" s="632">
        <v>13</v>
      </c>
      <c r="R145" s="634">
        <v>13</v>
      </c>
      <c r="U145" s="13"/>
      <c r="V145" s="14"/>
      <c r="W145" s="14"/>
      <c r="X145" s="14"/>
      <c r="Y145" s="14"/>
      <c r="Z145" s="14"/>
      <c r="AA145" s="14"/>
      <c r="AB145" s="14"/>
      <c r="AC145" s="14"/>
      <c r="AD145" s="14"/>
      <c r="AE145" s="14"/>
      <c r="AF145" s="14"/>
    </row>
    <row r="146" spans="1:32" x14ac:dyDescent="0.2">
      <c r="A146" s="2412"/>
      <c r="B146" s="2521"/>
      <c r="C146" s="2524"/>
      <c r="D146" s="2513"/>
      <c r="E146" s="2416"/>
      <c r="F146" s="2417"/>
      <c r="G146" s="2488"/>
      <c r="H146" s="282"/>
      <c r="I146" s="233">
        <f>J146+L146</f>
        <v>0</v>
      </c>
      <c r="J146" s="219"/>
      <c r="K146" s="219"/>
      <c r="L146" s="220"/>
      <c r="M146" s="69"/>
      <c r="N146" s="69"/>
      <c r="O146" s="2436"/>
      <c r="P146" s="31"/>
      <c r="Q146" s="31"/>
      <c r="R146" s="144"/>
      <c r="U146" s="13"/>
      <c r="V146" s="14"/>
      <c r="W146" s="14"/>
      <c r="X146" s="14"/>
      <c r="Y146" s="14"/>
      <c r="Z146" s="14"/>
      <c r="AA146" s="14"/>
      <c r="AB146" s="14"/>
      <c r="AC146" s="14"/>
      <c r="AD146" s="14"/>
      <c r="AE146" s="14"/>
      <c r="AF146" s="14"/>
    </row>
    <row r="147" spans="1:32" ht="13.5" thickBot="1" x14ac:dyDescent="0.25">
      <c r="A147" s="2452"/>
      <c r="B147" s="2522"/>
      <c r="C147" s="2525"/>
      <c r="D147" s="2527"/>
      <c r="E147" s="2547"/>
      <c r="F147" s="2507"/>
      <c r="G147" s="2489"/>
      <c r="H147" s="280" t="s">
        <v>10</v>
      </c>
      <c r="I147" s="242">
        <f t="shared" ref="I147:N147" si="14">SUM(I145:I146)</f>
        <v>0</v>
      </c>
      <c r="J147" s="237">
        <f t="shared" si="14"/>
        <v>0</v>
      </c>
      <c r="K147" s="237">
        <f t="shared" si="14"/>
        <v>0</v>
      </c>
      <c r="L147" s="237">
        <f t="shared" si="14"/>
        <v>0</v>
      </c>
      <c r="M147" s="278">
        <f t="shared" si="14"/>
        <v>62</v>
      </c>
      <c r="N147" s="278">
        <f t="shared" si="14"/>
        <v>62</v>
      </c>
      <c r="O147" s="18"/>
      <c r="P147" s="633"/>
      <c r="Q147" s="633"/>
      <c r="R147" s="635"/>
      <c r="U147" s="13"/>
      <c r="V147" s="14"/>
      <c r="W147" s="14"/>
      <c r="X147" s="14"/>
      <c r="Y147" s="14"/>
      <c r="Z147" s="14"/>
      <c r="AA147" s="14"/>
      <c r="AB147" s="14"/>
      <c r="AC147" s="14"/>
      <c r="AD147" s="14"/>
      <c r="AE147" s="14"/>
      <c r="AF147" s="14"/>
    </row>
    <row r="148" spans="1:32" x14ac:dyDescent="0.2">
      <c r="A148" s="2457" t="s">
        <v>9</v>
      </c>
      <c r="B148" s="2520" t="s">
        <v>38</v>
      </c>
      <c r="C148" s="2523" t="s">
        <v>53</v>
      </c>
      <c r="D148" s="2467" t="s">
        <v>146</v>
      </c>
      <c r="E148" s="2546"/>
      <c r="F148" s="2555" t="s">
        <v>44</v>
      </c>
      <c r="G148" s="2548" t="s">
        <v>40</v>
      </c>
      <c r="H148" s="366" t="s">
        <v>92</v>
      </c>
      <c r="I148" s="263">
        <f>+J148+L148</f>
        <v>0</v>
      </c>
      <c r="J148" s="264">
        <v>0</v>
      </c>
      <c r="K148" s="264"/>
      <c r="L148" s="265">
        <v>0</v>
      </c>
      <c r="M148" s="111">
        <v>50</v>
      </c>
      <c r="N148" s="110">
        <v>50</v>
      </c>
      <c r="O148" s="2496" t="s">
        <v>150</v>
      </c>
      <c r="P148" s="2551"/>
      <c r="Q148" s="2551"/>
      <c r="R148" s="2553">
        <v>1</v>
      </c>
      <c r="T148" s="13"/>
      <c r="V148" s="14"/>
      <c r="W148" s="14"/>
      <c r="X148" s="14"/>
      <c r="Y148" s="14"/>
      <c r="Z148" s="14"/>
      <c r="AA148" s="14"/>
      <c r="AB148" s="14"/>
      <c r="AC148" s="14"/>
      <c r="AD148" s="14"/>
      <c r="AE148" s="14"/>
      <c r="AF148" s="14"/>
    </row>
    <row r="149" spans="1:32" ht="13.5" thickBot="1" x14ac:dyDescent="0.25">
      <c r="A149" s="2452"/>
      <c r="B149" s="2522"/>
      <c r="C149" s="2525"/>
      <c r="D149" s="2455"/>
      <c r="E149" s="2547"/>
      <c r="F149" s="2556"/>
      <c r="G149" s="2549"/>
      <c r="H149" s="280" t="s">
        <v>10</v>
      </c>
      <c r="I149" s="242">
        <f>+L149+J149</f>
        <v>0</v>
      </c>
      <c r="J149" s="242">
        <f>+J148</f>
        <v>0</v>
      </c>
      <c r="K149" s="242"/>
      <c r="L149" s="247">
        <f>+L148</f>
        <v>0</v>
      </c>
      <c r="M149" s="278">
        <f>+M148</f>
        <v>50</v>
      </c>
      <c r="N149" s="242">
        <f>+N148</f>
        <v>50</v>
      </c>
      <c r="O149" s="2550"/>
      <c r="P149" s="2552"/>
      <c r="Q149" s="2552"/>
      <c r="R149" s="2554"/>
      <c r="T149" s="13"/>
      <c r="V149" s="14"/>
      <c r="W149" s="14"/>
      <c r="X149" s="14"/>
      <c r="Y149" s="14"/>
      <c r="Z149" s="14"/>
      <c r="AA149" s="14"/>
      <c r="AB149" s="14"/>
      <c r="AC149" s="14"/>
      <c r="AD149" s="14"/>
      <c r="AE149" s="14"/>
      <c r="AF149" s="14"/>
    </row>
    <row r="150" spans="1:32" ht="13.5" thickBot="1" x14ac:dyDescent="0.25">
      <c r="A150" s="99" t="s">
        <v>9</v>
      </c>
      <c r="B150" s="11" t="s">
        <v>38</v>
      </c>
      <c r="C150" s="2516" t="s">
        <v>12</v>
      </c>
      <c r="D150" s="2516"/>
      <c r="E150" s="2516"/>
      <c r="F150" s="2516"/>
      <c r="G150" s="2516"/>
      <c r="H150" s="2542"/>
      <c r="I150" s="24">
        <f t="shared" ref="I150:N150" si="15">SUM(I147,I144,I141,I149)</f>
        <v>1233.5</v>
      </c>
      <c r="J150" s="24">
        <f t="shared" si="15"/>
        <v>1233.5</v>
      </c>
      <c r="K150" s="24">
        <f t="shared" si="15"/>
        <v>0</v>
      </c>
      <c r="L150" s="24">
        <f t="shared" si="15"/>
        <v>0</v>
      </c>
      <c r="M150" s="24">
        <f t="shared" si="15"/>
        <v>2118.3000000000002</v>
      </c>
      <c r="N150" s="24">
        <f t="shared" si="15"/>
        <v>2118.3000000000002</v>
      </c>
      <c r="O150" s="2543"/>
      <c r="P150" s="2544"/>
      <c r="Q150" s="2544"/>
      <c r="R150" s="2545"/>
      <c r="V150" s="14"/>
      <c r="W150" s="14"/>
      <c r="X150" s="14"/>
      <c r="Y150" s="14"/>
      <c r="Z150" s="14"/>
      <c r="AA150" s="14"/>
      <c r="AB150" s="14"/>
      <c r="AC150" s="14"/>
      <c r="AD150" s="14"/>
      <c r="AE150" s="14"/>
      <c r="AF150" s="14"/>
    </row>
    <row r="151" spans="1:32" ht="13.5" thickBot="1" x14ac:dyDescent="0.25">
      <c r="A151" s="93" t="s">
        <v>9</v>
      </c>
      <c r="B151" s="11" t="s">
        <v>53</v>
      </c>
      <c r="C151" s="2557" t="s">
        <v>73</v>
      </c>
      <c r="D151" s="2558"/>
      <c r="E151" s="2558"/>
      <c r="F151" s="2558"/>
      <c r="G151" s="2558"/>
      <c r="H151" s="2558"/>
      <c r="I151" s="2558"/>
      <c r="J151" s="2558"/>
      <c r="K151" s="2558"/>
      <c r="L151" s="2558"/>
      <c r="M151" s="2558"/>
      <c r="N151" s="2558"/>
      <c r="O151" s="2558"/>
      <c r="P151" s="2558"/>
      <c r="Q151" s="2558"/>
      <c r="R151" s="2559"/>
      <c r="V151" s="14"/>
      <c r="W151" s="14"/>
      <c r="X151" s="14"/>
      <c r="Y151" s="14"/>
      <c r="Z151" s="14"/>
      <c r="AA151" s="14"/>
      <c r="AB151" s="14"/>
      <c r="AC151" s="14"/>
      <c r="AD151" s="14"/>
      <c r="AE151" s="14"/>
      <c r="AF151" s="14"/>
    </row>
    <row r="152" spans="1:32" ht="25.5" x14ac:dyDescent="0.2">
      <c r="A152" s="619" t="s">
        <v>9</v>
      </c>
      <c r="B152" s="627" t="s">
        <v>53</v>
      </c>
      <c r="C152" s="647" t="s">
        <v>9</v>
      </c>
      <c r="D152" s="665" t="s">
        <v>166</v>
      </c>
      <c r="E152" s="505"/>
      <c r="F152" s="613"/>
      <c r="G152" s="615"/>
      <c r="H152" s="72"/>
      <c r="I152" s="266"/>
      <c r="J152" s="267"/>
      <c r="K152" s="268"/>
      <c r="L152" s="351"/>
      <c r="M152" s="370"/>
      <c r="N152" s="370"/>
      <c r="O152" s="73"/>
      <c r="P152" s="74"/>
      <c r="Q152" s="74"/>
      <c r="R152" s="634"/>
      <c r="S152" s="71"/>
      <c r="U152" s="13"/>
    </row>
    <row r="153" spans="1:32" x14ac:dyDescent="0.2">
      <c r="A153" s="2412"/>
      <c r="B153" s="2521"/>
      <c r="C153" s="2560"/>
      <c r="D153" s="2562" t="s">
        <v>134</v>
      </c>
      <c r="E153" s="2565" t="s">
        <v>91</v>
      </c>
      <c r="F153" s="2568" t="s">
        <v>54</v>
      </c>
      <c r="G153" s="2574" t="s">
        <v>90</v>
      </c>
      <c r="H153" s="511" t="s">
        <v>36</v>
      </c>
      <c r="I153" s="512">
        <v>200</v>
      </c>
      <c r="J153" s="513"/>
      <c r="K153" s="513"/>
      <c r="L153" s="530">
        <v>200</v>
      </c>
      <c r="M153" s="529">
        <v>100</v>
      </c>
      <c r="N153" s="514"/>
      <c r="O153" s="2577" t="s">
        <v>137</v>
      </c>
      <c r="P153" s="515"/>
      <c r="Q153" s="515"/>
      <c r="R153" s="125"/>
      <c r="U153" s="13"/>
    </row>
    <row r="154" spans="1:32" x14ac:dyDescent="0.2">
      <c r="A154" s="2412"/>
      <c r="B154" s="2521"/>
      <c r="C154" s="2560"/>
      <c r="D154" s="2563"/>
      <c r="E154" s="2566"/>
      <c r="F154" s="2569"/>
      <c r="G154" s="2575"/>
      <c r="H154" s="516"/>
      <c r="I154" s="517"/>
      <c r="J154" s="377"/>
      <c r="K154" s="377"/>
      <c r="L154" s="531"/>
      <c r="M154" s="518"/>
      <c r="N154" s="518"/>
      <c r="O154" s="2578"/>
      <c r="P154" s="519"/>
      <c r="Q154" s="520"/>
      <c r="R154" s="144"/>
      <c r="U154" s="13"/>
    </row>
    <row r="155" spans="1:32" ht="13.5" thickBot="1" x14ac:dyDescent="0.25">
      <c r="A155" s="2452"/>
      <c r="B155" s="2522"/>
      <c r="C155" s="2561"/>
      <c r="D155" s="2564"/>
      <c r="E155" s="2567"/>
      <c r="F155" s="2570"/>
      <c r="G155" s="2576"/>
      <c r="H155" s="521"/>
      <c r="I155" s="522"/>
      <c r="J155" s="523"/>
      <c r="K155" s="523"/>
      <c r="L155" s="532"/>
      <c r="M155" s="524"/>
      <c r="N155" s="524"/>
      <c r="O155" s="2579"/>
      <c r="P155" s="525">
        <v>50</v>
      </c>
      <c r="Q155" s="526">
        <v>50</v>
      </c>
      <c r="R155" s="635"/>
      <c r="U155" s="13"/>
    </row>
    <row r="156" spans="1:32" x14ac:dyDescent="0.2">
      <c r="A156" s="2580"/>
      <c r="B156" s="2582"/>
      <c r="C156" s="2584"/>
      <c r="D156" s="2467" t="s">
        <v>83</v>
      </c>
      <c r="E156" s="2546"/>
      <c r="F156" s="2506" t="s">
        <v>54</v>
      </c>
      <c r="G156" s="2572" t="s">
        <v>40</v>
      </c>
      <c r="H156" s="421" t="s">
        <v>36</v>
      </c>
      <c r="I156" s="266">
        <f>J156+L156</f>
        <v>265.7</v>
      </c>
      <c r="J156" s="268">
        <v>265.7</v>
      </c>
      <c r="K156" s="268"/>
      <c r="L156" s="351"/>
      <c r="M156" s="370">
        <v>266</v>
      </c>
      <c r="N156" s="370">
        <v>266</v>
      </c>
      <c r="O156" s="2470" t="s">
        <v>84</v>
      </c>
      <c r="P156" s="632">
        <v>285</v>
      </c>
      <c r="Q156" s="632">
        <v>285</v>
      </c>
      <c r="R156" s="634">
        <v>285</v>
      </c>
      <c r="W156" s="510"/>
    </row>
    <row r="157" spans="1:32" x14ac:dyDescent="0.2">
      <c r="A157" s="2581"/>
      <c r="B157" s="2583"/>
      <c r="C157" s="2560"/>
      <c r="D157" s="2444"/>
      <c r="E157" s="2416"/>
      <c r="F157" s="2417"/>
      <c r="G157" s="2573"/>
      <c r="H157" s="372"/>
      <c r="I157" s="316"/>
      <c r="J157" s="219"/>
      <c r="K157" s="219"/>
      <c r="L157" s="243"/>
      <c r="M157" s="103"/>
      <c r="N157" s="103"/>
      <c r="O157" s="2436"/>
      <c r="P157" s="31"/>
      <c r="Q157" s="31"/>
      <c r="R157" s="144"/>
    </row>
    <row r="158" spans="1:32" ht="26.25" thickBot="1" x14ac:dyDescent="0.25">
      <c r="A158" s="621"/>
      <c r="B158" s="629"/>
      <c r="C158" s="672"/>
      <c r="D158" s="468"/>
      <c r="E158" s="388"/>
      <c r="F158" s="614"/>
      <c r="G158" s="617"/>
      <c r="H158" s="283" t="s">
        <v>10</v>
      </c>
      <c r="I158" s="536" t="s">
        <v>208</v>
      </c>
      <c r="J158" s="528">
        <v>265.7</v>
      </c>
      <c r="K158" s="242">
        <f>K153+K156</f>
        <v>0</v>
      </c>
      <c r="L158" s="530">
        <v>200</v>
      </c>
      <c r="M158" s="535" t="s">
        <v>207</v>
      </c>
      <c r="N158" s="242">
        <f>N153+N156</f>
        <v>266</v>
      </c>
      <c r="O158" s="28"/>
      <c r="P158" s="633"/>
      <c r="Q158" s="33"/>
      <c r="R158" s="635"/>
      <c r="U158" s="13"/>
    </row>
    <row r="159" spans="1:32" ht="25.5" x14ac:dyDescent="0.2">
      <c r="A159" s="2457" t="s">
        <v>9</v>
      </c>
      <c r="B159" s="2520" t="s">
        <v>53</v>
      </c>
      <c r="C159" s="2585" t="s">
        <v>11</v>
      </c>
      <c r="D159" s="2467" t="s">
        <v>125</v>
      </c>
      <c r="E159" s="2493"/>
      <c r="F159" s="2588" t="s">
        <v>41</v>
      </c>
      <c r="G159" s="2451" t="s">
        <v>40</v>
      </c>
      <c r="H159" s="15" t="s">
        <v>36</v>
      </c>
      <c r="I159" s="239">
        <f>J159+L159</f>
        <v>48.6</v>
      </c>
      <c r="J159" s="229">
        <v>48.6</v>
      </c>
      <c r="K159" s="229"/>
      <c r="L159" s="240"/>
      <c r="M159" s="121">
        <v>44.7</v>
      </c>
      <c r="N159" s="46">
        <v>52.9</v>
      </c>
      <c r="O159" s="618" t="s">
        <v>127</v>
      </c>
      <c r="P159" s="632">
        <v>49</v>
      </c>
      <c r="Q159" s="632">
        <v>50</v>
      </c>
      <c r="R159" s="634">
        <v>49</v>
      </c>
      <c r="U159" s="13"/>
    </row>
    <row r="160" spans="1:32" x14ac:dyDescent="0.2">
      <c r="A160" s="2412"/>
      <c r="B160" s="2521"/>
      <c r="C160" s="2586"/>
      <c r="D160" s="2444"/>
      <c r="E160" s="2494"/>
      <c r="F160" s="2589"/>
      <c r="G160" s="2381"/>
      <c r="H160" s="145"/>
      <c r="I160" s="231"/>
      <c r="J160" s="224"/>
      <c r="K160" s="224"/>
      <c r="L160" s="244"/>
      <c r="M160" s="82"/>
      <c r="N160" s="23"/>
      <c r="O160" s="27" t="s">
        <v>126</v>
      </c>
      <c r="P160" s="31">
        <v>12</v>
      </c>
      <c r="Q160" s="32">
        <v>10</v>
      </c>
      <c r="R160" s="144">
        <v>13</v>
      </c>
      <c r="U160" s="13"/>
    </row>
    <row r="161" spans="1:23" ht="13.5" thickBot="1" x14ac:dyDescent="0.25">
      <c r="A161" s="2452"/>
      <c r="B161" s="2522"/>
      <c r="C161" s="2587"/>
      <c r="D161" s="2455"/>
      <c r="E161" s="2533"/>
      <c r="F161" s="2590"/>
      <c r="G161" s="2465"/>
      <c r="H161" s="283" t="s">
        <v>10</v>
      </c>
      <c r="I161" s="236">
        <f t="shared" ref="I161:N161" si="16">I159</f>
        <v>48.6</v>
      </c>
      <c r="J161" s="242">
        <f t="shared" si="16"/>
        <v>48.6</v>
      </c>
      <c r="K161" s="242">
        <f t="shared" si="16"/>
        <v>0</v>
      </c>
      <c r="L161" s="245">
        <f t="shared" si="16"/>
        <v>0</v>
      </c>
      <c r="M161" s="247">
        <f t="shared" si="16"/>
        <v>44.7</v>
      </c>
      <c r="N161" s="278">
        <f t="shared" si="16"/>
        <v>52.9</v>
      </c>
      <c r="O161" s="28"/>
      <c r="P161" s="633"/>
      <c r="Q161" s="33"/>
      <c r="R161" s="635"/>
      <c r="U161" s="13"/>
      <c r="W161" s="527"/>
    </row>
    <row r="162" spans="1:23" ht="26.25" thickBot="1" x14ac:dyDescent="0.25">
      <c r="A162" s="621" t="s">
        <v>9</v>
      </c>
      <c r="B162" s="629" t="s">
        <v>53</v>
      </c>
      <c r="C162" s="2571" t="s">
        <v>12</v>
      </c>
      <c r="D162" s="2516"/>
      <c r="E162" s="2516"/>
      <c r="F162" s="2516"/>
      <c r="G162" s="2516"/>
      <c r="H162" s="2542"/>
      <c r="I162" s="537" t="s">
        <v>209</v>
      </c>
      <c r="J162" s="24">
        <f>J161+J158</f>
        <v>314.3</v>
      </c>
      <c r="K162" s="24">
        <f>K161+K158</f>
        <v>0</v>
      </c>
      <c r="L162" s="533">
        <v>200</v>
      </c>
      <c r="M162" s="534" t="s">
        <v>206</v>
      </c>
      <c r="N162" s="24">
        <f>N161+N158</f>
        <v>318.89999999999998</v>
      </c>
      <c r="O162" s="137"/>
      <c r="P162" s="138"/>
      <c r="Q162" s="139"/>
      <c r="R162" s="140"/>
    </row>
    <row r="163" spans="1:23" ht="13.5" thickBot="1" x14ac:dyDescent="0.25">
      <c r="A163" s="93" t="s">
        <v>9</v>
      </c>
      <c r="B163" s="11" t="s">
        <v>109</v>
      </c>
      <c r="C163" s="2557" t="s">
        <v>110</v>
      </c>
      <c r="D163" s="2558"/>
      <c r="E163" s="2558"/>
      <c r="F163" s="2558"/>
      <c r="G163" s="2558"/>
      <c r="H163" s="2558"/>
      <c r="I163" s="2558"/>
      <c r="J163" s="2558"/>
      <c r="K163" s="2558"/>
      <c r="L163" s="2558"/>
      <c r="M163" s="2558"/>
      <c r="N163" s="2558"/>
      <c r="O163" s="2558"/>
      <c r="P163" s="2558"/>
      <c r="Q163" s="2558"/>
      <c r="R163" s="2559"/>
    </row>
    <row r="164" spans="1:23" ht="25.5" x14ac:dyDescent="0.2">
      <c r="A164" s="673" t="s">
        <v>9</v>
      </c>
      <c r="B164" s="674" t="s">
        <v>54</v>
      </c>
      <c r="C164" s="630" t="s">
        <v>9</v>
      </c>
      <c r="D164" s="119" t="s">
        <v>118</v>
      </c>
      <c r="E164" s="2609"/>
      <c r="F164" s="2612" t="s">
        <v>44</v>
      </c>
      <c r="G164" s="2615">
        <v>6</v>
      </c>
      <c r="H164" s="367" t="s">
        <v>36</v>
      </c>
      <c r="I164" s="340">
        <f>J164+L164</f>
        <v>12686.1</v>
      </c>
      <c r="J164" s="268">
        <v>12686.1</v>
      </c>
      <c r="K164" s="268"/>
      <c r="L164" s="351"/>
      <c r="M164" s="371">
        <v>13019</v>
      </c>
      <c r="N164" s="79">
        <v>13019</v>
      </c>
      <c r="O164" s="660" t="s">
        <v>124</v>
      </c>
      <c r="P164" s="124">
        <v>116</v>
      </c>
      <c r="Q164" s="124">
        <v>116</v>
      </c>
      <c r="R164" s="125">
        <v>116</v>
      </c>
    </row>
    <row r="165" spans="1:23" x14ac:dyDescent="0.2">
      <c r="A165" s="622"/>
      <c r="B165" s="623"/>
      <c r="C165" s="624"/>
      <c r="D165" s="120" t="s">
        <v>120</v>
      </c>
      <c r="E165" s="2610"/>
      <c r="F165" s="2613"/>
      <c r="G165" s="2616"/>
      <c r="H165" s="369"/>
      <c r="I165" s="246"/>
      <c r="J165" s="219"/>
      <c r="K165" s="219"/>
      <c r="L165" s="243"/>
      <c r="M165" s="375"/>
      <c r="N165" s="368"/>
      <c r="O165" s="631"/>
      <c r="P165" s="31"/>
      <c r="Q165" s="31"/>
      <c r="R165" s="144"/>
    </row>
    <row r="166" spans="1:23" x14ac:dyDescent="0.2">
      <c r="A166" s="622"/>
      <c r="B166" s="623"/>
      <c r="C166" s="624"/>
      <c r="D166" s="625" t="s">
        <v>121</v>
      </c>
      <c r="E166" s="2610"/>
      <c r="F166" s="2613"/>
      <c r="G166" s="2616"/>
      <c r="H166" s="369"/>
      <c r="I166" s="246"/>
      <c r="J166" s="219"/>
      <c r="K166" s="219"/>
      <c r="L166" s="243"/>
      <c r="M166" s="375"/>
      <c r="N166" s="368"/>
      <c r="O166" s="631"/>
      <c r="P166" s="31"/>
      <c r="Q166" s="31"/>
      <c r="R166" s="144"/>
    </row>
    <row r="167" spans="1:23" x14ac:dyDescent="0.2">
      <c r="A167" s="622"/>
      <c r="B167" s="623"/>
      <c r="C167" s="624"/>
      <c r="D167" s="120" t="s">
        <v>122</v>
      </c>
      <c r="E167" s="2610"/>
      <c r="F167" s="2613"/>
      <c r="G167" s="2616"/>
      <c r="H167" s="369"/>
      <c r="I167" s="246"/>
      <c r="J167" s="219"/>
      <c r="K167" s="219"/>
      <c r="L167" s="243"/>
      <c r="M167" s="375"/>
      <c r="N167" s="368"/>
      <c r="O167" s="631"/>
      <c r="P167" s="31"/>
      <c r="Q167" s="31"/>
      <c r="R167" s="144"/>
    </row>
    <row r="168" spans="1:23" s="52" customFormat="1" x14ac:dyDescent="0.2">
      <c r="A168" s="620"/>
      <c r="B168" s="628"/>
      <c r="C168" s="70"/>
      <c r="D168" s="120" t="s">
        <v>123</v>
      </c>
      <c r="E168" s="2610"/>
      <c r="F168" s="2613"/>
      <c r="G168" s="2616"/>
      <c r="H168" s="16"/>
      <c r="I168" s="376"/>
      <c r="J168" s="377"/>
      <c r="K168" s="378"/>
      <c r="L168" s="379"/>
      <c r="M168" s="375"/>
      <c r="N168" s="368"/>
      <c r="O168" s="631"/>
      <c r="P168" s="128"/>
      <c r="Q168" s="129"/>
      <c r="R168" s="132"/>
    </row>
    <row r="169" spans="1:23" x14ac:dyDescent="0.2">
      <c r="A169" s="2581"/>
      <c r="B169" s="2583"/>
      <c r="C169" s="2586"/>
      <c r="D169" s="2437" t="s">
        <v>119</v>
      </c>
      <c r="E169" s="2610"/>
      <c r="F169" s="2613"/>
      <c r="G169" s="2616"/>
      <c r="H169" s="372"/>
      <c r="I169" s="215"/>
      <c r="J169" s="216"/>
      <c r="K169" s="216"/>
      <c r="L169" s="232"/>
      <c r="M169" s="373"/>
      <c r="N169" s="374"/>
      <c r="O169" s="631"/>
      <c r="P169" s="31"/>
      <c r="Q169" s="31"/>
      <c r="R169" s="144"/>
    </row>
    <row r="170" spans="1:23" ht="13.5" thickBot="1" x14ac:dyDescent="0.25">
      <c r="A170" s="2620"/>
      <c r="B170" s="2621"/>
      <c r="C170" s="2587"/>
      <c r="D170" s="2622"/>
      <c r="E170" s="2611"/>
      <c r="F170" s="2614"/>
      <c r="G170" s="2617"/>
      <c r="H170" s="283" t="s">
        <v>10</v>
      </c>
      <c r="I170" s="270">
        <f t="shared" ref="I170:N170" si="17">SUM(I164:I169)</f>
        <v>12686.1</v>
      </c>
      <c r="J170" s="270">
        <f>SUM(J164:J169)</f>
        <v>12686.1</v>
      </c>
      <c r="K170" s="270">
        <f t="shared" si="17"/>
        <v>0</v>
      </c>
      <c r="L170" s="271">
        <f t="shared" si="17"/>
        <v>0</v>
      </c>
      <c r="M170" s="284">
        <f>SUM(M164:M169)</f>
        <v>13019</v>
      </c>
      <c r="N170" s="286">
        <f t="shared" si="17"/>
        <v>13019</v>
      </c>
      <c r="O170" s="28"/>
      <c r="P170" s="633"/>
      <c r="Q170" s="33"/>
      <c r="R170" s="635"/>
      <c r="U170" s="13"/>
    </row>
    <row r="171" spans="1:23" x14ac:dyDescent="0.2">
      <c r="A171" s="2457" t="s">
        <v>9</v>
      </c>
      <c r="B171" s="2520" t="s">
        <v>54</v>
      </c>
      <c r="C171" s="2585" t="s">
        <v>11</v>
      </c>
      <c r="D171" s="2467" t="s">
        <v>157</v>
      </c>
      <c r="E171" s="2493"/>
      <c r="F171" s="2588" t="s">
        <v>54</v>
      </c>
      <c r="G171" s="2451" t="s">
        <v>90</v>
      </c>
      <c r="H171" s="25" t="s">
        <v>36</v>
      </c>
      <c r="I171" s="233">
        <f>J171+L171</f>
        <v>39.299999999999997</v>
      </c>
      <c r="J171" s="222">
        <v>39.299999999999997</v>
      </c>
      <c r="K171" s="222"/>
      <c r="L171" s="234"/>
      <c r="M171" s="122">
        <v>56.9</v>
      </c>
      <c r="N171" s="51">
        <v>0</v>
      </c>
      <c r="O171" s="2607" t="s">
        <v>158</v>
      </c>
      <c r="P171" s="632">
        <v>1</v>
      </c>
      <c r="Q171" s="632"/>
      <c r="R171" s="634"/>
      <c r="U171" s="13"/>
    </row>
    <row r="172" spans="1:23" x14ac:dyDescent="0.2">
      <c r="A172" s="2412"/>
      <c r="B172" s="2521"/>
      <c r="C172" s="2586"/>
      <c r="D172" s="2444"/>
      <c r="E172" s="2494"/>
      <c r="F172" s="2589"/>
      <c r="G172" s="2381"/>
      <c r="H172" s="145"/>
      <c r="I172" s="231"/>
      <c r="J172" s="224"/>
      <c r="K172" s="224"/>
      <c r="L172" s="244"/>
      <c r="M172" s="82"/>
      <c r="N172" s="23"/>
      <c r="O172" s="2608"/>
      <c r="P172" s="31"/>
      <c r="Q172" s="32"/>
      <c r="R172" s="144"/>
      <c r="U172" s="13"/>
    </row>
    <row r="173" spans="1:23" ht="13.5" thickBot="1" x14ac:dyDescent="0.25">
      <c r="A173" s="2452"/>
      <c r="B173" s="2522"/>
      <c r="C173" s="2587"/>
      <c r="D173" s="2455"/>
      <c r="E173" s="2533"/>
      <c r="F173" s="2590"/>
      <c r="G173" s="2465"/>
      <c r="H173" s="283" t="s">
        <v>10</v>
      </c>
      <c r="I173" s="236">
        <f t="shared" ref="I173:N173" si="18">I171</f>
        <v>39.299999999999997</v>
      </c>
      <c r="J173" s="242">
        <f t="shared" si="18"/>
        <v>39.299999999999997</v>
      </c>
      <c r="K173" s="242">
        <f t="shared" si="18"/>
        <v>0</v>
      </c>
      <c r="L173" s="245">
        <f t="shared" si="18"/>
        <v>0</v>
      </c>
      <c r="M173" s="247">
        <f t="shared" si="18"/>
        <v>56.9</v>
      </c>
      <c r="N173" s="278">
        <f t="shared" si="18"/>
        <v>0</v>
      </c>
      <c r="O173" s="28"/>
      <c r="P173" s="633"/>
      <c r="Q173" s="33"/>
      <c r="R173" s="635"/>
      <c r="U173" s="13"/>
    </row>
    <row r="174" spans="1:23" s="52" customFormat="1" x14ac:dyDescent="0.2">
      <c r="A174" s="2457" t="s">
        <v>9</v>
      </c>
      <c r="B174" s="163" t="s">
        <v>54</v>
      </c>
      <c r="C174" s="164" t="s">
        <v>38</v>
      </c>
      <c r="D174" s="2467" t="s">
        <v>168</v>
      </c>
      <c r="E174" s="165"/>
      <c r="F174" s="166" t="s">
        <v>41</v>
      </c>
      <c r="G174" s="167">
        <v>6</v>
      </c>
      <c r="H174" s="151" t="s">
        <v>36</v>
      </c>
      <c r="I174" s="446">
        <f>J174</f>
        <v>3.5</v>
      </c>
      <c r="J174" s="447">
        <v>3.5</v>
      </c>
      <c r="K174" s="447"/>
      <c r="L174" s="448"/>
      <c r="M174" s="152"/>
      <c r="N174" s="153"/>
      <c r="O174" s="2618" t="s">
        <v>185</v>
      </c>
      <c r="P174" s="204">
        <v>100</v>
      </c>
      <c r="Q174" s="154"/>
      <c r="R174" s="155"/>
    </row>
    <row r="175" spans="1:23" s="52" customFormat="1" x14ac:dyDescent="0.2">
      <c r="A175" s="2412"/>
      <c r="B175" s="149"/>
      <c r="C175" s="150"/>
      <c r="D175" s="2444"/>
      <c r="E175" s="156"/>
      <c r="G175" s="157"/>
      <c r="H175" s="158"/>
      <c r="I175" s="449"/>
      <c r="J175" s="450"/>
      <c r="K175" s="450"/>
      <c r="L175" s="451"/>
      <c r="M175" s="152"/>
      <c r="N175" s="153"/>
      <c r="O175" s="2619"/>
      <c r="P175" s="159"/>
      <c r="Q175" s="159"/>
      <c r="R175" s="160"/>
    </row>
    <row r="176" spans="1:23" s="52" customFormat="1" ht="13.5" thickBot="1" x14ac:dyDescent="0.25">
      <c r="A176" s="2452"/>
      <c r="B176" s="168"/>
      <c r="C176" s="169"/>
      <c r="D176" s="2455"/>
      <c r="E176" s="170"/>
      <c r="F176" s="171"/>
      <c r="G176" s="172"/>
      <c r="H176" s="288" t="s">
        <v>10</v>
      </c>
      <c r="I176" s="452">
        <f>I174</f>
        <v>3.5</v>
      </c>
      <c r="J176" s="452">
        <f>J174</f>
        <v>3.5</v>
      </c>
      <c r="K176" s="453"/>
      <c r="L176" s="454">
        <f>SUM(L174:L175)</f>
        <v>0</v>
      </c>
      <c r="M176" s="289">
        <f>SUM(M174:M175)</f>
        <v>0</v>
      </c>
      <c r="N176" s="290">
        <f>SUM(N174:N175)</f>
        <v>0</v>
      </c>
      <c r="O176" s="2619"/>
      <c r="P176" s="205"/>
      <c r="Q176" s="161"/>
      <c r="R176" s="162"/>
    </row>
    <row r="177" spans="1:40" ht="13.5" thickBot="1" x14ac:dyDescent="0.25">
      <c r="A177" s="621" t="s">
        <v>9</v>
      </c>
      <c r="B177" s="629" t="s">
        <v>54</v>
      </c>
      <c r="C177" s="2594" t="s">
        <v>12</v>
      </c>
      <c r="D177" s="2595"/>
      <c r="E177" s="2595"/>
      <c r="F177" s="2595"/>
      <c r="G177" s="2595"/>
      <c r="H177" s="2542"/>
      <c r="I177" s="176">
        <f t="shared" ref="I177:N177" si="19">I173+I170+I176</f>
        <v>12728.9</v>
      </c>
      <c r="J177" s="24">
        <f t="shared" si="19"/>
        <v>12728.9</v>
      </c>
      <c r="K177" s="24">
        <f t="shared" si="19"/>
        <v>0</v>
      </c>
      <c r="L177" s="177">
        <f t="shared" si="19"/>
        <v>0</v>
      </c>
      <c r="M177" s="441">
        <f>M173+M170+M176</f>
        <v>13075.9</v>
      </c>
      <c r="N177" s="441">
        <f t="shared" si="19"/>
        <v>13019</v>
      </c>
      <c r="O177" s="2543"/>
      <c r="P177" s="2544"/>
      <c r="Q177" s="2544"/>
      <c r="R177" s="2545"/>
    </row>
    <row r="178" spans="1:40" ht="27.75" customHeight="1" thickBot="1" x14ac:dyDescent="0.25">
      <c r="A178" s="99" t="s">
        <v>9</v>
      </c>
      <c r="B178" s="2596" t="s">
        <v>13</v>
      </c>
      <c r="C178" s="2597"/>
      <c r="D178" s="2597"/>
      <c r="E178" s="2597"/>
      <c r="F178" s="2597"/>
      <c r="G178" s="2597"/>
      <c r="H178" s="2598"/>
      <c r="I178" s="443">
        <v>34965.800000000003</v>
      </c>
      <c r="J178" s="555" t="s">
        <v>217</v>
      </c>
      <c r="K178" s="442">
        <f>SUM(K110,K136,K150,K162,K177)</f>
        <v>742.7</v>
      </c>
      <c r="L178" s="556" t="s">
        <v>218</v>
      </c>
      <c r="M178" s="557" t="s">
        <v>219</v>
      </c>
      <c r="N178" s="101">
        <f>SUM(N110,N136,N150,N162,N177)</f>
        <v>37729.699999999997</v>
      </c>
      <c r="O178" s="2599"/>
      <c r="P178" s="2600"/>
      <c r="Q178" s="2600"/>
      <c r="R178" s="2601"/>
    </row>
    <row r="179" spans="1:40" ht="32.25" customHeight="1" thickBot="1" x14ac:dyDescent="0.25">
      <c r="A179" s="102" t="s">
        <v>55</v>
      </c>
      <c r="B179" s="2602" t="s">
        <v>128</v>
      </c>
      <c r="C179" s="2603"/>
      <c r="D179" s="2603"/>
      <c r="E179" s="2603"/>
      <c r="F179" s="2603"/>
      <c r="G179" s="2603"/>
      <c r="H179" s="2603"/>
      <c r="I179" s="287">
        <f>SUM(I178)</f>
        <v>34965.800000000003</v>
      </c>
      <c r="J179" s="561" t="s">
        <v>217</v>
      </c>
      <c r="K179" s="558">
        <f>SUM(K178)</f>
        <v>742.7</v>
      </c>
      <c r="L179" s="562" t="s">
        <v>218</v>
      </c>
      <c r="M179" s="559" t="s">
        <v>219</v>
      </c>
      <c r="N179" s="560">
        <f>SUM(N178)</f>
        <v>37729.699999999997</v>
      </c>
      <c r="O179" s="2604"/>
      <c r="P179" s="2605"/>
      <c r="Q179" s="2605"/>
      <c r="R179" s="2606"/>
    </row>
    <row r="180" spans="1:40" s="22" customFormat="1" ht="19.5" customHeight="1" x14ac:dyDescent="0.2">
      <c r="A180" s="2591"/>
      <c r="B180" s="2591"/>
      <c r="C180" s="2591"/>
      <c r="D180" s="2591"/>
      <c r="E180" s="2591"/>
      <c r="F180" s="2591"/>
      <c r="G180" s="2591"/>
      <c r="H180" s="2591"/>
      <c r="I180" s="2591"/>
      <c r="J180" s="2591"/>
      <c r="K180" s="2591"/>
      <c r="L180" s="2591"/>
      <c r="M180" s="2591"/>
      <c r="N180" s="2591"/>
      <c r="O180" s="2591"/>
      <c r="P180" s="2591"/>
      <c r="Q180" s="2591"/>
      <c r="R180" s="259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row>
    <row r="181" spans="1:40" s="22" customFormat="1" ht="14.25" customHeight="1" x14ac:dyDescent="0.2">
      <c r="A181" s="2591"/>
      <c r="B181" s="2591"/>
      <c r="C181" s="2591"/>
      <c r="D181" s="2591"/>
      <c r="E181" s="2591"/>
      <c r="F181" s="2591"/>
      <c r="G181" s="2591"/>
      <c r="H181" s="2591"/>
      <c r="I181" s="2591"/>
      <c r="J181" s="2591"/>
      <c r="K181" s="2591"/>
      <c r="L181" s="2591"/>
      <c r="M181" s="62"/>
      <c r="N181" s="62"/>
      <c r="O181" s="62"/>
      <c r="P181" s="62"/>
      <c r="Q181" s="62"/>
      <c r="R181" s="62"/>
      <c r="S181" s="21"/>
      <c r="T181" s="21"/>
      <c r="U181" s="21"/>
      <c r="V181" s="21"/>
      <c r="W181" s="21"/>
      <c r="X181" s="21"/>
      <c r="Y181" s="21"/>
      <c r="Z181" s="21"/>
      <c r="AA181" s="21"/>
      <c r="AB181" s="21"/>
      <c r="AC181" s="21"/>
      <c r="AD181" s="21"/>
      <c r="AE181" s="21"/>
      <c r="AF181" s="21"/>
      <c r="AG181" s="21"/>
      <c r="AH181" s="21"/>
      <c r="AI181" s="21"/>
      <c r="AJ181" s="21"/>
      <c r="AK181" s="21"/>
      <c r="AL181" s="21"/>
      <c r="AM181" s="21"/>
      <c r="AN181" s="21"/>
    </row>
    <row r="182" spans="1:40" x14ac:dyDescent="0.2">
      <c r="I182" s="57"/>
      <c r="J182" s="291"/>
      <c r="K182" s="291"/>
      <c r="L182" s="291"/>
      <c r="M182" s="291"/>
      <c r="N182" s="57"/>
      <c r="O182" s="80"/>
      <c r="P182" s="5"/>
      <c r="Q182" s="5"/>
      <c r="R182" s="5"/>
    </row>
    <row r="183" spans="1:40" x14ac:dyDescent="0.2">
      <c r="I183" s="444"/>
      <c r="J183" s="445"/>
      <c r="K183" s="80"/>
      <c r="P183" s="5"/>
      <c r="Q183" s="5"/>
      <c r="R183" s="5"/>
    </row>
    <row r="184" spans="1:40" x14ac:dyDescent="0.2">
      <c r="J184" s="291"/>
      <c r="M184" s="380"/>
      <c r="P184" s="5"/>
      <c r="Q184" s="5"/>
      <c r="R184" s="5"/>
    </row>
  </sheetData>
  <mergeCells count="396">
    <mergeCell ref="O1:R1"/>
    <mergeCell ref="A2:R2"/>
    <mergeCell ref="A3:R3"/>
    <mergeCell ref="A4:R4"/>
    <mergeCell ref="P5:R5"/>
    <mergeCell ref="A6:A8"/>
    <mergeCell ref="B6:B8"/>
    <mergeCell ref="C6:C8"/>
    <mergeCell ref="D6:D8"/>
    <mergeCell ref="E6:E8"/>
    <mergeCell ref="O6:R6"/>
    <mergeCell ref="I7:I8"/>
    <mergeCell ref="J7:K7"/>
    <mergeCell ref="L7:L8"/>
    <mergeCell ref="O7:O8"/>
    <mergeCell ref="P7:R7"/>
    <mergeCell ref="F6:F8"/>
    <mergeCell ref="G6:G8"/>
    <mergeCell ref="H6:H8"/>
    <mergeCell ref="I6:L6"/>
    <mergeCell ref="M6:M8"/>
    <mergeCell ref="N6:N8"/>
    <mergeCell ref="A9:R9"/>
    <mergeCell ref="A10:R10"/>
    <mergeCell ref="B11:R11"/>
    <mergeCell ref="C12:R12"/>
    <mergeCell ref="A13:A14"/>
    <mergeCell ref="B13:B14"/>
    <mergeCell ref="C13:C14"/>
    <mergeCell ref="D13:D14"/>
    <mergeCell ref="E13:E14"/>
    <mergeCell ref="F13:F14"/>
    <mergeCell ref="G13:G14"/>
    <mergeCell ref="O13:O14"/>
    <mergeCell ref="P13:P14"/>
    <mergeCell ref="Q13:Q14"/>
    <mergeCell ref="R13:R14"/>
    <mergeCell ref="A15:A16"/>
    <mergeCell ref="B15:B16"/>
    <mergeCell ref="C15:C16"/>
    <mergeCell ref="D15:D16"/>
    <mergeCell ref="E15:E16"/>
    <mergeCell ref="F15:F16"/>
    <mergeCell ref="G15:G16"/>
    <mergeCell ref="O15:O16"/>
    <mergeCell ref="A17:A18"/>
    <mergeCell ref="B17:B18"/>
    <mergeCell ref="C17:C18"/>
    <mergeCell ref="D17:D18"/>
    <mergeCell ref="E17:E18"/>
    <mergeCell ref="F17:F18"/>
    <mergeCell ref="G17:G18"/>
    <mergeCell ref="O17:O18"/>
    <mergeCell ref="A19:A25"/>
    <mergeCell ref="B19:B25"/>
    <mergeCell ref="C19:C25"/>
    <mergeCell ref="D19:D25"/>
    <mergeCell ref="E19:E25"/>
    <mergeCell ref="F19:F25"/>
    <mergeCell ref="G19:G25"/>
    <mergeCell ref="O19:O20"/>
    <mergeCell ref="O30:O31"/>
    <mergeCell ref="A33:A34"/>
    <mergeCell ref="B33:B34"/>
    <mergeCell ref="C33:C34"/>
    <mergeCell ref="D33:D34"/>
    <mergeCell ref="E33:E34"/>
    <mergeCell ref="F33:F34"/>
    <mergeCell ref="G33:G34"/>
    <mergeCell ref="D26:D27"/>
    <mergeCell ref="E26:E27"/>
    <mergeCell ref="D28:D29"/>
    <mergeCell ref="E28:E29"/>
    <mergeCell ref="D30:D31"/>
    <mergeCell ref="E30:E31"/>
    <mergeCell ref="P40:P41"/>
    <mergeCell ref="Q40:Q41"/>
    <mergeCell ref="R40:R41"/>
    <mergeCell ref="G35:G38"/>
    <mergeCell ref="O37:O38"/>
    <mergeCell ref="P37:P38"/>
    <mergeCell ref="Q37:Q38"/>
    <mergeCell ref="R37:R38"/>
    <mergeCell ref="A39:A41"/>
    <mergeCell ref="B39:B41"/>
    <mergeCell ref="C39:C41"/>
    <mergeCell ref="D39:D41"/>
    <mergeCell ref="E39:E41"/>
    <mergeCell ref="A35:A38"/>
    <mergeCell ref="B35:B38"/>
    <mergeCell ref="C35:C38"/>
    <mergeCell ref="D35:D38"/>
    <mergeCell ref="E35:E38"/>
    <mergeCell ref="F35:F38"/>
    <mergeCell ref="O43:O44"/>
    <mergeCell ref="A45:A46"/>
    <mergeCell ref="B45:B46"/>
    <mergeCell ref="C45:C46"/>
    <mergeCell ref="D45:D46"/>
    <mergeCell ref="E45:E49"/>
    <mergeCell ref="F39:F41"/>
    <mergeCell ref="G39:G41"/>
    <mergeCell ref="O40:O41"/>
    <mergeCell ref="F45:F46"/>
    <mergeCell ref="G45:G46"/>
    <mergeCell ref="A47:A49"/>
    <mergeCell ref="B47:B49"/>
    <mergeCell ref="C47:C49"/>
    <mergeCell ref="D47:D49"/>
    <mergeCell ref="F47:F49"/>
    <mergeCell ref="G47:G49"/>
    <mergeCell ref="D42:D44"/>
    <mergeCell ref="E42:E44"/>
    <mergeCell ref="F42:F44"/>
    <mergeCell ref="G42:G44"/>
    <mergeCell ref="O48:O49"/>
    <mergeCell ref="A50:A51"/>
    <mergeCell ref="B50:B51"/>
    <mergeCell ref="C50:C51"/>
    <mergeCell ref="D50:D51"/>
    <mergeCell ref="E50:E51"/>
    <mergeCell ref="F50:F51"/>
    <mergeCell ref="G50:G51"/>
    <mergeCell ref="O50:O51"/>
    <mergeCell ref="G52:G53"/>
    <mergeCell ref="O52:O53"/>
    <mergeCell ref="D54:D56"/>
    <mergeCell ref="O54:O55"/>
    <mergeCell ref="O59:O60"/>
    <mergeCell ref="D60:D61"/>
    <mergeCell ref="A52:A53"/>
    <mergeCell ref="B52:B53"/>
    <mergeCell ref="C52:C53"/>
    <mergeCell ref="D52:D53"/>
    <mergeCell ref="E52:E53"/>
    <mergeCell ref="F52:F53"/>
    <mergeCell ref="A64:A66"/>
    <mergeCell ref="B64:B66"/>
    <mergeCell ref="C64:C66"/>
    <mergeCell ref="D64:D66"/>
    <mergeCell ref="E64:E66"/>
    <mergeCell ref="A62:A63"/>
    <mergeCell ref="B62:B63"/>
    <mergeCell ref="C62:C63"/>
    <mergeCell ref="D62:D63"/>
    <mergeCell ref="E62:E63"/>
    <mergeCell ref="F64:F66"/>
    <mergeCell ref="G64:G66"/>
    <mergeCell ref="O64:O65"/>
    <mergeCell ref="P64:P65"/>
    <mergeCell ref="Q64:Q65"/>
    <mergeCell ref="R64:R65"/>
    <mergeCell ref="G62:G63"/>
    <mergeCell ref="O62:O63"/>
    <mergeCell ref="P62:P63"/>
    <mergeCell ref="Q62:Q63"/>
    <mergeCell ref="R62:R63"/>
    <mergeCell ref="F62:F63"/>
    <mergeCell ref="G67:G70"/>
    <mergeCell ref="O67:O68"/>
    <mergeCell ref="P67:P68"/>
    <mergeCell ref="Q67:Q68"/>
    <mergeCell ref="R67:R68"/>
    <mergeCell ref="A71:A72"/>
    <mergeCell ref="B71:B72"/>
    <mergeCell ref="C71:C72"/>
    <mergeCell ref="D71:D72"/>
    <mergeCell ref="E71:E72"/>
    <mergeCell ref="A67:A70"/>
    <mergeCell ref="B67:B70"/>
    <mergeCell ref="C67:C70"/>
    <mergeCell ref="D67:D70"/>
    <mergeCell ref="E67:E70"/>
    <mergeCell ref="F67:F70"/>
    <mergeCell ref="F71:F72"/>
    <mergeCell ref="G71:G72"/>
    <mergeCell ref="A73:A74"/>
    <mergeCell ref="B73:B74"/>
    <mergeCell ref="C73:C74"/>
    <mergeCell ref="D73:D74"/>
    <mergeCell ref="E73:E74"/>
    <mergeCell ref="F73:F74"/>
    <mergeCell ref="G73:G74"/>
    <mergeCell ref="G76:G77"/>
    <mergeCell ref="O76:O77"/>
    <mergeCell ref="A78:A81"/>
    <mergeCell ref="B78:B81"/>
    <mergeCell ref="C78:C81"/>
    <mergeCell ref="D78:D81"/>
    <mergeCell ref="E78:E81"/>
    <mergeCell ref="F78:F81"/>
    <mergeCell ref="G78:G81"/>
    <mergeCell ref="O78:O79"/>
    <mergeCell ref="A76:A77"/>
    <mergeCell ref="B76:B77"/>
    <mergeCell ref="C76:C77"/>
    <mergeCell ref="D76:D77"/>
    <mergeCell ref="E76:E77"/>
    <mergeCell ref="F76:F77"/>
    <mergeCell ref="O82:O83"/>
    <mergeCell ref="P82:P83"/>
    <mergeCell ref="Q82:Q83"/>
    <mergeCell ref="R82:R83"/>
    <mergeCell ref="O84:O85"/>
    <mergeCell ref="O86:O87"/>
    <mergeCell ref="A82:A87"/>
    <mergeCell ref="B82:B87"/>
    <mergeCell ref="C82:C87"/>
    <mergeCell ref="D82:D87"/>
    <mergeCell ref="E82:E83"/>
    <mergeCell ref="F82:F87"/>
    <mergeCell ref="G88:G89"/>
    <mergeCell ref="A91:A94"/>
    <mergeCell ref="B91:B94"/>
    <mergeCell ref="C91:C94"/>
    <mergeCell ref="D91:D94"/>
    <mergeCell ref="E91:E94"/>
    <mergeCell ref="F91:F94"/>
    <mergeCell ref="G91:G94"/>
    <mergeCell ref="A88:A90"/>
    <mergeCell ref="B88:B90"/>
    <mergeCell ref="C88:C90"/>
    <mergeCell ref="D88:D90"/>
    <mergeCell ref="E88:E90"/>
    <mergeCell ref="F88:F90"/>
    <mergeCell ref="O91:O93"/>
    <mergeCell ref="D95:D96"/>
    <mergeCell ref="O95:O96"/>
    <mergeCell ref="A102:A105"/>
    <mergeCell ref="B102:B105"/>
    <mergeCell ref="C102:C105"/>
    <mergeCell ref="D102:D105"/>
    <mergeCell ref="E102:E105"/>
    <mergeCell ref="F102:F105"/>
    <mergeCell ref="G102:G105"/>
    <mergeCell ref="O102:O103"/>
    <mergeCell ref="O104:O105"/>
    <mergeCell ref="A106:A109"/>
    <mergeCell ref="B106:B109"/>
    <mergeCell ref="C106:C109"/>
    <mergeCell ref="D106:D109"/>
    <mergeCell ref="E106:E109"/>
    <mergeCell ref="F106:F109"/>
    <mergeCell ref="G106:G109"/>
    <mergeCell ref="O106:O107"/>
    <mergeCell ref="O108:O109"/>
    <mergeCell ref="G116:G118"/>
    <mergeCell ref="O116:O118"/>
    <mergeCell ref="G119:G123"/>
    <mergeCell ref="O119:O120"/>
    <mergeCell ref="O121:O122"/>
    <mergeCell ref="C110:H110"/>
    <mergeCell ref="C111:R111"/>
    <mergeCell ref="A112:A115"/>
    <mergeCell ref="B112:B115"/>
    <mergeCell ref="C112:C115"/>
    <mergeCell ref="D112:D115"/>
    <mergeCell ref="E112:E115"/>
    <mergeCell ref="F112:F115"/>
    <mergeCell ref="G112:G115"/>
    <mergeCell ref="O112:O114"/>
    <mergeCell ref="A119:A123"/>
    <mergeCell ref="B119:B123"/>
    <mergeCell ref="C119:C123"/>
    <mergeCell ref="D119:D123"/>
    <mergeCell ref="E119:E123"/>
    <mergeCell ref="F119:F123"/>
    <mergeCell ref="A116:A118"/>
    <mergeCell ref="B116:B118"/>
    <mergeCell ref="C116:C118"/>
    <mergeCell ref="D116:D118"/>
    <mergeCell ref="E116:E118"/>
    <mergeCell ref="F116:F118"/>
    <mergeCell ref="P127:P128"/>
    <mergeCell ref="A130:A132"/>
    <mergeCell ref="B130:B132"/>
    <mergeCell ref="C130:C132"/>
    <mergeCell ref="D130:D132"/>
    <mergeCell ref="E130:E132"/>
    <mergeCell ref="F130:F132"/>
    <mergeCell ref="G130:G132"/>
    <mergeCell ref="O124:O125"/>
    <mergeCell ref="A127:A129"/>
    <mergeCell ref="B127:B129"/>
    <mergeCell ref="C127:C129"/>
    <mergeCell ref="D127:D129"/>
    <mergeCell ref="E127:E129"/>
    <mergeCell ref="F127:F129"/>
    <mergeCell ref="G127:G129"/>
    <mergeCell ref="O127:O129"/>
    <mergeCell ref="A124:A126"/>
    <mergeCell ref="B124:B126"/>
    <mergeCell ref="C124:C126"/>
    <mergeCell ref="D124:D126"/>
    <mergeCell ref="E124:E126"/>
    <mergeCell ref="F124:F126"/>
    <mergeCell ref="G124:G126"/>
    <mergeCell ref="G133:G135"/>
    <mergeCell ref="C136:H136"/>
    <mergeCell ref="O136:R136"/>
    <mergeCell ref="C137:R137"/>
    <mergeCell ref="A138:A141"/>
    <mergeCell ref="B138:B141"/>
    <mergeCell ref="C138:C141"/>
    <mergeCell ref="D138:D141"/>
    <mergeCell ref="E138:E141"/>
    <mergeCell ref="F138:F141"/>
    <mergeCell ref="A133:A135"/>
    <mergeCell ref="B133:B135"/>
    <mergeCell ref="C133:C135"/>
    <mergeCell ref="D133:D135"/>
    <mergeCell ref="E133:E135"/>
    <mergeCell ref="F133:F135"/>
    <mergeCell ref="G138:G141"/>
    <mergeCell ref="O138:O141"/>
    <mergeCell ref="A142:A144"/>
    <mergeCell ref="B142:B144"/>
    <mergeCell ref="C142:C144"/>
    <mergeCell ref="D142:D144"/>
    <mergeCell ref="E142:E144"/>
    <mergeCell ref="F142:F144"/>
    <mergeCell ref="G142:G144"/>
    <mergeCell ref="O142:O143"/>
    <mergeCell ref="P148:P149"/>
    <mergeCell ref="Q148:Q149"/>
    <mergeCell ref="R148:R149"/>
    <mergeCell ref="C150:H150"/>
    <mergeCell ref="O150:R150"/>
    <mergeCell ref="C151:R151"/>
    <mergeCell ref="G145:G147"/>
    <mergeCell ref="O145:O146"/>
    <mergeCell ref="A148:A149"/>
    <mergeCell ref="B148:B149"/>
    <mergeCell ref="C148:C149"/>
    <mergeCell ref="D148:D149"/>
    <mergeCell ref="E148:E149"/>
    <mergeCell ref="F148:F149"/>
    <mergeCell ref="G148:G149"/>
    <mergeCell ref="O148:O149"/>
    <mergeCell ref="A145:A147"/>
    <mergeCell ref="B145:B147"/>
    <mergeCell ref="C145:C147"/>
    <mergeCell ref="D145:D147"/>
    <mergeCell ref="E145:E147"/>
    <mergeCell ref="F145:F147"/>
    <mergeCell ref="G153:G155"/>
    <mergeCell ref="O153:O155"/>
    <mergeCell ref="A156:A157"/>
    <mergeCell ref="B156:B157"/>
    <mergeCell ref="C156:C157"/>
    <mergeCell ref="D156:D157"/>
    <mergeCell ref="E156:E157"/>
    <mergeCell ref="F156:F157"/>
    <mergeCell ref="G156:G157"/>
    <mergeCell ref="O156:O157"/>
    <mergeCell ref="A153:A155"/>
    <mergeCell ref="B153:B155"/>
    <mergeCell ref="C153:C155"/>
    <mergeCell ref="D153:D155"/>
    <mergeCell ref="E153:E155"/>
    <mergeCell ref="F153:F155"/>
    <mergeCell ref="A169:A170"/>
    <mergeCell ref="B169:B170"/>
    <mergeCell ref="C169:C170"/>
    <mergeCell ref="D169:D170"/>
    <mergeCell ref="A171:A173"/>
    <mergeCell ref="B171:B173"/>
    <mergeCell ref="C171:C173"/>
    <mergeCell ref="D171:D173"/>
    <mergeCell ref="G159:G161"/>
    <mergeCell ref="C162:H162"/>
    <mergeCell ref="C163:R163"/>
    <mergeCell ref="E164:E170"/>
    <mergeCell ref="F164:F170"/>
    <mergeCell ref="G164:G170"/>
    <mergeCell ref="A159:A161"/>
    <mergeCell ref="B159:B161"/>
    <mergeCell ref="C159:C161"/>
    <mergeCell ref="D159:D161"/>
    <mergeCell ref="E159:E161"/>
    <mergeCell ref="F159:F161"/>
    <mergeCell ref="A180:R180"/>
    <mergeCell ref="A181:L181"/>
    <mergeCell ref="C177:H177"/>
    <mergeCell ref="O177:R177"/>
    <mergeCell ref="B178:H178"/>
    <mergeCell ref="O178:R178"/>
    <mergeCell ref="B179:H179"/>
    <mergeCell ref="O179:R179"/>
    <mergeCell ref="E171:E173"/>
    <mergeCell ref="F171:F173"/>
    <mergeCell ref="G171:G173"/>
    <mergeCell ref="O171:O172"/>
    <mergeCell ref="A174:A176"/>
    <mergeCell ref="D174:D176"/>
    <mergeCell ref="O174:O17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topLeftCell="A43" zoomScaleNormal="100" zoomScaleSheetLayoutView="100" workbookViewId="0">
      <selection activeCell="K151" sqref="K151"/>
    </sheetView>
  </sheetViews>
  <sheetFormatPr defaultRowHeight="12.75" x14ac:dyDescent="0.2"/>
  <cols>
    <col min="1" max="3" width="2.7109375" style="10" customWidth="1"/>
    <col min="4" max="4" width="32.140625" style="10" customWidth="1"/>
    <col min="5" max="5" width="2.7109375" style="47" customWidth="1"/>
    <col min="6" max="6" width="2.7109375" style="64" customWidth="1"/>
    <col min="7" max="7" width="6.85546875" style="90" customWidth="1"/>
    <col min="8" max="8" width="9.5703125" style="90" customWidth="1"/>
    <col min="9" max="9" width="10.140625" style="10" customWidth="1"/>
    <col min="10" max="10" width="9.85546875" style="10" customWidth="1"/>
    <col min="11" max="11" width="37.140625" style="10" customWidth="1"/>
    <col min="12" max="12" width="5.28515625" style="10" customWidth="1"/>
    <col min="13" max="13" width="4.85546875" style="10" customWidth="1"/>
    <col min="14" max="14" width="5.5703125" style="10" customWidth="1"/>
    <col min="15" max="16384" width="9.140625" style="5"/>
  </cols>
  <sheetData>
    <row r="1" spans="1:16" ht="15.75" x14ac:dyDescent="0.2">
      <c r="A1" s="2350" t="s">
        <v>310</v>
      </c>
      <c r="B1" s="2350"/>
      <c r="C1" s="2350"/>
      <c r="D1" s="2350"/>
      <c r="E1" s="2350"/>
      <c r="F1" s="2350"/>
      <c r="G1" s="2350"/>
      <c r="H1" s="2350"/>
      <c r="I1" s="2350"/>
      <c r="J1" s="2350"/>
      <c r="K1" s="2350"/>
      <c r="L1" s="2350"/>
      <c r="M1" s="2350"/>
      <c r="N1" s="2350"/>
    </row>
    <row r="2" spans="1:16" ht="15.75" x14ac:dyDescent="0.2">
      <c r="A2" s="2351" t="s">
        <v>37</v>
      </c>
      <c r="B2" s="2351"/>
      <c r="C2" s="2351"/>
      <c r="D2" s="2351"/>
      <c r="E2" s="2351"/>
      <c r="F2" s="2351"/>
      <c r="G2" s="2351"/>
      <c r="H2" s="2351"/>
      <c r="I2" s="2351"/>
      <c r="J2" s="2351"/>
      <c r="K2" s="2351"/>
      <c r="L2" s="2351"/>
      <c r="M2" s="2351"/>
      <c r="N2" s="2351"/>
    </row>
    <row r="3" spans="1:16" ht="15.75" x14ac:dyDescent="0.2">
      <c r="A3" s="2352" t="s">
        <v>23</v>
      </c>
      <c r="B3" s="2352"/>
      <c r="C3" s="2352"/>
      <c r="D3" s="2352"/>
      <c r="E3" s="2352"/>
      <c r="F3" s="2352"/>
      <c r="G3" s="2352"/>
      <c r="H3" s="2352"/>
      <c r="I3" s="2352"/>
      <c r="J3" s="2352"/>
      <c r="K3" s="2352"/>
      <c r="L3" s="2352"/>
      <c r="M3" s="2352"/>
      <c r="N3" s="2352"/>
      <c r="O3" s="1"/>
      <c r="P3" s="1"/>
    </row>
    <row r="4" spans="1:16" ht="13.5" thickBot="1" x14ac:dyDescent="0.25">
      <c r="L4" s="2353" t="s">
        <v>308</v>
      </c>
      <c r="M4" s="2353"/>
      <c r="N4" s="2353"/>
    </row>
    <row r="5" spans="1:16" ht="31.5" customHeight="1" x14ac:dyDescent="0.2">
      <c r="A5" s="3038" t="s">
        <v>24</v>
      </c>
      <c r="B5" s="3041" t="s">
        <v>1</v>
      </c>
      <c r="C5" s="3041" t="s">
        <v>2</v>
      </c>
      <c r="D5" s="3044" t="s">
        <v>16</v>
      </c>
      <c r="E5" s="3047" t="s">
        <v>3</v>
      </c>
      <c r="F5" s="3061" t="s">
        <v>4</v>
      </c>
      <c r="G5" s="3067" t="s">
        <v>5</v>
      </c>
      <c r="H5" s="3064" t="s">
        <v>233</v>
      </c>
      <c r="I5" s="3055" t="s">
        <v>142</v>
      </c>
      <c r="J5" s="3055" t="s">
        <v>234</v>
      </c>
      <c r="K5" s="3058" t="s">
        <v>15</v>
      </c>
      <c r="L5" s="3059"/>
      <c r="M5" s="3059"/>
      <c r="N5" s="3060"/>
    </row>
    <row r="6" spans="1:16" ht="15.75" customHeight="1" x14ac:dyDescent="0.2">
      <c r="A6" s="3039"/>
      <c r="B6" s="3042"/>
      <c r="C6" s="3042"/>
      <c r="D6" s="3045"/>
      <c r="E6" s="3048"/>
      <c r="F6" s="3062"/>
      <c r="G6" s="3068"/>
      <c r="H6" s="3065"/>
      <c r="I6" s="3056"/>
      <c r="J6" s="3056"/>
      <c r="K6" s="3050" t="s">
        <v>16</v>
      </c>
      <c r="L6" s="3052" t="s">
        <v>309</v>
      </c>
      <c r="M6" s="3053"/>
      <c r="N6" s="3054"/>
    </row>
    <row r="7" spans="1:16" ht="74.25" customHeight="1" thickBot="1" x14ac:dyDescent="0.25">
      <c r="A7" s="3040"/>
      <c r="B7" s="3043"/>
      <c r="C7" s="3043"/>
      <c r="D7" s="3046"/>
      <c r="E7" s="3049"/>
      <c r="F7" s="3063"/>
      <c r="G7" s="3069"/>
      <c r="H7" s="3066"/>
      <c r="I7" s="3057"/>
      <c r="J7" s="3057"/>
      <c r="K7" s="3051"/>
      <c r="L7" s="737" t="s">
        <v>35</v>
      </c>
      <c r="M7" s="737" t="s">
        <v>143</v>
      </c>
      <c r="N7" s="738" t="s">
        <v>235</v>
      </c>
    </row>
    <row r="8" spans="1:16" s="30" customFormat="1" x14ac:dyDescent="0.2">
      <c r="A8" s="2382" t="s">
        <v>135</v>
      </c>
      <c r="B8" s="2383"/>
      <c r="C8" s="2383"/>
      <c r="D8" s="2383"/>
      <c r="E8" s="2383"/>
      <c r="F8" s="2383"/>
      <c r="G8" s="2383"/>
      <c r="H8" s="2383"/>
      <c r="I8" s="2383"/>
      <c r="J8" s="2383"/>
      <c r="K8" s="2383"/>
      <c r="L8" s="2383"/>
      <c r="M8" s="2383"/>
      <c r="N8" s="2384"/>
    </row>
    <row r="9" spans="1:16" s="30" customFormat="1" x14ac:dyDescent="0.2">
      <c r="A9" s="2403" t="s">
        <v>85</v>
      </c>
      <c r="B9" s="2404"/>
      <c r="C9" s="2404"/>
      <c r="D9" s="2404"/>
      <c r="E9" s="2404"/>
      <c r="F9" s="2404"/>
      <c r="G9" s="2404"/>
      <c r="H9" s="2404"/>
      <c r="I9" s="2404"/>
      <c r="J9" s="2404"/>
      <c r="K9" s="2404"/>
      <c r="L9" s="2404"/>
      <c r="M9" s="2404"/>
      <c r="N9" s="2405"/>
    </row>
    <row r="10" spans="1:16" ht="15.75" customHeight="1" x14ac:dyDescent="0.2">
      <c r="A10" s="679" t="s">
        <v>9</v>
      </c>
      <c r="B10" s="2648" t="s">
        <v>136</v>
      </c>
      <c r="C10" s="2649"/>
      <c r="D10" s="2649"/>
      <c r="E10" s="2649"/>
      <c r="F10" s="2649"/>
      <c r="G10" s="2649"/>
      <c r="H10" s="2649"/>
      <c r="I10" s="2649"/>
      <c r="J10" s="2649"/>
      <c r="K10" s="2649"/>
      <c r="L10" s="2649"/>
      <c r="M10" s="2649"/>
      <c r="N10" s="2650"/>
    </row>
    <row r="11" spans="1:16" ht="16.5" customHeight="1" x14ac:dyDescent="0.2">
      <c r="A11" s="917" t="s">
        <v>9</v>
      </c>
      <c r="B11" s="918" t="s">
        <v>9</v>
      </c>
      <c r="C11" s="2409" t="s">
        <v>70</v>
      </c>
      <c r="D11" s="2410"/>
      <c r="E11" s="2410"/>
      <c r="F11" s="2410"/>
      <c r="G11" s="2410"/>
      <c r="H11" s="2410"/>
      <c r="I11" s="2410"/>
      <c r="J11" s="2410"/>
      <c r="K11" s="2410"/>
      <c r="L11" s="2410"/>
      <c r="M11" s="2410"/>
      <c r="N11" s="2411"/>
    </row>
    <row r="12" spans="1:16" ht="26.25" customHeight="1" x14ac:dyDescent="0.2">
      <c r="A12" s="915" t="s">
        <v>9</v>
      </c>
      <c r="B12" s="910" t="s">
        <v>9</v>
      </c>
      <c r="C12" s="911" t="s">
        <v>9</v>
      </c>
      <c r="D12" s="912" t="s">
        <v>112</v>
      </c>
      <c r="E12" s="909"/>
      <c r="F12" s="914"/>
      <c r="G12" s="916"/>
      <c r="H12" s="1016"/>
      <c r="I12" s="919"/>
      <c r="J12" s="919"/>
      <c r="K12" s="913"/>
      <c r="L12" s="907"/>
      <c r="M12" s="907"/>
      <c r="N12" s="908"/>
    </row>
    <row r="13" spans="1:16" ht="15.75" x14ac:dyDescent="0.2">
      <c r="A13" s="845"/>
      <c r="B13" s="840"/>
      <c r="C13" s="841"/>
      <c r="D13" s="1114" t="s">
        <v>46</v>
      </c>
      <c r="E13" s="1116"/>
      <c r="F13" s="1110" t="s">
        <v>40</v>
      </c>
      <c r="G13" s="134" t="s">
        <v>36</v>
      </c>
      <c r="H13" s="1024">
        <f>632.1/3.4528*1000</f>
        <v>183069</v>
      </c>
      <c r="I13" s="934">
        <f>696/3.4528*1000</f>
        <v>201576</v>
      </c>
      <c r="J13" s="934">
        <f>727.4/3.4528*1000</f>
        <v>210670</v>
      </c>
      <c r="K13" s="1121" t="s">
        <v>97</v>
      </c>
      <c r="L13" s="1141">
        <v>3.38</v>
      </c>
      <c r="M13" s="1141">
        <v>3.39</v>
      </c>
      <c r="N13" s="1142">
        <v>3.4</v>
      </c>
    </row>
    <row r="14" spans="1:16" ht="12.75" customHeight="1" x14ac:dyDescent="0.2">
      <c r="A14" s="2668"/>
      <c r="B14" s="2413"/>
      <c r="C14" s="2414"/>
      <c r="D14" s="3077" t="s">
        <v>47</v>
      </c>
      <c r="E14" s="3074" t="s">
        <v>255</v>
      </c>
      <c r="F14" s="3076"/>
      <c r="G14" s="312"/>
      <c r="H14" s="1018"/>
      <c r="I14" s="921"/>
      <c r="J14" s="921"/>
      <c r="K14" s="1143" t="s">
        <v>49</v>
      </c>
      <c r="L14" s="868">
        <v>2</v>
      </c>
      <c r="M14" s="868">
        <v>3</v>
      </c>
      <c r="N14" s="883">
        <v>3</v>
      </c>
    </row>
    <row r="15" spans="1:16" x14ac:dyDescent="0.2">
      <c r="A15" s="2668"/>
      <c r="B15" s="2413"/>
      <c r="C15" s="2414"/>
      <c r="D15" s="2432"/>
      <c r="E15" s="2376"/>
      <c r="F15" s="2381"/>
      <c r="G15" s="16"/>
      <c r="H15" s="1018"/>
      <c r="I15" s="922"/>
      <c r="J15" s="922"/>
      <c r="K15" s="693" t="s">
        <v>278</v>
      </c>
      <c r="L15" s="694">
        <v>3</v>
      </c>
      <c r="M15" s="694">
        <v>3</v>
      </c>
      <c r="N15" s="695">
        <v>3</v>
      </c>
    </row>
    <row r="16" spans="1:16" ht="25.5" x14ac:dyDescent="0.2">
      <c r="A16" s="845"/>
      <c r="B16" s="840"/>
      <c r="C16" s="841"/>
      <c r="D16" s="1140"/>
      <c r="E16" s="3075"/>
      <c r="F16" s="996"/>
      <c r="G16" s="135"/>
      <c r="H16" s="1018"/>
      <c r="I16" s="922"/>
      <c r="J16" s="922"/>
      <c r="K16" s="1144" t="s">
        <v>317</v>
      </c>
      <c r="L16" s="741">
        <v>100</v>
      </c>
      <c r="M16" s="741"/>
      <c r="N16" s="742"/>
    </row>
    <row r="17" spans="1:14" ht="12.75" customHeight="1" x14ac:dyDescent="0.2">
      <c r="A17" s="2668"/>
      <c r="B17" s="2413"/>
      <c r="C17" s="2414"/>
      <c r="D17" s="2432" t="s">
        <v>48</v>
      </c>
      <c r="E17" s="2376"/>
      <c r="F17" s="2381"/>
      <c r="G17" s="135"/>
      <c r="H17" s="1018"/>
      <c r="I17" s="920"/>
      <c r="J17" s="920"/>
      <c r="K17" s="2436" t="s">
        <v>301</v>
      </c>
      <c r="L17" s="1125">
        <v>25</v>
      </c>
      <c r="M17" s="1125">
        <v>30</v>
      </c>
      <c r="N17" s="1126">
        <v>35</v>
      </c>
    </row>
    <row r="18" spans="1:14" x14ac:dyDescent="0.2">
      <c r="A18" s="2668"/>
      <c r="B18" s="2413"/>
      <c r="C18" s="2414"/>
      <c r="D18" s="2432"/>
      <c r="E18" s="2376"/>
      <c r="F18" s="2381"/>
      <c r="G18" s="135"/>
      <c r="H18" s="1018"/>
      <c r="I18" s="923"/>
      <c r="J18" s="923"/>
      <c r="K18" s="2436"/>
      <c r="L18" s="1012"/>
      <c r="M18" s="1012"/>
      <c r="N18" s="1013"/>
    </row>
    <row r="19" spans="1:14" ht="29.25" customHeight="1" x14ac:dyDescent="0.2">
      <c r="A19" s="2668"/>
      <c r="B19" s="2413"/>
      <c r="C19" s="2414"/>
      <c r="D19" s="2432"/>
      <c r="E19" s="2376"/>
      <c r="F19" s="2381"/>
      <c r="G19" s="135"/>
      <c r="H19" s="1018"/>
      <c r="I19" s="923"/>
      <c r="J19" s="923"/>
      <c r="K19" s="719" t="s">
        <v>279</v>
      </c>
      <c r="L19" s="744">
        <v>111</v>
      </c>
      <c r="M19" s="744">
        <v>112</v>
      </c>
      <c r="N19" s="695">
        <v>112</v>
      </c>
    </row>
    <row r="20" spans="1:14" ht="29.25" customHeight="1" x14ac:dyDescent="0.2">
      <c r="A20" s="2668"/>
      <c r="B20" s="2413"/>
      <c r="C20" s="2414"/>
      <c r="D20" s="2432"/>
      <c r="E20" s="2376"/>
      <c r="F20" s="2381"/>
      <c r="G20" s="135"/>
      <c r="H20" s="1018"/>
      <c r="I20" s="923"/>
      <c r="J20" s="923"/>
      <c r="K20" s="698" t="s">
        <v>318</v>
      </c>
      <c r="L20" s="694">
        <v>1</v>
      </c>
      <c r="M20" s="694">
        <v>1</v>
      </c>
      <c r="N20" s="695">
        <v>1</v>
      </c>
    </row>
    <row r="21" spans="1:14" ht="15.75" customHeight="1" x14ac:dyDescent="0.2">
      <c r="A21" s="2668"/>
      <c r="B21" s="2413"/>
      <c r="C21" s="2414"/>
      <c r="D21" s="2432"/>
      <c r="E21" s="2376"/>
      <c r="F21" s="2381"/>
      <c r="G21" s="135"/>
      <c r="H21" s="1018"/>
      <c r="I21" s="923"/>
      <c r="J21" s="923"/>
      <c r="K21" s="698" t="s">
        <v>267</v>
      </c>
      <c r="L21" s="745" t="s">
        <v>268</v>
      </c>
      <c r="M21" s="745" t="s">
        <v>268</v>
      </c>
      <c r="N21" s="746" t="s">
        <v>268</v>
      </c>
    </row>
    <row r="22" spans="1:14" ht="14.25" customHeight="1" x14ac:dyDescent="0.2">
      <c r="A22" s="2668"/>
      <c r="B22" s="2413"/>
      <c r="C22" s="2414"/>
      <c r="D22" s="2432"/>
      <c r="E22" s="2376"/>
      <c r="F22" s="2381"/>
      <c r="G22" s="135"/>
      <c r="H22" s="1018"/>
      <c r="I22" s="922"/>
      <c r="J22" s="922"/>
      <c r="K22" s="698" t="s">
        <v>263</v>
      </c>
      <c r="L22" s="745" t="s">
        <v>259</v>
      </c>
      <c r="M22" s="745" t="s">
        <v>260</v>
      </c>
      <c r="N22" s="746" t="s">
        <v>260</v>
      </c>
    </row>
    <row r="23" spans="1:14" ht="15.75" customHeight="1" x14ac:dyDescent="0.2">
      <c r="A23" s="2668"/>
      <c r="B23" s="2413"/>
      <c r="C23" s="2414"/>
      <c r="D23" s="2432"/>
      <c r="E23" s="2376"/>
      <c r="F23" s="2381"/>
      <c r="G23" s="135"/>
      <c r="H23" s="1018"/>
      <c r="I23" s="922"/>
      <c r="J23" s="922"/>
      <c r="K23" s="698" t="s">
        <v>262</v>
      </c>
      <c r="L23" s="745" t="s">
        <v>261</v>
      </c>
      <c r="M23" s="745" t="s">
        <v>261</v>
      </c>
      <c r="N23" s="746" t="s">
        <v>261</v>
      </c>
    </row>
    <row r="24" spans="1:14" ht="27.75" customHeight="1" x14ac:dyDescent="0.2">
      <c r="A24" s="2668"/>
      <c r="B24" s="2413"/>
      <c r="C24" s="2414"/>
      <c r="D24" s="2438"/>
      <c r="E24" s="2377"/>
      <c r="F24" s="2430"/>
      <c r="G24" s="135"/>
      <c r="H24" s="1018"/>
      <c r="I24" s="922"/>
      <c r="J24" s="922"/>
      <c r="K24" s="844" t="s">
        <v>280</v>
      </c>
      <c r="L24" s="1064">
        <v>100</v>
      </c>
      <c r="M24" s="1064"/>
      <c r="N24" s="1065"/>
    </row>
    <row r="25" spans="1:14" ht="12.75" customHeight="1" x14ac:dyDescent="0.2">
      <c r="A25" s="680"/>
      <c r="B25" s="840"/>
      <c r="C25" s="841"/>
      <c r="D25" s="2625" t="s">
        <v>238</v>
      </c>
      <c r="E25" s="3070" t="s">
        <v>91</v>
      </c>
      <c r="F25" s="677" t="s">
        <v>40</v>
      </c>
      <c r="G25" s="696" t="s">
        <v>36</v>
      </c>
      <c r="H25" s="1019">
        <f>936.2/3.4528*1000</f>
        <v>271142</v>
      </c>
      <c r="I25" s="924">
        <f>943.3/3.4528*1000</f>
        <v>273199</v>
      </c>
      <c r="J25" s="925"/>
      <c r="K25" s="749"/>
      <c r="L25" s="1066"/>
      <c r="M25" s="1066"/>
      <c r="N25" s="1067"/>
    </row>
    <row r="26" spans="1:14" ht="15" customHeight="1" x14ac:dyDescent="0.2">
      <c r="A26" s="680"/>
      <c r="B26" s="840"/>
      <c r="C26" s="841"/>
      <c r="D26" s="2685"/>
      <c r="E26" s="3071"/>
      <c r="F26" s="84"/>
      <c r="G26" s="691"/>
      <c r="H26" s="1017"/>
      <c r="I26" s="926"/>
      <c r="J26" s="927"/>
      <c r="K26" s="747" t="s">
        <v>240</v>
      </c>
      <c r="L26" s="748">
        <v>100</v>
      </c>
      <c r="M26" s="741"/>
      <c r="N26" s="742"/>
    </row>
    <row r="27" spans="1:14" ht="30" customHeight="1" x14ac:dyDescent="0.2">
      <c r="A27" s="680"/>
      <c r="B27" s="840"/>
      <c r="C27" s="841"/>
      <c r="D27" s="2685"/>
      <c r="E27" s="3071"/>
      <c r="F27" s="84"/>
      <c r="G27" s="691"/>
      <c r="H27" s="1017"/>
      <c r="I27" s="926"/>
      <c r="J27" s="927"/>
      <c r="K27" s="717" t="s">
        <v>281</v>
      </c>
      <c r="L27" s="718">
        <v>100</v>
      </c>
      <c r="M27" s="694"/>
      <c r="N27" s="695"/>
    </row>
    <row r="28" spans="1:14" ht="31.5" customHeight="1" x14ac:dyDescent="0.2">
      <c r="A28" s="680"/>
      <c r="B28" s="840"/>
      <c r="C28" s="841"/>
      <c r="D28" s="2685"/>
      <c r="E28" s="3072" t="s">
        <v>256</v>
      </c>
      <c r="F28" s="847"/>
      <c r="G28" s="784"/>
      <c r="H28" s="1017"/>
      <c r="I28" s="926"/>
      <c r="J28" s="927"/>
      <c r="K28" s="719" t="s">
        <v>282</v>
      </c>
      <c r="L28" s="720">
        <v>100</v>
      </c>
      <c r="M28" s="694"/>
      <c r="N28" s="695"/>
    </row>
    <row r="29" spans="1:14" ht="41.25" customHeight="1" x14ac:dyDescent="0.2">
      <c r="A29" s="680"/>
      <c r="B29" s="840"/>
      <c r="C29" s="841"/>
      <c r="D29" s="2685"/>
      <c r="E29" s="3072"/>
      <c r="F29" s="847"/>
      <c r="G29" s="836"/>
      <c r="H29" s="1020"/>
      <c r="I29" s="928"/>
      <c r="J29" s="929"/>
      <c r="K29" s="698" t="s">
        <v>283</v>
      </c>
      <c r="L29" s="834"/>
      <c r="M29" s="694">
        <v>100</v>
      </c>
      <c r="N29" s="695"/>
    </row>
    <row r="30" spans="1:14" ht="27.75" customHeight="1" x14ac:dyDescent="0.2">
      <c r="A30" s="680"/>
      <c r="B30" s="840"/>
      <c r="C30" s="841"/>
      <c r="D30" s="2667"/>
      <c r="E30" s="3073"/>
      <c r="F30" s="783"/>
      <c r="G30" s="785" t="s">
        <v>181</v>
      </c>
      <c r="H30" s="1016">
        <f>205.1/3.4528*1000</f>
        <v>59401</v>
      </c>
      <c r="I30" s="930"/>
      <c r="J30" s="931"/>
      <c r="K30" s="179" t="s">
        <v>269</v>
      </c>
      <c r="L30" s="732">
        <v>100</v>
      </c>
      <c r="M30" s="1014"/>
      <c r="N30" s="1015"/>
    </row>
    <row r="31" spans="1:14" ht="27" customHeight="1" x14ac:dyDescent="0.2">
      <c r="A31" s="680"/>
      <c r="B31" s="840"/>
      <c r="C31" s="841"/>
      <c r="D31" s="120" t="s">
        <v>190</v>
      </c>
      <c r="E31" s="3081" t="s">
        <v>171</v>
      </c>
      <c r="F31" s="2429" t="s">
        <v>40</v>
      </c>
      <c r="G31" s="786" t="s">
        <v>94</v>
      </c>
      <c r="H31" s="1021"/>
      <c r="I31" s="932">
        <f>100/3.4528*1000</f>
        <v>28962</v>
      </c>
      <c r="J31" s="1022"/>
      <c r="K31" s="721" t="s">
        <v>334</v>
      </c>
      <c r="L31" s="864"/>
      <c r="M31" s="67">
        <v>1</v>
      </c>
      <c r="N31" s="68"/>
    </row>
    <row r="32" spans="1:14" ht="17.25" customHeight="1" x14ac:dyDescent="0.2">
      <c r="A32" s="680"/>
      <c r="B32" s="840"/>
      <c r="C32" s="841"/>
      <c r="D32" s="863" t="s">
        <v>292</v>
      </c>
      <c r="E32" s="3082"/>
      <c r="F32" s="3090"/>
      <c r="G32" s="787" t="s">
        <v>36</v>
      </c>
      <c r="H32" s="1018">
        <f>118.2/3.4528*1000</f>
        <v>34233</v>
      </c>
      <c r="I32" s="933"/>
      <c r="J32" s="1022"/>
      <c r="K32" s="872" t="s">
        <v>335</v>
      </c>
      <c r="L32" s="901">
        <v>1280</v>
      </c>
      <c r="M32" s="902"/>
      <c r="N32" s="1068"/>
    </row>
    <row r="33" spans="1:16" ht="38.25" x14ac:dyDescent="0.2">
      <c r="A33" s="680"/>
      <c r="B33" s="840"/>
      <c r="C33" s="841"/>
      <c r="D33" s="863" t="s">
        <v>273</v>
      </c>
      <c r="E33" s="3083" t="s">
        <v>256</v>
      </c>
      <c r="F33" s="2429" t="s">
        <v>40</v>
      </c>
      <c r="G33" s="786" t="s">
        <v>36</v>
      </c>
      <c r="H33" s="1023">
        <f>20/3.4528*1000</f>
        <v>5792</v>
      </c>
      <c r="I33" s="932"/>
      <c r="J33" s="1022"/>
      <c r="K33" s="870" t="s">
        <v>274</v>
      </c>
      <c r="L33" s="871">
        <v>1</v>
      </c>
      <c r="M33" s="810"/>
      <c r="N33" s="1069"/>
    </row>
    <row r="34" spans="1:16" ht="18.75" customHeight="1" x14ac:dyDescent="0.2">
      <c r="A34" s="680"/>
      <c r="B34" s="840"/>
      <c r="C34" s="841"/>
      <c r="D34" s="849" t="s">
        <v>239</v>
      </c>
      <c r="E34" s="3084"/>
      <c r="F34" s="3090"/>
      <c r="G34" s="785" t="s">
        <v>36</v>
      </c>
      <c r="H34" s="1018"/>
      <c r="I34" s="932"/>
      <c r="J34" s="933">
        <f>250/3.4528*1000</f>
        <v>72405</v>
      </c>
      <c r="K34" s="849" t="s">
        <v>258</v>
      </c>
      <c r="L34" s="835"/>
      <c r="M34" s="851"/>
      <c r="N34" s="1070">
        <v>50</v>
      </c>
    </row>
    <row r="35" spans="1:16" ht="16.5" customHeight="1" x14ac:dyDescent="0.2">
      <c r="A35" s="680"/>
      <c r="B35" s="840"/>
      <c r="C35" s="848"/>
      <c r="D35" s="2741" t="s">
        <v>253</v>
      </c>
      <c r="E35" s="3087" t="s">
        <v>254</v>
      </c>
      <c r="F35" s="2429" t="s">
        <v>90</v>
      </c>
      <c r="G35" s="12" t="s">
        <v>93</v>
      </c>
      <c r="H35" s="1024"/>
      <c r="I35" s="934">
        <f>11.3/3.4528*1000</f>
        <v>3273</v>
      </c>
      <c r="J35" s="934">
        <f>15/3.4528*1000</f>
        <v>4344</v>
      </c>
      <c r="K35" s="3034" t="s">
        <v>336</v>
      </c>
      <c r="L35" s="739"/>
      <c r="M35" s="739">
        <v>1</v>
      </c>
      <c r="N35" s="740"/>
      <c r="O35" s="685"/>
    </row>
    <row r="36" spans="1:16" ht="13.5" customHeight="1" x14ac:dyDescent="0.2">
      <c r="A36" s="680"/>
      <c r="B36" s="840"/>
      <c r="C36" s="848"/>
      <c r="D36" s="3085"/>
      <c r="E36" s="3088"/>
      <c r="F36" s="2381"/>
      <c r="G36" s="692" t="s">
        <v>88</v>
      </c>
      <c r="H36" s="1025"/>
      <c r="I36" s="1026">
        <f>11.3/3.4528*1000</f>
        <v>3273</v>
      </c>
      <c r="J36" s="1026">
        <f>15/3.4528*1000</f>
        <v>4344</v>
      </c>
      <c r="K36" s="3035"/>
      <c r="L36" s="741"/>
      <c r="M36" s="741"/>
      <c r="N36" s="742"/>
      <c r="O36" s="685"/>
    </row>
    <row r="37" spans="1:16" ht="14.25" customHeight="1" x14ac:dyDescent="0.2">
      <c r="A37" s="680"/>
      <c r="B37" s="840"/>
      <c r="C37" s="848"/>
      <c r="D37" s="3086"/>
      <c r="E37" s="3089"/>
      <c r="F37" s="2381"/>
      <c r="G37" s="145" t="s">
        <v>92</v>
      </c>
      <c r="H37" s="1027"/>
      <c r="I37" s="935">
        <f>127.4/3.4528*1000</f>
        <v>36898</v>
      </c>
      <c r="J37" s="936">
        <f>170/3.4528*1000</f>
        <v>49235</v>
      </c>
      <c r="K37" s="867" t="s">
        <v>258</v>
      </c>
      <c r="L37" s="868"/>
      <c r="M37" s="868"/>
      <c r="N37" s="869">
        <v>10</v>
      </c>
      <c r="O37" s="685"/>
    </row>
    <row r="38" spans="1:16" ht="13.5" thickBot="1" x14ac:dyDescent="0.25">
      <c r="A38" s="681"/>
      <c r="B38" s="842"/>
      <c r="C38" s="779"/>
      <c r="D38" s="853"/>
      <c r="E38" s="861"/>
      <c r="F38" s="865"/>
      <c r="G38" s="280" t="s">
        <v>10</v>
      </c>
      <c r="H38" s="964">
        <f>SUM(H12:H37)</f>
        <v>553637</v>
      </c>
      <c r="I38" s="977">
        <f>SUM(I12:I37)</f>
        <v>547181</v>
      </c>
      <c r="J38" s="1028">
        <f>SUM(J1:J37)</f>
        <v>340998</v>
      </c>
      <c r="K38" s="866"/>
      <c r="L38" s="1071"/>
      <c r="M38" s="1072"/>
      <c r="N38" s="1073"/>
    </row>
    <row r="39" spans="1:16" ht="12.75" customHeight="1" x14ac:dyDescent="0.2">
      <c r="A39" s="2705" t="s">
        <v>9</v>
      </c>
      <c r="B39" s="2520" t="s">
        <v>9</v>
      </c>
      <c r="C39" s="2459" t="s">
        <v>11</v>
      </c>
      <c r="D39" s="3078" t="s">
        <v>114</v>
      </c>
      <c r="E39" s="2462"/>
      <c r="F39" s="2451" t="s">
        <v>40</v>
      </c>
      <c r="G39" s="15" t="s">
        <v>36</v>
      </c>
      <c r="H39" s="1050">
        <f>7153.9/3.4528*1000</f>
        <v>2071913</v>
      </c>
      <c r="I39" s="1063">
        <f>7190/3.4528*1000</f>
        <v>2082368</v>
      </c>
      <c r="J39" s="1152">
        <f>7190/3.4528*1000</f>
        <v>2082368</v>
      </c>
      <c r="K39" s="675"/>
      <c r="L39" s="126"/>
      <c r="M39" s="126"/>
      <c r="N39" s="37"/>
      <c r="P39" s="88"/>
    </row>
    <row r="40" spans="1:16" x14ac:dyDescent="0.2">
      <c r="A40" s="2668"/>
      <c r="B40" s="2521"/>
      <c r="C40" s="2414"/>
      <c r="D40" s="3079"/>
      <c r="E40" s="2376"/>
      <c r="F40" s="2381"/>
      <c r="G40" s="25" t="s">
        <v>61</v>
      </c>
      <c r="H40" s="1023">
        <f>3/3.4528*1000</f>
        <v>869</v>
      </c>
      <c r="I40" s="965">
        <f>3/3.4528*1000</f>
        <v>869</v>
      </c>
      <c r="J40" s="963">
        <f>3/3.4528*1000</f>
        <v>869</v>
      </c>
      <c r="K40" s="17"/>
      <c r="L40" s="1128"/>
      <c r="M40" s="1128"/>
      <c r="N40" s="1127"/>
    </row>
    <row r="41" spans="1:16" x14ac:dyDescent="0.2">
      <c r="A41" s="795"/>
      <c r="B41" s="793"/>
      <c r="C41" s="794"/>
      <c r="D41" s="3080"/>
      <c r="E41" s="1123"/>
      <c r="F41" s="1110"/>
      <c r="G41" s="145" t="s">
        <v>36</v>
      </c>
      <c r="H41" s="1029">
        <f>15/3.4528*1000</f>
        <v>4344</v>
      </c>
      <c r="I41" s="939">
        <f>15/3.4528*1000</f>
        <v>4344</v>
      </c>
      <c r="J41" s="940">
        <f>15/3.4528*1000</f>
        <v>4344</v>
      </c>
      <c r="K41" s="1149"/>
      <c r="L41" s="1150"/>
      <c r="M41" s="1150"/>
      <c r="N41" s="1151"/>
    </row>
    <row r="42" spans="1:16" ht="14.25" customHeight="1" x14ac:dyDescent="0.2">
      <c r="A42" s="2668"/>
      <c r="B42" s="2413"/>
      <c r="C42" s="2414"/>
      <c r="D42" s="2432" t="s">
        <v>191</v>
      </c>
      <c r="E42" s="2376"/>
      <c r="F42" s="2381"/>
      <c r="G42" s="16"/>
      <c r="H42" s="1018"/>
      <c r="I42" s="920"/>
      <c r="J42" s="941"/>
      <c r="K42" s="1149" t="s">
        <v>284</v>
      </c>
      <c r="L42" s="1150">
        <v>3.8</v>
      </c>
      <c r="M42" s="1150">
        <v>3.8</v>
      </c>
      <c r="N42" s="1151">
        <v>3.8</v>
      </c>
    </row>
    <row r="43" spans="1:16" ht="15.75" customHeight="1" x14ac:dyDescent="0.2">
      <c r="A43" s="2668"/>
      <c r="B43" s="2413"/>
      <c r="C43" s="2414"/>
      <c r="D43" s="2432"/>
      <c r="E43" s="2376"/>
      <c r="F43" s="2381"/>
      <c r="G43" s="16"/>
      <c r="H43" s="1018"/>
      <c r="I43" s="923"/>
      <c r="J43" s="959"/>
      <c r="K43" s="1148" t="s">
        <v>226</v>
      </c>
      <c r="L43" s="729">
        <v>3.4</v>
      </c>
      <c r="M43" s="729">
        <v>3.4</v>
      </c>
      <c r="N43" s="730">
        <v>3.4</v>
      </c>
    </row>
    <row r="44" spans="1:16" ht="15.75" customHeight="1" x14ac:dyDescent="0.2">
      <c r="A44" s="2668"/>
      <c r="B44" s="2413"/>
      <c r="C44" s="2414"/>
      <c r="D44" s="3092"/>
      <c r="E44" s="3093"/>
      <c r="F44" s="3091"/>
      <c r="G44" s="16"/>
      <c r="H44" s="1018"/>
      <c r="I44" s="922"/>
      <c r="J44" s="1146"/>
      <c r="K44" s="693" t="s">
        <v>285</v>
      </c>
      <c r="L44" s="694">
        <v>24</v>
      </c>
      <c r="M44" s="694">
        <v>24</v>
      </c>
      <c r="N44" s="695">
        <v>24</v>
      </c>
    </row>
    <row r="45" spans="1:16" ht="17.25" customHeight="1" x14ac:dyDescent="0.2">
      <c r="A45" s="2668"/>
      <c r="B45" s="2413"/>
      <c r="C45" s="2414"/>
      <c r="D45" s="3095" t="s">
        <v>56</v>
      </c>
      <c r="E45" s="994"/>
      <c r="F45" s="884"/>
      <c r="G45" s="16"/>
      <c r="H45" s="1018"/>
      <c r="I45" s="920"/>
      <c r="J45" s="941"/>
      <c r="K45" s="693" t="s">
        <v>58</v>
      </c>
      <c r="L45" s="694">
        <v>36</v>
      </c>
      <c r="M45" s="694">
        <v>38</v>
      </c>
      <c r="N45" s="695">
        <v>38</v>
      </c>
    </row>
    <row r="46" spans="1:16" ht="29.25" customHeight="1" x14ac:dyDescent="0.2">
      <c r="A46" s="2668"/>
      <c r="B46" s="2413"/>
      <c r="C46" s="2414"/>
      <c r="D46" s="3096"/>
      <c r="E46" s="995"/>
      <c r="F46" s="996"/>
      <c r="G46" s="16"/>
      <c r="H46" s="1018"/>
      <c r="I46" s="923"/>
      <c r="J46" s="959"/>
      <c r="K46" s="693" t="s">
        <v>194</v>
      </c>
      <c r="L46" s="694">
        <v>895</v>
      </c>
      <c r="M46" s="694">
        <v>890</v>
      </c>
      <c r="N46" s="695">
        <v>890</v>
      </c>
    </row>
    <row r="47" spans="1:16" ht="18" customHeight="1" x14ac:dyDescent="0.2">
      <c r="A47" s="771"/>
      <c r="B47" s="765"/>
      <c r="C47" s="766"/>
      <c r="D47" s="2444" t="s">
        <v>338</v>
      </c>
      <c r="E47" s="1123"/>
      <c r="F47" s="1110"/>
      <c r="G47" s="16"/>
      <c r="H47" s="1018"/>
      <c r="I47" s="920"/>
      <c r="J47" s="941"/>
      <c r="K47" s="736" t="s">
        <v>294</v>
      </c>
      <c r="L47" s="724" t="s">
        <v>295</v>
      </c>
      <c r="M47" s="724" t="s">
        <v>295</v>
      </c>
      <c r="N47" s="1147" t="s">
        <v>299</v>
      </c>
    </row>
    <row r="48" spans="1:16" ht="18" customHeight="1" x14ac:dyDescent="0.2">
      <c r="A48" s="897"/>
      <c r="B48" s="895"/>
      <c r="C48" s="896"/>
      <c r="D48" s="2444"/>
      <c r="E48" s="893"/>
      <c r="F48" s="894"/>
      <c r="G48" s="16"/>
      <c r="H48" s="1018"/>
      <c r="I48" s="920"/>
      <c r="J48" s="941"/>
      <c r="K48" s="698" t="s">
        <v>300</v>
      </c>
      <c r="L48" s="899" t="s">
        <v>297</v>
      </c>
      <c r="M48" s="899" t="s">
        <v>297</v>
      </c>
      <c r="N48" s="900" t="s">
        <v>298</v>
      </c>
    </row>
    <row r="49" spans="1:14" ht="27" customHeight="1" x14ac:dyDescent="0.2">
      <c r="A49" s="771"/>
      <c r="B49" s="765"/>
      <c r="C49" s="766"/>
      <c r="D49" s="3094"/>
      <c r="E49" s="767"/>
      <c r="F49" s="751"/>
      <c r="G49" s="145"/>
      <c r="H49" s="1029"/>
      <c r="I49" s="919"/>
      <c r="J49" s="1145"/>
      <c r="K49" s="698" t="s">
        <v>339</v>
      </c>
      <c r="L49" s="898" t="s">
        <v>296</v>
      </c>
      <c r="M49" s="898" t="s">
        <v>296</v>
      </c>
      <c r="N49" s="904" t="s">
        <v>296</v>
      </c>
    </row>
    <row r="50" spans="1:14" ht="26.25" thickBot="1" x14ac:dyDescent="0.25">
      <c r="A50" s="771"/>
      <c r="B50" s="765"/>
      <c r="C50" s="766"/>
      <c r="D50" s="3094"/>
      <c r="E50" s="801"/>
      <c r="F50" s="799"/>
      <c r="G50" s="809" t="s">
        <v>10</v>
      </c>
      <c r="H50" s="1031">
        <f>H39+H40+H41</f>
        <v>2077126</v>
      </c>
      <c r="I50" s="1032">
        <f>I39+I40+I41</f>
        <v>2087581</v>
      </c>
      <c r="J50" s="1031">
        <f>J39+J40+J41</f>
        <v>2087581</v>
      </c>
      <c r="K50" s="903" t="s">
        <v>101</v>
      </c>
      <c r="L50" s="905">
        <v>1</v>
      </c>
      <c r="M50" s="715">
        <v>1</v>
      </c>
      <c r="N50" s="716">
        <v>1</v>
      </c>
    </row>
    <row r="51" spans="1:14" x14ac:dyDescent="0.2">
      <c r="A51" s="2705" t="s">
        <v>9</v>
      </c>
      <c r="B51" s="2458" t="s">
        <v>9</v>
      </c>
      <c r="C51" s="3098" t="s">
        <v>38</v>
      </c>
      <c r="D51" s="3099" t="s">
        <v>115</v>
      </c>
      <c r="E51" s="3102" t="s">
        <v>170</v>
      </c>
      <c r="F51" s="2451" t="s">
        <v>40</v>
      </c>
      <c r="G51" s="339" t="s">
        <v>36</v>
      </c>
      <c r="H51" s="1033">
        <f>2038.5/3.4528*1000</f>
        <v>590390</v>
      </c>
      <c r="I51" s="1034">
        <f>(2153+0.9)/3.4528*1000</f>
        <v>623813</v>
      </c>
      <c r="J51" s="1035">
        <f>1665.8/3.4528*1000</f>
        <v>482449</v>
      </c>
      <c r="K51" s="1112"/>
      <c r="L51" s="126"/>
      <c r="M51" s="126"/>
      <c r="N51" s="37"/>
    </row>
    <row r="52" spans="1:14" ht="12.75" customHeight="1" x14ac:dyDescent="0.2">
      <c r="A52" s="2668"/>
      <c r="B52" s="2413"/>
      <c r="C52" s="2628"/>
      <c r="D52" s="3100"/>
      <c r="E52" s="3072"/>
      <c r="F52" s="2381"/>
      <c r="G52" s="12" t="s">
        <v>61</v>
      </c>
      <c r="H52" s="1036">
        <f>116.2/3.4528*1000</f>
        <v>33654</v>
      </c>
      <c r="I52" s="1037">
        <f>116.3/3.4528*1000</f>
        <v>33683</v>
      </c>
      <c r="J52" s="1038">
        <f>116.3/3.4528*1000</f>
        <v>33683</v>
      </c>
      <c r="K52" s="1115"/>
      <c r="L52" s="1128"/>
      <c r="M52" s="1128"/>
      <c r="N52" s="1127"/>
    </row>
    <row r="53" spans="1:14" ht="11.25" customHeight="1" x14ac:dyDescent="0.2">
      <c r="A53" s="1101"/>
      <c r="B53" s="1098"/>
      <c r="C53" s="1103"/>
      <c r="D53" s="3101"/>
      <c r="E53" s="3103"/>
      <c r="F53" s="996"/>
      <c r="G53" s="875"/>
      <c r="H53" s="1156"/>
      <c r="I53" s="1157"/>
      <c r="J53" s="1158"/>
      <c r="K53" s="1144"/>
      <c r="L53" s="1150"/>
      <c r="M53" s="1150"/>
      <c r="N53" s="1151"/>
    </row>
    <row r="54" spans="1:14" ht="28.5" customHeight="1" thickBot="1" x14ac:dyDescent="0.25">
      <c r="A54" s="1102"/>
      <c r="B54" s="1097"/>
      <c r="C54" s="779"/>
      <c r="D54" s="1153" t="s">
        <v>244</v>
      </c>
      <c r="E54" s="1124"/>
      <c r="F54" s="1111"/>
      <c r="G54" s="1104"/>
      <c r="H54" s="1105"/>
      <c r="I54" s="1106"/>
      <c r="J54" s="1107"/>
      <c r="K54" s="331" t="s">
        <v>319</v>
      </c>
      <c r="L54" s="1154">
        <v>2</v>
      </c>
      <c r="M54" s="1155"/>
      <c r="N54" s="716"/>
    </row>
    <row r="55" spans="1:14" ht="27" customHeight="1" x14ac:dyDescent="0.2">
      <c r="A55" s="845"/>
      <c r="B55" s="843"/>
      <c r="C55" s="848"/>
      <c r="D55" s="1159" t="s">
        <v>265</v>
      </c>
      <c r="E55" s="1123"/>
      <c r="F55" s="1110"/>
      <c r="G55" s="365"/>
      <c r="H55" s="1058"/>
      <c r="I55" s="967"/>
      <c r="J55" s="1160"/>
      <c r="K55" s="1119" t="s">
        <v>266</v>
      </c>
      <c r="L55" s="1161"/>
      <c r="M55" s="1162">
        <v>100</v>
      </c>
      <c r="N55" s="1126">
        <v>100</v>
      </c>
    </row>
    <row r="56" spans="1:14" ht="13.5" customHeight="1" x14ac:dyDescent="0.2">
      <c r="A56" s="845"/>
      <c r="B56" s="840"/>
      <c r="C56" s="848"/>
      <c r="D56" s="3037" t="s">
        <v>275</v>
      </c>
      <c r="E56" s="994"/>
      <c r="F56" s="884"/>
      <c r="G56" s="731"/>
      <c r="H56" s="1163"/>
      <c r="I56" s="1164"/>
      <c r="J56" s="1164"/>
      <c r="K56" s="719" t="s">
        <v>320</v>
      </c>
      <c r="L56" s="744">
        <v>2</v>
      </c>
      <c r="M56" s="744">
        <v>2</v>
      </c>
      <c r="N56" s="1165">
        <v>2</v>
      </c>
    </row>
    <row r="57" spans="1:14" ht="16.5" customHeight="1" x14ac:dyDescent="0.2">
      <c r="A57" s="845"/>
      <c r="B57" s="840"/>
      <c r="C57" s="848"/>
      <c r="D57" s="3097"/>
      <c r="E57" s="995"/>
      <c r="F57" s="996"/>
      <c r="G57" s="875"/>
      <c r="H57" s="1156"/>
      <c r="I57" s="1157"/>
      <c r="J57" s="1157"/>
      <c r="K57" s="1166" t="s">
        <v>321</v>
      </c>
      <c r="L57" s="1167">
        <v>5</v>
      </c>
      <c r="M57" s="1167">
        <v>5</v>
      </c>
      <c r="N57" s="1168">
        <v>5</v>
      </c>
    </row>
    <row r="58" spans="1:14" ht="25.5" customHeight="1" x14ac:dyDescent="0.2">
      <c r="A58" s="845"/>
      <c r="B58" s="840"/>
      <c r="C58" s="848"/>
      <c r="D58" s="1169" t="s">
        <v>144</v>
      </c>
      <c r="E58" s="1137"/>
      <c r="F58" s="1136"/>
      <c r="G58" s="697"/>
      <c r="H58" s="1170"/>
      <c r="I58" s="935"/>
      <c r="J58" s="1171"/>
      <c r="K58" s="1172" t="s">
        <v>195</v>
      </c>
      <c r="L58" s="886">
        <v>2</v>
      </c>
      <c r="M58" s="1173">
        <v>2</v>
      </c>
      <c r="N58" s="887">
        <v>2</v>
      </c>
    </row>
    <row r="59" spans="1:14" ht="12.75" customHeight="1" x14ac:dyDescent="0.2">
      <c r="A59" s="845"/>
      <c r="B59" s="840"/>
      <c r="C59" s="848"/>
      <c r="D59" s="2667" t="s">
        <v>311</v>
      </c>
      <c r="E59" s="986"/>
      <c r="F59" s="983"/>
      <c r="G59" s="16"/>
      <c r="H59" s="1041"/>
      <c r="I59" s="920"/>
      <c r="J59" s="942"/>
      <c r="K59" s="726" t="s">
        <v>63</v>
      </c>
      <c r="L59" s="727">
        <v>19.5</v>
      </c>
      <c r="M59" s="727">
        <v>19.5</v>
      </c>
      <c r="N59" s="725">
        <v>19.5</v>
      </c>
    </row>
    <row r="60" spans="1:14" x14ac:dyDescent="0.2">
      <c r="A60" s="845"/>
      <c r="B60" s="840"/>
      <c r="C60" s="848"/>
      <c r="D60" s="2625"/>
      <c r="E60" s="986"/>
      <c r="F60" s="983"/>
      <c r="G60" s="16"/>
      <c r="H60" s="1041"/>
      <c r="I60" s="922"/>
      <c r="J60" s="943"/>
      <c r="K60" s="874" t="s">
        <v>62</v>
      </c>
      <c r="L60" s="805">
        <v>108.8</v>
      </c>
      <c r="M60" s="805">
        <v>108.8</v>
      </c>
      <c r="N60" s="806">
        <v>108.8</v>
      </c>
    </row>
    <row r="61" spans="1:14" ht="29.25" customHeight="1" x14ac:dyDescent="0.2">
      <c r="A61" s="680"/>
      <c r="B61" s="840"/>
      <c r="C61" s="848"/>
      <c r="D61" s="988" t="s">
        <v>160</v>
      </c>
      <c r="E61" s="992"/>
      <c r="F61" s="993"/>
      <c r="G61" s="692"/>
      <c r="H61" s="1042"/>
      <c r="I61" s="944"/>
      <c r="J61" s="945"/>
      <c r="K61" s="825" t="s">
        <v>322</v>
      </c>
      <c r="L61" s="826">
        <v>1</v>
      </c>
      <c r="M61" s="827">
        <v>1</v>
      </c>
      <c r="N61" s="828">
        <v>1</v>
      </c>
    </row>
    <row r="62" spans="1:14" ht="18" customHeight="1" x14ac:dyDescent="0.2">
      <c r="A62" s="680"/>
      <c r="B62" s="840"/>
      <c r="C62" s="848"/>
      <c r="D62" s="3036" t="s">
        <v>277</v>
      </c>
      <c r="E62" s="994"/>
      <c r="F62" s="884"/>
      <c r="G62" s="731"/>
      <c r="H62" s="1043"/>
      <c r="I62" s="946"/>
      <c r="J62" s="947"/>
      <c r="K62" s="693" t="s">
        <v>323</v>
      </c>
      <c r="L62" s="728">
        <v>1</v>
      </c>
      <c r="M62" s="732"/>
      <c r="N62" s="804"/>
    </row>
    <row r="63" spans="1:14" ht="15" customHeight="1" x14ac:dyDescent="0.2">
      <c r="A63" s="680"/>
      <c r="B63" s="840"/>
      <c r="C63" s="848"/>
      <c r="D63" s="3037"/>
      <c r="E63" s="986"/>
      <c r="F63" s="983"/>
      <c r="G63" s="16"/>
      <c r="H63" s="1044"/>
      <c r="I63" s="922"/>
      <c r="J63" s="943"/>
      <c r="K63" s="719" t="s">
        <v>324</v>
      </c>
      <c r="L63" s="876"/>
      <c r="M63" s="877">
        <v>2</v>
      </c>
      <c r="N63" s="878">
        <v>1</v>
      </c>
    </row>
    <row r="64" spans="1:14" ht="17.25" customHeight="1" x14ac:dyDescent="0.2">
      <c r="A64" s="680"/>
      <c r="B64" s="840"/>
      <c r="C64" s="848"/>
      <c r="D64" s="989"/>
      <c r="E64" s="995"/>
      <c r="F64" s="996"/>
      <c r="G64" s="875"/>
      <c r="H64" s="1045"/>
      <c r="I64" s="948"/>
      <c r="J64" s="949"/>
      <c r="K64" s="747" t="s">
        <v>325</v>
      </c>
      <c r="L64" s="879"/>
      <c r="M64" s="880">
        <v>1</v>
      </c>
      <c r="N64" s="881"/>
    </row>
    <row r="65" spans="1:14" ht="27" customHeight="1" x14ac:dyDescent="0.2">
      <c r="A65" s="680"/>
      <c r="B65" s="840"/>
      <c r="C65" s="848"/>
      <c r="D65" s="990" t="s">
        <v>312</v>
      </c>
      <c r="E65" s="992"/>
      <c r="F65" s="993"/>
      <c r="G65" s="692"/>
      <c r="H65" s="1042"/>
      <c r="I65" s="944"/>
      <c r="J65" s="950"/>
      <c r="K65" s="693" t="s">
        <v>246</v>
      </c>
      <c r="L65" s="728">
        <v>60</v>
      </c>
      <c r="M65" s="728">
        <v>40</v>
      </c>
      <c r="N65" s="695"/>
    </row>
    <row r="66" spans="1:14" ht="15" customHeight="1" x14ac:dyDescent="0.2">
      <c r="A66" s="680"/>
      <c r="B66" s="840"/>
      <c r="C66" s="848"/>
      <c r="D66" s="991" t="s">
        <v>276</v>
      </c>
      <c r="E66" s="994"/>
      <c r="F66" s="884"/>
      <c r="G66" s="697"/>
      <c r="H66" s="1046"/>
      <c r="I66" s="936"/>
      <c r="J66" s="951"/>
      <c r="K66" s="882" t="s">
        <v>326</v>
      </c>
      <c r="L66" s="868">
        <v>8</v>
      </c>
      <c r="M66" s="868">
        <v>24</v>
      </c>
      <c r="N66" s="883">
        <v>24</v>
      </c>
    </row>
    <row r="67" spans="1:14" ht="14.25" customHeight="1" thickBot="1" x14ac:dyDescent="0.25">
      <c r="A67" s="846"/>
      <c r="B67" s="842"/>
      <c r="C67" s="779"/>
      <c r="D67" s="985"/>
      <c r="E67" s="987"/>
      <c r="F67" s="984"/>
      <c r="G67" s="283" t="s">
        <v>10</v>
      </c>
      <c r="H67" s="977">
        <f>H51+H52+H53</f>
        <v>624044</v>
      </c>
      <c r="I67" s="977">
        <f>I51+I52+I53</f>
        <v>657496</v>
      </c>
      <c r="J67" s="1047">
        <f>J51+J52+J53</f>
        <v>516132</v>
      </c>
      <c r="K67" s="18"/>
      <c r="L67" s="715"/>
      <c r="M67" s="715"/>
      <c r="N67" s="716"/>
    </row>
    <row r="68" spans="1:14" ht="16.5" customHeight="1" x14ac:dyDescent="0.2">
      <c r="A68" s="2668" t="s">
        <v>9</v>
      </c>
      <c r="B68" s="2413" t="s">
        <v>9</v>
      </c>
      <c r="C68" s="2414" t="s">
        <v>53</v>
      </c>
      <c r="D68" s="3104" t="s">
        <v>116</v>
      </c>
      <c r="E68" s="3105" t="s">
        <v>303</v>
      </c>
      <c r="F68" s="2381" t="s">
        <v>40</v>
      </c>
      <c r="G68" s="339" t="s">
        <v>36</v>
      </c>
      <c r="H68" s="1033">
        <f>7031.6/3.4528*1000</f>
        <v>2036492</v>
      </c>
      <c r="I68" s="1174">
        <f>7314.2/3.4528*1000</f>
        <v>2118339</v>
      </c>
      <c r="J68" s="1175">
        <f>7487.4/3.4528*1000</f>
        <v>2168501</v>
      </c>
      <c r="K68" s="2436"/>
      <c r="L68" s="2440"/>
      <c r="M68" s="2440"/>
      <c r="N68" s="2442"/>
    </row>
    <row r="69" spans="1:14" ht="15.75" customHeight="1" x14ac:dyDescent="0.2">
      <c r="A69" s="2668"/>
      <c r="B69" s="2413"/>
      <c r="C69" s="2414"/>
      <c r="D69" s="2461"/>
      <c r="E69" s="3105"/>
      <c r="F69" s="2381"/>
      <c r="G69" s="16"/>
      <c r="H69" s="1041"/>
      <c r="I69" s="952"/>
      <c r="J69" s="923"/>
      <c r="K69" s="2436"/>
      <c r="L69" s="2440"/>
      <c r="M69" s="2440"/>
      <c r="N69" s="2442"/>
    </row>
    <row r="70" spans="1:14" ht="12.75" customHeight="1" x14ac:dyDescent="0.2">
      <c r="A70" s="2668"/>
      <c r="B70" s="2413"/>
      <c r="C70" s="2414"/>
      <c r="D70" s="3110" t="s">
        <v>65</v>
      </c>
      <c r="E70" s="3112"/>
      <c r="F70" s="3091"/>
      <c r="G70" s="16"/>
      <c r="H70" s="1041"/>
      <c r="I70" s="920"/>
      <c r="J70" s="941"/>
      <c r="K70" s="2433" t="s">
        <v>100</v>
      </c>
      <c r="L70" s="2476">
        <v>8.1</v>
      </c>
      <c r="M70" s="2476">
        <v>8.1999999999999993</v>
      </c>
      <c r="N70" s="2473">
        <v>8.1999999999999993</v>
      </c>
    </row>
    <row r="71" spans="1:14" ht="25.5" customHeight="1" x14ac:dyDescent="0.2">
      <c r="A71" s="2668"/>
      <c r="B71" s="2413"/>
      <c r="C71" s="2414"/>
      <c r="D71" s="3111"/>
      <c r="E71" s="3113"/>
      <c r="F71" s="3076"/>
      <c r="G71" s="16"/>
      <c r="H71" s="1041"/>
      <c r="I71" s="923"/>
      <c r="J71" s="959"/>
      <c r="K71" s="2439"/>
      <c r="L71" s="3109"/>
      <c r="M71" s="3109"/>
      <c r="N71" s="3106"/>
    </row>
    <row r="72" spans="1:14" ht="12.75" customHeight="1" x14ac:dyDescent="0.2">
      <c r="A72" s="2668"/>
      <c r="B72" s="2413"/>
      <c r="C72" s="2414"/>
      <c r="D72" s="2445" t="s">
        <v>64</v>
      </c>
      <c r="E72" s="3107" t="s">
        <v>184</v>
      </c>
      <c r="F72" s="2488"/>
      <c r="G72" s="16"/>
      <c r="H72" s="1041"/>
      <c r="I72" s="920"/>
      <c r="J72" s="941"/>
      <c r="K72" s="708" t="s">
        <v>196</v>
      </c>
      <c r="L72" s="733">
        <v>14.5</v>
      </c>
      <c r="M72" s="733">
        <v>14.6</v>
      </c>
      <c r="N72" s="734">
        <v>14.7</v>
      </c>
    </row>
    <row r="73" spans="1:14" ht="38.25" customHeight="1" x14ac:dyDescent="0.2">
      <c r="A73" s="2668"/>
      <c r="B73" s="2413"/>
      <c r="C73" s="2414"/>
      <c r="D73" s="2446"/>
      <c r="E73" s="3108"/>
      <c r="F73" s="2488"/>
      <c r="G73" s="16"/>
      <c r="H73" s="1041"/>
      <c r="I73" s="923"/>
      <c r="J73" s="959"/>
      <c r="K73" s="61" t="s">
        <v>197</v>
      </c>
      <c r="L73" s="1014">
        <v>150</v>
      </c>
      <c r="M73" s="1014">
        <v>80</v>
      </c>
      <c r="N73" s="1015">
        <v>80</v>
      </c>
    </row>
    <row r="74" spans="1:14" ht="38.25" x14ac:dyDescent="0.2">
      <c r="A74" s="771"/>
      <c r="B74" s="735"/>
      <c r="C74" s="766"/>
      <c r="D74" s="839" t="s">
        <v>247</v>
      </c>
      <c r="E74" s="699"/>
      <c r="F74" s="1120"/>
      <c r="G74" s="145"/>
      <c r="H74" s="1039"/>
      <c r="I74" s="953"/>
      <c r="J74" s="954"/>
      <c r="K74" s="66" t="s">
        <v>248</v>
      </c>
      <c r="L74" s="67">
        <v>1</v>
      </c>
      <c r="M74" s="851"/>
      <c r="N74" s="68"/>
    </row>
    <row r="75" spans="1:14" ht="27.75" customHeight="1" x14ac:dyDescent="0.2">
      <c r="A75" s="832"/>
      <c r="B75" s="735"/>
      <c r="C75" s="830"/>
      <c r="D75" s="833" t="s">
        <v>146</v>
      </c>
      <c r="E75" s="997" t="s">
        <v>304</v>
      </c>
      <c r="F75" s="829"/>
      <c r="G75" s="145" t="s">
        <v>92</v>
      </c>
      <c r="H75" s="1039"/>
      <c r="I75" s="953">
        <f>50/3.4528*1000</f>
        <v>14481</v>
      </c>
      <c r="J75" s="954">
        <f>50/3.4528*1000</f>
        <v>14481</v>
      </c>
      <c r="K75" s="838" t="s">
        <v>251</v>
      </c>
      <c r="L75" s="1012"/>
      <c r="M75" s="1012"/>
      <c r="N75" s="1013">
        <v>1</v>
      </c>
    </row>
    <row r="76" spans="1:14" ht="16.5" customHeight="1" x14ac:dyDescent="0.2">
      <c r="A76" s="771"/>
      <c r="B76" s="765"/>
      <c r="C76" s="766"/>
      <c r="D76" s="2445" t="s">
        <v>67</v>
      </c>
      <c r="E76" s="802"/>
      <c r="F76" s="803"/>
      <c r="G76" s="25" t="s">
        <v>94</v>
      </c>
      <c r="H76" s="1039">
        <f>2038/3.4528*1000</f>
        <v>590246</v>
      </c>
      <c r="I76" s="955"/>
      <c r="J76" s="956"/>
      <c r="K76" s="60" t="s">
        <v>68</v>
      </c>
      <c r="L76" s="808">
        <v>94</v>
      </c>
      <c r="M76" s="739"/>
      <c r="N76" s="807"/>
    </row>
    <row r="77" spans="1:14" ht="13.5" thickBot="1" x14ac:dyDescent="0.25">
      <c r="A77" s="771"/>
      <c r="B77" s="765"/>
      <c r="C77" s="766"/>
      <c r="D77" s="2455"/>
      <c r="E77" s="769"/>
      <c r="F77" s="764"/>
      <c r="G77" s="780" t="s">
        <v>10</v>
      </c>
      <c r="H77" s="960">
        <f>SUM(H68:H76)</f>
        <v>2626738</v>
      </c>
      <c r="I77" s="960">
        <f>SUM(I68:I76)</f>
        <v>2132820</v>
      </c>
      <c r="J77" s="960">
        <f>SUM(J68:J76)</f>
        <v>2182982</v>
      </c>
      <c r="K77" s="792"/>
      <c r="L77" s="715"/>
      <c r="M77" s="715"/>
      <c r="N77" s="1074"/>
    </row>
    <row r="78" spans="1:14" ht="40.5" customHeight="1" x14ac:dyDescent="0.2">
      <c r="A78" s="2705" t="s">
        <v>9</v>
      </c>
      <c r="B78" s="2458" t="s">
        <v>9</v>
      </c>
      <c r="C78" s="2459" t="s">
        <v>54</v>
      </c>
      <c r="D78" s="860" t="s">
        <v>270</v>
      </c>
      <c r="E78" s="2462"/>
      <c r="F78" s="2487" t="s">
        <v>95</v>
      </c>
      <c r="G78" s="339" t="s">
        <v>36</v>
      </c>
      <c r="H78" s="1048">
        <f>704/3.4528*1000</f>
        <v>203892</v>
      </c>
      <c r="I78" s="957">
        <f>(50+577)/3.4528*1000</f>
        <v>181592</v>
      </c>
      <c r="J78" s="958">
        <f>(50+577)/3.4528*1000</f>
        <v>181592</v>
      </c>
      <c r="K78" s="791" t="s">
        <v>327</v>
      </c>
      <c r="L78" s="1012">
        <v>65</v>
      </c>
      <c r="M78" s="1012">
        <v>65</v>
      </c>
      <c r="N78" s="1013">
        <v>65</v>
      </c>
    </row>
    <row r="79" spans="1:14" ht="14.25" customHeight="1" x14ac:dyDescent="0.2">
      <c r="A79" s="2668"/>
      <c r="B79" s="2413"/>
      <c r="C79" s="2414"/>
      <c r="D79" s="3114" t="s">
        <v>271</v>
      </c>
      <c r="E79" s="2376"/>
      <c r="F79" s="2488"/>
      <c r="G79" s="145"/>
      <c r="H79" s="1049"/>
      <c r="I79" s="923"/>
      <c r="J79" s="959"/>
      <c r="K79" s="831" t="s">
        <v>272</v>
      </c>
      <c r="L79" s="1012">
        <v>5</v>
      </c>
      <c r="M79" s="1012"/>
      <c r="N79" s="1013"/>
    </row>
    <row r="80" spans="1:14" ht="16.5" customHeight="1" thickBot="1" x14ac:dyDescent="0.25">
      <c r="A80" s="2719"/>
      <c r="B80" s="2453"/>
      <c r="C80" s="2454"/>
      <c r="D80" s="3115"/>
      <c r="E80" s="2480"/>
      <c r="F80" s="2489"/>
      <c r="G80" s="280" t="s">
        <v>10</v>
      </c>
      <c r="H80" s="964">
        <f>H78</f>
        <v>203892</v>
      </c>
      <c r="I80" s="960">
        <f>SUM(I78:I79)</f>
        <v>181592</v>
      </c>
      <c r="J80" s="961">
        <f>SUM(J78:J79)</f>
        <v>181592</v>
      </c>
      <c r="K80" s="18"/>
      <c r="L80" s="715"/>
      <c r="M80" s="715"/>
      <c r="N80" s="716"/>
    </row>
    <row r="81" spans="1:16" ht="16.5" customHeight="1" x14ac:dyDescent="0.2">
      <c r="A81" s="2705" t="s">
        <v>9</v>
      </c>
      <c r="B81" s="2458" t="s">
        <v>9</v>
      </c>
      <c r="C81" s="2459" t="s">
        <v>41</v>
      </c>
      <c r="D81" s="2490" t="s">
        <v>264</v>
      </c>
      <c r="E81" s="2503" t="s">
        <v>169</v>
      </c>
      <c r="F81" s="2487" t="s">
        <v>90</v>
      </c>
      <c r="G81" s="339" t="s">
        <v>92</v>
      </c>
      <c r="H81" s="1176">
        <f>366.4/3.4528*1000</f>
        <v>106117</v>
      </c>
      <c r="I81" s="1177"/>
      <c r="J81" s="962"/>
      <c r="K81" s="2496" t="s">
        <v>242</v>
      </c>
      <c r="L81" s="146">
        <v>100</v>
      </c>
      <c r="M81" s="146"/>
      <c r="N81" s="147"/>
    </row>
    <row r="82" spans="1:16" ht="21" customHeight="1" x14ac:dyDescent="0.2">
      <c r="A82" s="2668"/>
      <c r="B82" s="2413"/>
      <c r="C82" s="2414"/>
      <c r="D82" s="2491"/>
      <c r="E82" s="2504"/>
      <c r="F82" s="2488"/>
      <c r="G82" s="692" t="s">
        <v>36</v>
      </c>
      <c r="H82" s="1030">
        <f>0.1/3.4528*1000</f>
        <v>29</v>
      </c>
      <c r="I82" s="1178"/>
      <c r="J82" s="937"/>
      <c r="K82" s="3116"/>
      <c r="L82" s="1180"/>
      <c r="M82" s="1180"/>
      <c r="N82" s="1181"/>
    </row>
    <row r="83" spans="1:16" ht="15" customHeight="1" x14ac:dyDescent="0.2">
      <c r="A83" s="2668"/>
      <c r="B83" s="2413"/>
      <c r="C83" s="2414"/>
      <c r="D83" s="2491"/>
      <c r="E83" s="2504"/>
      <c r="F83" s="2488"/>
      <c r="G83" s="16" t="s">
        <v>93</v>
      </c>
      <c r="H83" s="1018">
        <f>77/3.4528*1000</f>
        <v>22301</v>
      </c>
      <c r="I83" s="926"/>
      <c r="J83" s="952"/>
      <c r="K83" s="1179" t="s">
        <v>286</v>
      </c>
      <c r="L83" s="31">
        <v>100</v>
      </c>
      <c r="M83" s="31"/>
      <c r="N83" s="144"/>
    </row>
    <row r="84" spans="1:16" ht="15" customHeight="1" thickBot="1" x14ac:dyDescent="0.25">
      <c r="A84" s="2719"/>
      <c r="B84" s="2453"/>
      <c r="C84" s="2454"/>
      <c r="D84" s="2492"/>
      <c r="E84" s="2505"/>
      <c r="F84" s="2489"/>
      <c r="G84" s="280" t="s">
        <v>10</v>
      </c>
      <c r="H84" s="1051">
        <f>SUM(H81:H83)</f>
        <v>128447</v>
      </c>
      <c r="I84" s="960">
        <f>SUM(I81:I83)</f>
        <v>0</v>
      </c>
      <c r="J84" s="964">
        <f>SUM(J81:J83)</f>
        <v>0</v>
      </c>
      <c r="K84" s="700"/>
      <c r="L84" s="1075"/>
      <c r="M84" s="1076"/>
      <c r="N84" s="1074"/>
      <c r="O84" s="14"/>
      <c r="P84" s="13"/>
    </row>
    <row r="85" spans="1:16" ht="14.25" customHeight="1" x14ac:dyDescent="0.2">
      <c r="A85" s="2705" t="s">
        <v>9</v>
      </c>
      <c r="B85" s="2458" t="s">
        <v>9</v>
      </c>
      <c r="C85" s="2459" t="s">
        <v>55</v>
      </c>
      <c r="D85" s="2490" t="s">
        <v>179</v>
      </c>
      <c r="E85" s="1122"/>
      <c r="F85" s="743"/>
      <c r="G85" s="676" t="s">
        <v>36</v>
      </c>
      <c r="H85" s="1052">
        <f>22/3.4528*1000</f>
        <v>6372</v>
      </c>
      <c r="I85" s="1053">
        <f>75/3.4528*1000</f>
        <v>21722</v>
      </c>
      <c r="J85" s="1054">
        <f>125/3.4528*1000</f>
        <v>36203</v>
      </c>
      <c r="K85" s="2498" t="s">
        <v>337</v>
      </c>
      <c r="L85" s="184">
        <f>L87+L88+L90+L91</f>
        <v>3</v>
      </c>
      <c r="M85" s="184">
        <f>M87+M88+M90+M91</f>
        <v>0</v>
      </c>
      <c r="N85" s="892">
        <f>N87+N88+N90+N91</f>
        <v>1</v>
      </c>
    </row>
    <row r="86" spans="1:16" ht="27.75" customHeight="1" x14ac:dyDescent="0.2">
      <c r="A86" s="2668"/>
      <c r="B86" s="2413"/>
      <c r="C86" s="2414"/>
      <c r="D86" s="2497"/>
      <c r="E86" s="1129"/>
      <c r="F86" s="781"/>
      <c r="G86" s="788" t="s">
        <v>92</v>
      </c>
      <c r="H86" s="1040">
        <f>53.5/3.4528*1000</f>
        <v>15495</v>
      </c>
      <c r="I86" s="938"/>
      <c r="J86" s="1055"/>
      <c r="K86" s="2499"/>
      <c r="L86" s="183"/>
      <c r="M86" s="1131"/>
      <c r="N86" s="1132"/>
    </row>
    <row r="87" spans="1:16" ht="41.25" customHeight="1" x14ac:dyDescent="0.2">
      <c r="A87" s="2668"/>
      <c r="B87" s="2413"/>
      <c r="C87" s="2414"/>
      <c r="D87" s="702" t="s">
        <v>287</v>
      </c>
      <c r="E87" s="837" t="s">
        <v>302</v>
      </c>
      <c r="F87" s="1130" t="s">
        <v>90</v>
      </c>
      <c r="G87" s="703"/>
      <c r="H87" s="1025"/>
      <c r="I87" s="944"/>
      <c r="J87" s="1056"/>
      <c r="K87" s="888" t="s">
        <v>328</v>
      </c>
      <c r="L87" s="889">
        <v>1</v>
      </c>
      <c r="M87" s="890"/>
      <c r="N87" s="885"/>
    </row>
    <row r="88" spans="1:16" ht="40.5" customHeight="1" x14ac:dyDescent="0.2">
      <c r="A88" s="2668"/>
      <c r="B88" s="2413"/>
      <c r="C88" s="2414"/>
      <c r="D88" s="1004" t="s">
        <v>333</v>
      </c>
      <c r="E88" s="1005" t="s">
        <v>183</v>
      </c>
      <c r="F88" s="1006"/>
      <c r="G88" s="1007" t="s">
        <v>94</v>
      </c>
      <c r="H88" s="1057"/>
      <c r="I88" s="936"/>
      <c r="J88" s="1055"/>
      <c r="K88" s="130" t="s">
        <v>328</v>
      </c>
      <c r="L88" s="1131">
        <v>1</v>
      </c>
      <c r="M88" s="131"/>
      <c r="N88" s="127"/>
    </row>
    <row r="89" spans="1:16" ht="40.5" customHeight="1" x14ac:dyDescent="0.2">
      <c r="A89" s="2668"/>
      <c r="B89" s="2413"/>
      <c r="C89" s="2414"/>
      <c r="D89" s="1138" t="s">
        <v>288</v>
      </c>
      <c r="E89" s="998"/>
      <c r="F89" s="782"/>
      <c r="G89" s="999"/>
      <c r="H89" s="1058"/>
      <c r="I89" s="922"/>
      <c r="J89" s="1059"/>
      <c r="K89" s="1001" t="s">
        <v>329</v>
      </c>
      <c r="L89" s="1002"/>
      <c r="M89" s="1003"/>
      <c r="N89" s="127">
        <v>1</v>
      </c>
    </row>
    <row r="90" spans="1:16" ht="39" customHeight="1" x14ac:dyDescent="0.2">
      <c r="A90" s="2668"/>
      <c r="B90" s="2413"/>
      <c r="C90" s="2414"/>
      <c r="D90" s="1000" t="s">
        <v>289</v>
      </c>
      <c r="E90" s="891"/>
      <c r="F90" s="1139" t="s">
        <v>90</v>
      </c>
      <c r="G90" s="26"/>
      <c r="H90" s="1060"/>
      <c r="I90" s="965"/>
      <c r="J90" s="963"/>
      <c r="K90" s="721" t="s">
        <v>329</v>
      </c>
      <c r="L90" s="67"/>
      <c r="M90" s="67"/>
      <c r="N90" s="68">
        <v>1</v>
      </c>
      <c r="P90" s="13"/>
    </row>
    <row r="91" spans="1:16" ht="32.25" customHeight="1" x14ac:dyDescent="0.2">
      <c r="A91" s="2668"/>
      <c r="B91" s="2413"/>
      <c r="C91" s="2414"/>
      <c r="D91" s="2420" t="s">
        <v>305</v>
      </c>
      <c r="E91" s="2494"/>
      <c r="F91" s="2488" t="s">
        <v>90</v>
      </c>
      <c r="G91" s="25"/>
      <c r="H91" s="1061"/>
      <c r="I91" s="956"/>
      <c r="J91" s="966"/>
      <c r="K91" s="27" t="s">
        <v>306</v>
      </c>
      <c r="L91" s="1125">
        <v>1</v>
      </c>
      <c r="M91" s="1125"/>
      <c r="N91" s="1126"/>
    </row>
    <row r="92" spans="1:16" ht="20.25" customHeight="1" thickBot="1" x14ac:dyDescent="0.25">
      <c r="A92" s="2719"/>
      <c r="B92" s="2453"/>
      <c r="C92" s="2454"/>
      <c r="D92" s="3124"/>
      <c r="E92" s="2533"/>
      <c r="F92" s="2489"/>
      <c r="G92" s="283" t="s">
        <v>10</v>
      </c>
      <c r="H92" s="977">
        <f>H85+H86</f>
        <v>21867</v>
      </c>
      <c r="I92" s="977">
        <f>I85+I86</f>
        <v>21722</v>
      </c>
      <c r="J92" s="977">
        <f>J85+J86</f>
        <v>36203</v>
      </c>
      <c r="K92" s="1118" t="s">
        <v>307</v>
      </c>
      <c r="L92" s="715">
        <v>2</v>
      </c>
      <c r="M92" s="715"/>
      <c r="N92" s="716"/>
    </row>
    <row r="93" spans="1:16" ht="17.25" customHeight="1" x14ac:dyDescent="0.2">
      <c r="A93" s="771" t="s">
        <v>9</v>
      </c>
      <c r="B93" s="757" t="s">
        <v>9</v>
      </c>
      <c r="C93" s="2414" t="s">
        <v>44</v>
      </c>
      <c r="D93" s="3123" t="s">
        <v>313</v>
      </c>
      <c r="E93" s="800"/>
      <c r="F93" s="799" t="s">
        <v>40</v>
      </c>
      <c r="G93" s="365" t="s">
        <v>36</v>
      </c>
      <c r="H93" s="1058">
        <f>145.2/3.4528*1000</f>
        <v>42053</v>
      </c>
      <c r="I93" s="967"/>
      <c r="J93" s="968"/>
      <c r="K93" s="763" t="s">
        <v>290</v>
      </c>
      <c r="L93" s="906">
        <v>210</v>
      </c>
      <c r="M93" s="1012"/>
      <c r="N93" s="1013"/>
    </row>
    <row r="94" spans="1:16" ht="13.5" thickBot="1" x14ac:dyDescent="0.25">
      <c r="A94" s="680"/>
      <c r="B94" s="765"/>
      <c r="C94" s="2454"/>
      <c r="D94" s="3124"/>
      <c r="E94" s="723"/>
      <c r="F94" s="722"/>
      <c r="G94" s="280" t="s">
        <v>10</v>
      </c>
      <c r="H94" s="960">
        <f>H93</f>
        <v>42053</v>
      </c>
      <c r="I94" s="960">
        <f t="shared" ref="I94:J96" si="0">SUM(I93:I93)</f>
        <v>0</v>
      </c>
      <c r="J94" s="960">
        <f t="shared" si="0"/>
        <v>0</v>
      </c>
      <c r="K94" s="18"/>
      <c r="L94" s="715"/>
      <c r="M94" s="715"/>
      <c r="N94" s="716"/>
    </row>
    <row r="95" spans="1:16" ht="14.25" customHeight="1" x14ac:dyDescent="0.2">
      <c r="A95" s="2705" t="s">
        <v>9</v>
      </c>
      <c r="B95" s="2458" t="s">
        <v>9</v>
      </c>
      <c r="C95" s="2459" t="s">
        <v>161</v>
      </c>
      <c r="D95" s="2423" t="s">
        <v>129</v>
      </c>
      <c r="E95" s="2546"/>
      <c r="F95" s="1094" t="s">
        <v>40</v>
      </c>
      <c r="G95" s="15" t="s">
        <v>36</v>
      </c>
      <c r="H95" s="1062">
        <f>300/3.4528*1000</f>
        <v>86886</v>
      </c>
      <c r="I95" s="1063">
        <f>200/3.4528*1000</f>
        <v>57924</v>
      </c>
      <c r="J95" s="1063">
        <f>200/3.4528*1000</f>
        <v>57924</v>
      </c>
      <c r="K95" s="1096" t="s">
        <v>57</v>
      </c>
      <c r="L95" s="1108">
        <v>7</v>
      </c>
      <c r="M95" s="1099">
        <v>4</v>
      </c>
      <c r="N95" s="1100">
        <v>4</v>
      </c>
    </row>
    <row r="96" spans="1:16" ht="13.5" customHeight="1" thickBot="1" x14ac:dyDescent="0.25">
      <c r="A96" s="2719"/>
      <c r="B96" s="2453"/>
      <c r="C96" s="2454"/>
      <c r="D96" s="2622"/>
      <c r="E96" s="2547"/>
      <c r="F96" s="1095"/>
      <c r="G96" s="280" t="s">
        <v>10</v>
      </c>
      <c r="H96" s="960">
        <f>H95</f>
        <v>86886</v>
      </c>
      <c r="I96" s="960">
        <f t="shared" si="0"/>
        <v>57924</v>
      </c>
      <c r="J96" s="960">
        <f t="shared" si="0"/>
        <v>57924</v>
      </c>
      <c r="K96" s="18"/>
      <c r="L96" s="715"/>
      <c r="M96" s="715"/>
      <c r="N96" s="716"/>
    </row>
    <row r="97" spans="1:16" ht="13.5" thickBot="1" x14ac:dyDescent="0.25">
      <c r="A97" s="682" t="s">
        <v>9</v>
      </c>
      <c r="B97" s="11" t="s">
        <v>9</v>
      </c>
      <c r="C97" s="2516" t="s">
        <v>12</v>
      </c>
      <c r="D97" s="2516"/>
      <c r="E97" s="2516"/>
      <c r="F97" s="2516"/>
      <c r="G97" s="2542"/>
      <c r="H97" s="969">
        <f>H96+H94+H92+H84+H80+H77+H67+H50+H38</f>
        <v>6364690</v>
      </c>
      <c r="I97" s="969">
        <f>I96+I94+I92+I84+I80+I77+I67+I50+I38</f>
        <v>5686316</v>
      </c>
      <c r="J97" s="969">
        <f>J96+J94+J92+J84+J80+J77+J67+J50+J38</f>
        <v>5403412</v>
      </c>
      <c r="K97" s="38"/>
      <c r="L97" s="39"/>
      <c r="M97" s="39"/>
      <c r="N97" s="40"/>
    </row>
    <row r="98" spans="1:16" ht="13.5" thickBot="1" x14ac:dyDescent="0.25">
      <c r="A98" s="682" t="s">
        <v>9</v>
      </c>
      <c r="B98" s="11" t="s">
        <v>11</v>
      </c>
      <c r="C98" s="2517" t="s">
        <v>71</v>
      </c>
      <c r="D98" s="2518"/>
      <c r="E98" s="2518"/>
      <c r="F98" s="2518"/>
      <c r="G98" s="2518"/>
      <c r="H98" s="2518"/>
      <c r="I98" s="2518"/>
      <c r="J98" s="2518"/>
      <c r="K98" s="2518"/>
      <c r="L98" s="2518"/>
      <c r="M98" s="2518"/>
      <c r="N98" s="2519"/>
    </row>
    <row r="99" spans="1:16" x14ac:dyDescent="0.2">
      <c r="A99" s="2705" t="s">
        <v>9</v>
      </c>
      <c r="B99" s="2520" t="s">
        <v>11</v>
      </c>
      <c r="C99" s="2459" t="s">
        <v>9</v>
      </c>
      <c r="D99" s="3119" t="s">
        <v>252</v>
      </c>
      <c r="E99" s="856"/>
      <c r="F99" s="854" t="s">
        <v>40</v>
      </c>
      <c r="G99" s="822" t="s">
        <v>36</v>
      </c>
      <c r="H99" s="1077">
        <f>(966.4+113)/3.4528*1000</f>
        <v>312616</v>
      </c>
      <c r="I99" s="971">
        <f>981/3.4528*1000</f>
        <v>284117</v>
      </c>
      <c r="J99" s="971">
        <f>1131/3.4528*1000</f>
        <v>327560</v>
      </c>
      <c r="K99" s="824"/>
      <c r="L99" s="759"/>
      <c r="M99" s="759"/>
      <c r="N99" s="761"/>
      <c r="P99" s="13"/>
    </row>
    <row r="100" spans="1:16" x14ac:dyDescent="0.2">
      <c r="A100" s="2668"/>
      <c r="B100" s="2521"/>
      <c r="C100" s="2414"/>
      <c r="D100" s="3120"/>
      <c r="E100" s="857"/>
      <c r="F100" s="852"/>
      <c r="G100" s="460"/>
      <c r="H100" s="1078"/>
      <c r="I100" s="972"/>
      <c r="J100" s="972"/>
      <c r="K100" s="811"/>
      <c r="L100" s="31"/>
      <c r="M100" s="31"/>
      <c r="N100" s="144"/>
      <c r="P100" s="13"/>
    </row>
    <row r="101" spans="1:16" ht="12.75" customHeight="1" x14ac:dyDescent="0.2">
      <c r="A101" s="2668"/>
      <c r="B101" s="2521"/>
      <c r="C101" s="2414"/>
      <c r="D101" s="3121" t="s">
        <v>104</v>
      </c>
      <c r="E101" s="857"/>
      <c r="F101" s="852"/>
      <c r="G101" s="461"/>
      <c r="H101" s="1079"/>
      <c r="I101" s="973"/>
      <c r="J101" s="973"/>
      <c r="K101" s="816" t="s">
        <v>76</v>
      </c>
      <c r="L101" s="124">
        <v>350</v>
      </c>
      <c r="M101" s="124">
        <v>350</v>
      </c>
      <c r="N101" s="125">
        <v>350</v>
      </c>
      <c r="P101" s="13"/>
    </row>
    <row r="102" spans="1:16" ht="41.25" customHeight="1" x14ac:dyDescent="0.2">
      <c r="A102" s="2668"/>
      <c r="B102" s="2521"/>
      <c r="C102" s="2414"/>
      <c r="D102" s="3121"/>
      <c r="E102" s="857"/>
      <c r="F102" s="852"/>
      <c r="G102" s="461"/>
      <c r="H102" s="1079"/>
      <c r="I102" s="974"/>
      <c r="J102" s="974"/>
      <c r="K102" s="812" t="s">
        <v>77</v>
      </c>
      <c r="L102" s="704">
        <v>300</v>
      </c>
      <c r="M102" s="704">
        <v>300</v>
      </c>
      <c r="N102" s="705">
        <v>300</v>
      </c>
      <c r="P102" s="13"/>
    </row>
    <row r="103" spans="1:16" ht="39.75" customHeight="1" x14ac:dyDescent="0.2">
      <c r="A103" s="2668"/>
      <c r="B103" s="2521"/>
      <c r="C103" s="2414"/>
      <c r="D103" s="3122"/>
      <c r="E103" s="857"/>
      <c r="F103" s="852"/>
      <c r="G103" s="461"/>
      <c r="H103" s="1079"/>
      <c r="I103" s="974"/>
      <c r="J103" s="974"/>
      <c r="K103" s="817" t="s">
        <v>330</v>
      </c>
      <c r="L103" s="706">
        <v>36</v>
      </c>
      <c r="M103" s="706">
        <v>36</v>
      </c>
      <c r="N103" s="707">
        <v>36</v>
      </c>
      <c r="P103" s="13"/>
    </row>
    <row r="104" spans="1:16" ht="25.5" customHeight="1" x14ac:dyDescent="0.2">
      <c r="A104" s="2668"/>
      <c r="B104" s="2521"/>
      <c r="C104" s="2414"/>
      <c r="D104" s="3121" t="s">
        <v>108</v>
      </c>
      <c r="E104" s="857"/>
      <c r="F104" s="852"/>
      <c r="G104" s="461"/>
      <c r="H104" s="1079"/>
      <c r="I104" s="973"/>
      <c r="J104" s="973"/>
      <c r="K104" s="818" t="s">
        <v>249</v>
      </c>
      <c r="L104" s="709">
        <v>18</v>
      </c>
      <c r="M104" s="709">
        <v>18</v>
      </c>
      <c r="N104" s="710">
        <v>18</v>
      </c>
      <c r="P104" s="13"/>
    </row>
    <row r="105" spans="1:16" ht="40.5" customHeight="1" x14ac:dyDescent="0.2">
      <c r="A105" s="2668"/>
      <c r="B105" s="2521"/>
      <c r="C105" s="2414"/>
      <c r="D105" s="3118"/>
      <c r="E105" s="857"/>
      <c r="F105" s="852"/>
      <c r="G105" s="461"/>
      <c r="H105" s="1079"/>
      <c r="I105" s="974"/>
      <c r="J105" s="974"/>
      <c r="K105" s="819"/>
      <c r="L105" s="59"/>
      <c r="M105" s="59"/>
      <c r="N105" s="143"/>
      <c r="P105" s="13"/>
    </row>
    <row r="106" spans="1:16" ht="12.75" customHeight="1" x14ac:dyDescent="0.2">
      <c r="A106" s="771"/>
      <c r="B106" s="757"/>
      <c r="C106" s="774"/>
      <c r="D106" s="3117" t="s">
        <v>75</v>
      </c>
      <c r="E106" s="857"/>
      <c r="F106" s="852"/>
      <c r="G106" s="461"/>
      <c r="H106" s="1079"/>
      <c r="I106" s="973"/>
      <c r="J106" s="973"/>
      <c r="K106" s="818" t="s">
        <v>105</v>
      </c>
      <c r="L106" s="709">
        <v>2</v>
      </c>
      <c r="M106" s="709">
        <v>2</v>
      </c>
      <c r="N106" s="710">
        <v>2</v>
      </c>
      <c r="P106" s="13"/>
    </row>
    <row r="107" spans="1:16" x14ac:dyDescent="0.2">
      <c r="A107" s="771"/>
      <c r="B107" s="757"/>
      <c r="C107" s="774"/>
      <c r="D107" s="3118"/>
      <c r="E107" s="857"/>
      <c r="F107" s="852"/>
      <c r="G107" s="461"/>
      <c r="H107" s="1079"/>
      <c r="I107" s="973"/>
      <c r="J107" s="973"/>
      <c r="K107" s="820" t="s">
        <v>250</v>
      </c>
      <c r="L107" s="59">
        <v>100</v>
      </c>
      <c r="M107" s="59"/>
      <c r="N107" s="143"/>
      <c r="P107" s="13"/>
    </row>
    <row r="108" spans="1:16" ht="24" customHeight="1" x14ac:dyDescent="0.2">
      <c r="A108" s="771"/>
      <c r="B108" s="757"/>
      <c r="C108" s="774"/>
      <c r="D108" s="813" t="s">
        <v>80</v>
      </c>
      <c r="E108" s="857"/>
      <c r="F108" s="852"/>
      <c r="G108" s="461"/>
      <c r="H108" s="1058"/>
      <c r="I108" s="920"/>
      <c r="J108" s="920"/>
      <c r="K108" s="816" t="s">
        <v>81</v>
      </c>
      <c r="L108" s="124">
        <v>20</v>
      </c>
      <c r="M108" s="124">
        <v>20</v>
      </c>
      <c r="N108" s="125">
        <v>20</v>
      </c>
      <c r="P108" s="13"/>
    </row>
    <row r="109" spans="1:16" ht="21.75" customHeight="1" x14ac:dyDescent="0.2">
      <c r="A109" s="771"/>
      <c r="B109" s="757"/>
      <c r="C109" s="774"/>
      <c r="D109" s="814" t="s">
        <v>314</v>
      </c>
      <c r="E109" s="857"/>
      <c r="F109" s="859"/>
      <c r="G109" s="461"/>
      <c r="H109" s="1058"/>
      <c r="I109" s="920"/>
      <c r="J109" s="920"/>
      <c r="K109" s="821" t="s">
        <v>331</v>
      </c>
      <c r="L109" s="124">
        <v>150</v>
      </c>
      <c r="M109" s="124">
        <v>150</v>
      </c>
      <c r="N109" s="125">
        <v>150</v>
      </c>
      <c r="P109" s="13"/>
    </row>
    <row r="110" spans="1:16" ht="16.5" customHeight="1" x14ac:dyDescent="0.2">
      <c r="A110" s="798"/>
      <c r="B110" s="796"/>
      <c r="C110" s="797"/>
      <c r="D110" s="3132" t="s">
        <v>293</v>
      </c>
      <c r="E110" s="857"/>
      <c r="F110" s="859"/>
      <c r="G110" s="815"/>
      <c r="H110" s="1040"/>
      <c r="I110" s="919"/>
      <c r="J110" s="919"/>
      <c r="K110" s="821" t="s">
        <v>257</v>
      </c>
      <c r="L110" s="124">
        <v>100</v>
      </c>
      <c r="M110" s="124"/>
      <c r="N110" s="125"/>
      <c r="P110" s="13"/>
    </row>
    <row r="111" spans="1:16" ht="23.25" customHeight="1" thickBot="1" x14ac:dyDescent="0.25">
      <c r="A111" s="771"/>
      <c r="B111" s="757"/>
      <c r="C111" s="774"/>
      <c r="D111" s="3133"/>
      <c r="E111" s="858"/>
      <c r="F111" s="855"/>
      <c r="G111" s="823" t="s">
        <v>10</v>
      </c>
      <c r="H111" s="977">
        <f>H99+H100</f>
        <v>312616</v>
      </c>
      <c r="I111" s="977">
        <f>I99</f>
        <v>284117</v>
      </c>
      <c r="J111" s="977">
        <f>J99</f>
        <v>327560</v>
      </c>
      <c r="K111" s="820"/>
      <c r="L111" s="59"/>
      <c r="M111" s="59"/>
      <c r="N111" s="143"/>
      <c r="P111" s="13"/>
    </row>
    <row r="112" spans="1:16" ht="13.5" thickBot="1" x14ac:dyDescent="0.25">
      <c r="A112" s="683" t="s">
        <v>9</v>
      </c>
      <c r="B112" s="11" t="s">
        <v>11</v>
      </c>
      <c r="C112" s="2516" t="s">
        <v>12</v>
      </c>
      <c r="D112" s="2516"/>
      <c r="E112" s="2595"/>
      <c r="F112" s="2595"/>
      <c r="G112" s="2542"/>
      <c r="H112" s="1080">
        <f>H111</f>
        <v>312616</v>
      </c>
      <c r="I112" s="1081">
        <f>I111</f>
        <v>284117</v>
      </c>
      <c r="J112" s="1080">
        <f>J111</f>
        <v>327560</v>
      </c>
      <c r="K112" s="2543"/>
      <c r="L112" s="2544"/>
      <c r="M112" s="2544"/>
      <c r="N112" s="2545"/>
      <c r="O112" s="88"/>
    </row>
    <row r="113" spans="1:16" ht="13.5" thickBot="1" x14ac:dyDescent="0.25">
      <c r="A113" s="682" t="s">
        <v>9</v>
      </c>
      <c r="B113" s="11" t="s">
        <v>38</v>
      </c>
      <c r="C113" s="2517" t="s">
        <v>72</v>
      </c>
      <c r="D113" s="2518"/>
      <c r="E113" s="2518"/>
      <c r="F113" s="2518"/>
      <c r="G113" s="2518"/>
      <c r="H113" s="2518"/>
      <c r="I113" s="2518"/>
      <c r="J113" s="2518"/>
      <c r="K113" s="2518"/>
      <c r="L113" s="2518"/>
      <c r="M113" s="2518"/>
      <c r="N113" s="2519"/>
    </row>
    <row r="114" spans="1:16" ht="18" customHeight="1" x14ac:dyDescent="0.2">
      <c r="A114" s="2705" t="s">
        <v>9</v>
      </c>
      <c r="B114" s="2520" t="s">
        <v>38</v>
      </c>
      <c r="C114" s="2523" t="s">
        <v>9</v>
      </c>
      <c r="D114" s="2526" t="s">
        <v>82</v>
      </c>
      <c r="E114" s="2546"/>
      <c r="F114" s="2451" t="s">
        <v>40</v>
      </c>
      <c r="G114" s="1183" t="s">
        <v>36</v>
      </c>
      <c r="H114" s="1184">
        <f>(2297.3-102.7-48.2)/3.4528*1000</f>
        <v>621640</v>
      </c>
      <c r="I114" s="1185">
        <f>2527.1/3.4528*1000</f>
        <v>731899</v>
      </c>
      <c r="J114" s="1185">
        <f>2527.1/3.4528*1000</f>
        <v>731899</v>
      </c>
      <c r="K114" s="2470" t="s">
        <v>291</v>
      </c>
      <c r="L114" s="1087">
        <v>3.7</v>
      </c>
      <c r="M114" s="1087">
        <v>3.7</v>
      </c>
      <c r="N114" s="1088">
        <v>3.7</v>
      </c>
      <c r="P114" s="13"/>
    </row>
    <row r="115" spans="1:16" ht="15.75" customHeight="1" x14ac:dyDescent="0.2">
      <c r="A115" s="2668"/>
      <c r="B115" s="2521"/>
      <c r="C115" s="2524"/>
      <c r="D115" s="2513"/>
      <c r="E115" s="2416"/>
      <c r="F115" s="2381"/>
      <c r="G115" s="873"/>
      <c r="H115" s="1182"/>
      <c r="I115" s="923"/>
      <c r="J115" s="959"/>
      <c r="K115" s="2436"/>
      <c r="L115" s="1089"/>
      <c r="M115" s="31"/>
      <c r="N115" s="144"/>
      <c r="P115" s="13"/>
    </row>
    <row r="116" spans="1:16" ht="18.75" customHeight="1" thickBot="1" x14ac:dyDescent="0.25">
      <c r="A116" s="2719"/>
      <c r="B116" s="2522"/>
      <c r="C116" s="2525"/>
      <c r="D116" s="2527"/>
      <c r="E116" s="2547"/>
      <c r="F116" s="2465"/>
      <c r="G116" s="970" t="s">
        <v>10</v>
      </c>
      <c r="H116" s="1082">
        <f>H114</f>
        <v>621640</v>
      </c>
      <c r="I116" s="1083">
        <f>SUM(I114:I115)</f>
        <v>731899</v>
      </c>
      <c r="J116" s="1084">
        <f>SUM(J114:J115)</f>
        <v>731899</v>
      </c>
      <c r="K116" s="2466"/>
      <c r="L116" s="760"/>
      <c r="M116" s="760"/>
      <c r="N116" s="762"/>
      <c r="P116" s="13"/>
    </row>
    <row r="117" spans="1:16" ht="13.5" thickBot="1" x14ac:dyDescent="0.25">
      <c r="A117" s="683" t="s">
        <v>9</v>
      </c>
      <c r="B117" s="11" t="s">
        <v>38</v>
      </c>
      <c r="C117" s="2516" t="s">
        <v>12</v>
      </c>
      <c r="D117" s="2516"/>
      <c r="E117" s="2516"/>
      <c r="F117" s="2516"/>
      <c r="G117" s="2542"/>
      <c r="H117" s="1085">
        <f>H116</f>
        <v>621640</v>
      </c>
      <c r="I117" s="1086">
        <f>I116</f>
        <v>731899</v>
      </c>
      <c r="J117" s="1085">
        <f>J116</f>
        <v>731899</v>
      </c>
      <c r="K117" s="2543"/>
      <c r="L117" s="2544"/>
      <c r="M117" s="2544"/>
      <c r="N117" s="2545"/>
    </row>
    <row r="118" spans="1:16" ht="14.25" customHeight="1" thickBot="1" x14ac:dyDescent="0.25">
      <c r="A118" s="682" t="s">
        <v>9</v>
      </c>
      <c r="B118" s="11" t="s">
        <v>53</v>
      </c>
      <c r="C118" s="2557" t="s">
        <v>73</v>
      </c>
      <c r="D118" s="2558"/>
      <c r="E118" s="2558"/>
      <c r="F118" s="2558"/>
      <c r="G118" s="2558"/>
      <c r="H118" s="2558"/>
      <c r="I118" s="2558"/>
      <c r="J118" s="2558"/>
      <c r="K118" s="2558"/>
      <c r="L118" s="2558"/>
      <c r="M118" s="2558"/>
      <c r="N118" s="2559"/>
    </row>
    <row r="119" spans="1:16" ht="17.25" customHeight="1" x14ac:dyDescent="0.2">
      <c r="A119" s="770" t="s">
        <v>9</v>
      </c>
      <c r="B119" s="756" t="s">
        <v>53</v>
      </c>
      <c r="C119" s="743" t="s">
        <v>9</v>
      </c>
      <c r="D119" s="3127" t="s">
        <v>83</v>
      </c>
      <c r="E119" s="678"/>
      <c r="F119" s="750" t="s">
        <v>40</v>
      </c>
      <c r="G119" s="15" t="s">
        <v>36</v>
      </c>
      <c r="H119" s="1050">
        <f>300/3.4528*1000</f>
        <v>86886</v>
      </c>
      <c r="I119" s="1090">
        <f>300/3.4528*1000</f>
        <v>86886</v>
      </c>
      <c r="J119" s="1090">
        <f>300/3.4528*1000</f>
        <v>86886</v>
      </c>
      <c r="K119" s="2470" t="s">
        <v>84</v>
      </c>
      <c r="L119" s="74">
        <v>285</v>
      </c>
      <c r="M119" s="74">
        <v>285</v>
      </c>
      <c r="N119" s="1010">
        <v>285</v>
      </c>
      <c r="O119" s="71"/>
      <c r="P119" s="13"/>
    </row>
    <row r="120" spans="1:16" ht="15.75" customHeight="1" thickBot="1" x14ac:dyDescent="0.25">
      <c r="A120" s="1133"/>
      <c r="B120" s="1113"/>
      <c r="C120" s="1134"/>
      <c r="D120" s="3115"/>
      <c r="E120" s="1117"/>
      <c r="F120" s="1135"/>
      <c r="G120" s="283" t="s">
        <v>10</v>
      </c>
      <c r="H120" s="1047">
        <f>H119</f>
        <v>86886</v>
      </c>
      <c r="I120" s="1047">
        <f>I119</f>
        <v>86886</v>
      </c>
      <c r="J120" s="1047">
        <f>J119</f>
        <v>86886</v>
      </c>
      <c r="K120" s="3131"/>
      <c r="L120" s="59"/>
      <c r="M120" s="59"/>
      <c r="N120" s="143"/>
    </row>
    <row r="121" spans="1:16" ht="12.75" customHeight="1" x14ac:dyDescent="0.2">
      <c r="A121" s="2668" t="s">
        <v>9</v>
      </c>
      <c r="B121" s="2521" t="s">
        <v>53</v>
      </c>
      <c r="C121" s="2586" t="s">
        <v>11</v>
      </c>
      <c r="D121" s="2444" t="s">
        <v>125</v>
      </c>
      <c r="E121" s="2494"/>
      <c r="F121" s="2381" t="s">
        <v>40</v>
      </c>
      <c r="G121" s="339" t="s">
        <v>36</v>
      </c>
      <c r="H121" s="1176">
        <f>20.3/3.4528*1000</f>
        <v>5879</v>
      </c>
      <c r="I121" s="957">
        <f>21/3.4528*1000</f>
        <v>6082</v>
      </c>
      <c r="J121" s="957">
        <f>21/3.4528*1000</f>
        <v>6082</v>
      </c>
      <c r="K121" s="752" t="s">
        <v>127</v>
      </c>
      <c r="L121" s="1008">
        <v>44</v>
      </c>
      <c r="M121" s="1008">
        <v>45</v>
      </c>
      <c r="N121" s="1010">
        <v>45</v>
      </c>
      <c r="P121" s="13"/>
    </row>
    <row r="122" spans="1:16" x14ac:dyDescent="0.2">
      <c r="A122" s="2668"/>
      <c r="B122" s="2521"/>
      <c r="C122" s="2586"/>
      <c r="D122" s="2444"/>
      <c r="E122" s="2494"/>
      <c r="F122" s="2381"/>
      <c r="G122" s="145"/>
      <c r="H122" s="1029"/>
      <c r="I122" s="922"/>
      <c r="J122" s="1146"/>
      <c r="K122" s="27" t="s">
        <v>126</v>
      </c>
      <c r="L122" s="31">
        <v>3</v>
      </c>
      <c r="M122" s="32">
        <v>4</v>
      </c>
      <c r="N122" s="144">
        <v>4</v>
      </c>
      <c r="P122" s="13"/>
    </row>
    <row r="123" spans="1:16" ht="13.5" thickBot="1" x14ac:dyDescent="0.25">
      <c r="A123" s="2719"/>
      <c r="B123" s="2522"/>
      <c r="C123" s="2587"/>
      <c r="D123" s="2455"/>
      <c r="E123" s="2533"/>
      <c r="F123" s="2465"/>
      <c r="G123" s="283" t="s">
        <v>10</v>
      </c>
      <c r="H123" s="1047">
        <f>H121</f>
        <v>5879</v>
      </c>
      <c r="I123" s="960">
        <f>I121</f>
        <v>6082</v>
      </c>
      <c r="J123" s="975">
        <f>J121</f>
        <v>6082</v>
      </c>
      <c r="K123" s="28" t="s">
        <v>232</v>
      </c>
      <c r="L123" s="1009">
        <v>230</v>
      </c>
      <c r="M123" s="33">
        <v>240</v>
      </c>
      <c r="N123" s="1011">
        <v>240</v>
      </c>
      <c r="P123" s="13"/>
    </row>
    <row r="124" spans="1:16" ht="13.5" thickBot="1" x14ac:dyDescent="0.25">
      <c r="A124" s="772" t="s">
        <v>9</v>
      </c>
      <c r="B124" s="758" t="s">
        <v>53</v>
      </c>
      <c r="C124" s="2571" t="s">
        <v>12</v>
      </c>
      <c r="D124" s="2516"/>
      <c r="E124" s="2516"/>
      <c r="F124" s="2516"/>
      <c r="G124" s="2542"/>
      <c r="H124" s="1091">
        <f>H123+H120</f>
        <v>92765</v>
      </c>
      <c r="I124" s="969">
        <f>I123+I120</f>
        <v>92968</v>
      </c>
      <c r="J124" s="976">
        <f>J123+J120</f>
        <v>92968</v>
      </c>
      <c r="K124" s="711"/>
      <c r="L124" s="712"/>
      <c r="M124" s="713"/>
      <c r="N124" s="714"/>
    </row>
    <row r="125" spans="1:16" ht="13.5" thickBot="1" x14ac:dyDescent="0.25">
      <c r="A125" s="682" t="s">
        <v>9</v>
      </c>
      <c r="B125" s="11" t="s">
        <v>109</v>
      </c>
      <c r="C125" s="2557" t="s">
        <v>110</v>
      </c>
      <c r="D125" s="2558"/>
      <c r="E125" s="2558"/>
      <c r="F125" s="2558"/>
      <c r="G125" s="2558"/>
      <c r="H125" s="2558"/>
      <c r="I125" s="2558"/>
      <c r="J125" s="2558"/>
      <c r="K125" s="2558"/>
      <c r="L125" s="2558"/>
      <c r="M125" s="2558"/>
      <c r="N125" s="2559"/>
    </row>
    <row r="126" spans="1:16" ht="14.25" customHeight="1" x14ac:dyDescent="0.2">
      <c r="A126" s="778" t="s">
        <v>9</v>
      </c>
      <c r="B126" s="776" t="s">
        <v>54</v>
      </c>
      <c r="C126" s="777" t="s">
        <v>9</v>
      </c>
      <c r="D126" s="1190" t="s">
        <v>118</v>
      </c>
      <c r="E126" s="2610"/>
      <c r="F126" s="3146">
        <v>6</v>
      </c>
      <c r="G126" s="421" t="s">
        <v>36</v>
      </c>
      <c r="H126" s="1176">
        <f>12076.5/3.4528*1000</f>
        <v>3497596</v>
      </c>
      <c r="I126" s="1035">
        <f>12076.5/3.4528*1000</f>
        <v>3497596</v>
      </c>
      <c r="J126" s="1034">
        <f>12076.5/3.4528*1000</f>
        <v>3497596</v>
      </c>
      <c r="K126" s="775"/>
      <c r="L126" s="31"/>
      <c r="M126" s="31"/>
      <c r="N126" s="144"/>
    </row>
    <row r="127" spans="1:16" ht="12.75" customHeight="1" x14ac:dyDescent="0.2">
      <c r="A127" s="773"/>
      <c r="B127" s="753"/>
      <c r="C127" s="754"/>
      <c r="D127" s="120" t="s">
        <v>120</v>
      </c>
      <c r="E127" s="2610"/>
      <c r="F127" s="3147"/>
      <c r="G127" s="369"/>
      <c r="H127" s="1018"/>
      <c r="I127" s="1188"/>
      <c r="J127" s="1189"/>
      <c r="K127" s="66" t="s">
        <v>315</v>
      </c>
      <c r="L127" s="124">
        <v>7</v>
      </c>
      <c r="M127" s="124">
        <v>7</v>
      </c>
      <c r="N127" s="125">
        <v>7</v>
      </c>
    </row>
    <row r="128" spans="1:16" x14ac:dyDescent="0.2">
      <c r="A128" s="773"/>
      <c r="B128" s="753"/>
      <c r="C128" s="754"/>
      <c r="D128" s="755" t="s">
        <v>121</v>
      </c>
      <c r="E128" s="2610"/>
      <c r="F128" s="3147"/>
      <c r="G128" s="369"/>
      <c r="H128" s="1018"/>
      <c r="I128" s="1188"/>
      <c r="J128" s="1189"/>
      <c r="K128" s="66" t="s">
        <v>316</v>
      </c>
      <c r="L128" s="124">
        <v>6</v>
      </c>
      <c r="M128" s="124">
        <v>6</v>
      </c>
      <c r="N128" s="125">
        <v>6</v>
      </c>
    </row>
    <row r="129" spans="1:24" x14ac:dyDescent="0.2">
      <c r="A129" s="773"/>
      <c r="B129" s="753"/>
      <c r="C129" s="754"/>
      <c r="D129" s="120" t="s">
        <v>122</v>
      </c>
      <c r="E129" s="2610"/>
      <c r="F129" s="3147"/>
      <c r="G129" s="369"/>
      <c r="H129" s="1018"/>
      <c r="I129" s="1188"/>
      <c r="J129" s="1189"/>
      <c r="K129" s="66" t="s">
        <v>316</v>
      </c>
      <c r="L129" s="124">
        <v>5</v>
      </c>
      <c r="M129" s="124">
        <v>5</v>
      </c>
      <c r="N129" s="125">
        <v>5</v>
      </c>
    </row>
    <row r="130" spans="1:24" s="52" customFormat="1" x14ac:dyDescent="0.2">
      <c r="A130" s="771"/>
      <c r="B130" s="757"/>
      <c r="C130" s="70"/>
      <c r="D130" s="120" t="s">
        <v>123</v>
      </c>
      <c r="E130" s="2610"/>
      <c r="F130" s="3147"/>
      <c r="G130" s="16"/>
      <c r="H130" s="1018"/>
      <c r="I130" s="1188"/>
      <c r="J130" s="1189"/>
      <c r="K130" s="66" t="s">
        <v>316</v>
      </c>
      <c r="L130" s="54">
        <v>97</v>
      </c>
      <c r="M130" s="53">
        <v>97</v>
      </c>
      <c r="N130" s="173">
        <v>97</v>
      </c>
    </row>
    <row r="131" spans="1:24" x14ac:dyDescent="0.2">
      <c r="A131" s="3125"/>
      <c r="B131" s="2583"/>
      <c r="C131" s="2586"/>
      <c r="D131" s="2437" t="s">
        <v>119</v>
      </c>
      <c r="E131" s="2610"/>
      <c r="F131" s="3147"/>
      <c r="G131" s="372"/>
      <c r="H131" s="1029"/>
      <c r="I131" s="1186"/>
      <c r="J131" s="1187"/>
      <c r="K131" s="768" t="s">
        <v>316</v>
      </c>
      <c r="L131" s="124">
        <v>1</v>
      </c>
      <c r="M131" s="124">
        <v>1</v>
      </c>
      <c r="N131" s="125">
        <v>1</v>
      </c>
    </row>
    <row r="132" spans="1:24" ht="13.5" thickBot="1" x14ac:dyDescent="0.25">
      <c r="A132" s="3126"/>
      <c r="B132" s="2621"/>
      <c r="C132" s="2587"/>
      <c r="D132" s="2622"/>
      <c r="E132" s="2611"/>
      <c r="F132" s="3148"/>
      <c r="G132" s="283" t="s">
        <v>10</v>
      </c>
      <c r="H132" s="1047">
        <f>H126</f>
        <v>3497596</v>
      </c>
      <c r="I132" s="977">
        <f>SUM(I126:I131)</f>
        <v>3497596</v>
      </c>
      <c r="J132" s="978">
        <f>SUM(J126:J131)</f>
        <v>3497596</v>
      </c>
      <c r="K132" s="28"/>
      <c r="L132" s="1009"/>
      <c r="M132" s="33"/>
      <c r="N132" s="1011"/>
      <c r="P132" s="13"/>
    </row>
    <row r="133" spans="1:24" ht="14.25" customHeight="1" thickBot="1" x14ac:dyDescent="0.25">
      <c r="A133" s="772" t="s">
        <v>9</v>
      </c>
      <c r="B133" s="758" t="s">
        <v>54</v>
      </c>
      <c r="C133" s="2594" t="s">
        <v>12</v>
      </c>
      <c r="D133" s="2595"/>
      <c r="E133" s="2595"/>
      <c r="F133" s="2595"/>
      <c r="G133" s="2542"/>
      <c r="H133" s="969">
        <f>H132</f>
        <v>3497596</v>
      </c>
      <c r="I133" s="969">
        <f>I132</f>
        <v>3497596</v>
      </c>
      <c r="J133" s="969">
        <f>J132</f>
        <v>3497596</v>
      </c>
      <c r="K133" s="2543"/>
      <c r="L133" s="2544"/>
      <c r="M133" s="2544"/>
      <c r="N133" s="2545"/>
    </row>
    <row r="134" spans="1:24" ht="14.25" customHeight="1" thickBot="1" x14ac:dyDescent="0.25">
      <c r="A134" s="683" t="s">
        <v>9</v>
      </c>
      <c r="B134" s="2789" t="s">
        <v>13</v>
      </c>
      <c r="C134" s="2790"/>
      <c r="D134" s="2790"/>
      <c r="E134" s="2790"/>
      <c r="F134" s="2790"/>
      <c r="G134" s="2791"/>
      <c r="H134" s="1092">
        <f>H133+H124+H117+H112+H97</f>
        <v>10889307</v>
      </c>
      <c r="I134" s="1092">
        <f>I133+I124+I117+I112+I97</f>
        <v>10292896</v>
      </c>
      <c r="J134" s="1092">
        <f>J133+J124+J117+J112+J97</f>
        <v>10053435</v>
      </c>
      <c r="K134" s="3128"/>
      <c r="L134" s="3129"/>
      <c r="M134" s="3129"/>
      <c r="N134" s="3130"/>
    </row>
    <row r="135" spans="1:24" ht="14.25" customHeight="1" thickBot="1" x14ac:dyDescent="0.25">
      <c r="A135" s="102" t="s">
        <v>55</v>
      </c>
      <c r="B135" s="2792" t="s">
        <v>128</v>
      </c>
      <c r="C135" s="2793"/>
      <c r="D135" s="2793"/>
      <c r="E135" s="2793"/>
      <c r="F135" s="2793"/>
      <c r="G135" s="2794"/>
      <c r="H135" s="1093">
        <f>H134</f>
        <v>10889307</v>
      </c>
      <c r="I135" s="1093">
        <f>I134</f>
        <v>10292896</v>
      </c>
      <c r="J135" s="1093">
        <f>J134</f>
        <v>10053435</v>
      </c>
      <c r="K135" s="2795"/>
      <c r="L135" s="2796"/>
      <c r="M135" s="2796"/>
      <c r="N135" s="2797"/>
    </row>
    <row r="136" spans="1:24" s="22" customFormat="1" ht="14.25" customHeight="1" x14ac:dyDescent="0.2">
      <c r="A136" s="3142"/>
      <c r="B136" s="3142"/>
      <c r="C136" s="3142"/>
      <c r="D136" s="3142"/>
      <c r="E136" s="3142"/>
      <c r="F136" s="3142"/>
      <c r="G136" s="3142"/>
      <c r="H136" s="3142"/>
      <c r="I136" s="3142"/>
      <c r="J136" s="3142"/>
      <c r="K136" s="3142"/>
      <c r="L136" s="3142"/>
      <c r="M136" s="3142"/>
      <c r="N136" s="3142"/>
      <c r="O136" s="21"/>
      <c r="P136" s="21"/>
      <c r="Q136" s="21"/>
      <c r="R136" s="21"/>
      <c r="S136" s="21"/>
      <c r="T136" s="21"/>
      <c r="U136" s="21"/>
      <c r="V136" s="21"/>
      <c r="W136" s="21"/>
      <c r="X136" s="21"/>
    </row>
    <row r="137" spans="1:24" s="22" customFormat="1" ht="14.25" customHeight="1" x14ac:dyDescent="0.2">
      <c r="A137" s="2591"/>
      <c r="B137" s="2591"/>
      <c r="C137" s="2591"/>
      <c r="D137" s="2591"/>
      <c r="E137" s="2591"/>
      <c r="F137" s="2591"/>
      <c r="G137" s="2591"/>
      <c r="H137" s="2591"/>
      <c r="I137" s="62"/>
      <c r="J137" s="62"/>
      <c r="K137" s="62"/>
      <c r="L137" s="62"/>
      <c r="M137" s="62"/>
      <c r="N137" s="62"/>
      <c r="O137" s="21"/>
      <c r="P137" s="21"/>
      <c r="Q137" s="21"/>
      <c r="R137" s="21"/>
      <c r="S137" s="21"/>
      <c r="T137" s="21"/>
      <c r="U137" s="21"/>
      <c r="V137" s="21"/>
      <c r="W137" s="21"/>
      <c r="X137" s="21"/>
    </row>
    <row r="138" spans="1:24" s="22" customFormat="1" ht="14.25" customHeight="1" thickBot="1" x14ac:dyDescent="0.25">
      <c r="A138" s="2799" t="s">
        <v>18</v>
      </c>
      <c r="B138" s="2799"/>
      <c r="C138" s="2799"/>
      <c r="D138" s="2799"/>
      <c r="E138" s="2799"/>
      <c r="F138" s="2799"/>
      <c r="G138" s="2799"/>
      <c r="H138" s="2799"/>
      <c r="I138" s="2"/>
      <c r="J138" s="3"/>
      <c r="K138" s="4"/>
      <c r="L138" s="4"/>
      <c r="M138" s="4"/>
      <c r="N138" s="4"/>
      <c r="O138" s="21"/>
      <c r="P138" s="21"/>
      <c r="Q138" s="21"/>
      <c r="R138" s="21"/>
      <c r="S138" s="21"/>
      <c r="T138" s="21"/>
      <c r="U138" s="21"/>
      <c r="V138" s="21"/>
      <c r="W138" s="21"/>
      <c r="X138" s="21"/>
    </row>
    <row r="139" spans="1:24" ht="45" customHeight="1" thickBot="1" x14ac:dyDescent="0.25">
      <c r="A139" s="3143" t="s">
        <v>14</v>
      </c>
      <c r="B139" s="3144"/>
      <c r="C139" s="3144"/>
      <c r="D139" s="3144"/>
      <c r="E139" s="3144"/>
      <c r="F139" s="3144"/>
      <c r="G139" s="3145"/>
      <c r="H139" s="790" t="s">
        <v>233</v>
      </c>
      <c r="I139" s="29" t="s">
        <v>236</v>
      </c>
      <c r="J139" s="29" t="s">
        <v>237</v>
      </c>
    </row>
    <row r="140" spans="1:24" ht="14.25" customHeight="1" x14ac:dyDescent="0.2">
      <c r="A140" s="2783" t="s">
        <v>19</v>
      </c>
      <c r="B140" s="2784"/>
      <c r="C140" s="2784"/>
      <c r="D140" s="2784"/>
      <c r="E140" s="2784"/>
      <c r="F140" s="2784"/>
      <c r="G140" s="2785"/>
      <c r="H140" s="979">
        <f ca="1">SUM(H141:H146)</f>
        <v>10155148</v>
      </c>
      <c r="I140" s="979">
        <f>SUM(I141:I146)</f>
        <v>10209282</v>
      </c>
      <c r="J140" s="979">
        <f>SUM(J141:J146)</f>
        <v>9985375</v>
      </c>
      <c r="K140" s="56"/>
    </row>
    <row r="141" spans="1:24" ht="14.25" customHeight="1" x14ac:dyDescent="0.2">
      <c r="A141" s="3139" t="s">
        <v>25</v>
      </c>
      <c r="B141" s="3140"/>
      <c r="C141" s="3140"/>
      <c r="D141" s="3140"/>
      <c r="E141" s="3140"/>
      <c r="F141" s="3140"/>
      <c r="G141" s="3141"/>
      <c r="H141" s="980">
        <f>SUMIF(G12:G135,"SB",H12:H135)</f>
        <v>10061224</v>
      </c>
      <c r="I141" s="980">
        <f>SUMIF(G12:G135,"SB",I12:I135)</f>
        <v>10171457</v>
      </c>
      <c r="J141" s="980">
        <f>SUMIF(G12:G135,"SB",J12:J135)</f>
        <v>9946479</v>
      </c>
      <c r="K141" s="80"/>
    </row>
    <row r="142" spans="1:24" ht="25.5" customHeight="1" x14ac:dyDescent="0.2">
      <c r="A142" s="2756" t="s">
        <v>26</v>
      </c>
      <c r="B142" s="2757"/>
      <c r="C142" s="2757"/>
      <c r="D142" s="2757"/>
      <c r="E142" s="2757"/>
      <c r="F142" s="2757"/>
      <c r="G142" s="2758"/>
      <c r="H142" s="980">
        <f>SUMIF(G13:G135,"SB(SP)",H13:H135)</f>
        <v>34523</v>
      </c>
      <c r="I142" s="980">
        <f>SUMIF(G13:G135,"SB(SP)",I13:I135)</f>
        <v>34552</v>
      </c>
      <c r="J142" s="980">
        <f>SUMIF(G13:G135,"SB(SP)",J13:J135)</f>
        <v>34552</v>
      </c>
    </row>
    <row r="143" spans="1:24" ht="14.25" customHeight="1" x14ac:dyDescent="0.2">
      <c r="A143" s="2756" t="s">
        <v>27</v>
      </c>
      <c r="B143" s="2757"/>
      <c r="C143" s="2757"/>
      <c r="D143" s="2757"/>
      <c r="E143" s="2757"/>
      <c r="F143" s="2757"/>
      <c r="G143" s="2758"/>
      <c r="H143" s="980">
        <f>SUMIF(G13:G135,"SB(F)",H13:H135)</f>
        <v>0</v>
      </c>
      <c r="I143" s="980">
        <f>SUMIF(G13:G135,"SB(F)",I13:I135)</f>
        <v>0</v>
      </c>
      <c r="J143" s="980">
        <f>SUMIF(G13:G135,"SB(F)",J13:J135)</f>
        <v>0</v>
      </c>
      <c r="K143" s="58"/>
      <c r="L143" s="1"/>
      <c r="M143" s="1"/>
      <c r="N143" s="1"/>
      <c r="O143" s="1"/>
      <c r="P143" s="1"/>
    </row>
    <row r="144" spans="1:24" ht="14.25" customHeight="1" x14ac:dyDescent="0.2">
      <c r="A144" s="2756" t="s">
        <v>131</v>
      </c>
      <c r="B144" s="2757"/>
      <c r="C144" s="2757"/>
      <c r="D144" s="2757"/>
      <c r="E144" s="2757"/>
      <c r="F144" s="2757"/>
      <c r="G144" s="2758"/>
      <c r="H144" s="980">
        <f ca="1">SUMIF(G13:G135,"SB(L)",H13:H134)</f>
        <v>0</v>
      </c>
      <c r="I144" s="980">
        <f>SUMIF(G12:G135,"SB(L)",I12:I135)</f>
        <v>0</v>
      </c>
      <c r="J144" s="980">
        <f>SUMIF(G12:G135,"SB(L)",J12:J135)</f>
        <v>0</v>
      </c>
      <c r="K144" s="58"/>
      <c r="L144" s="1"/>
      <c r="M144" s="1"/>
      <c r="N144" s="1"/>
      <c r="O144" s="1"/>
      <c r="P144" s="1"/>
    </row>
    <row r="145" spans="1:16" x14ac:dyDescent="0.2">
      <c r="A145" s="2756" t="s">
        <v>180</v>
      </c>
      <c r="B145" s="3137"/>
      <c r="C145" s="3137"/>
      <c r="D145" s="3137"/>
      <c r="E145" s="3137"/>
      <c r="F145" s="3137"/>
      <c r="G145" s="3138"/>
      <c r="H145" s="980">
        <f>SUMIF(G13:G135,"SB(VR)",H13:H135)</f>
        <v>59401</v>
      </c>
      <c r="I145" s="980">
        <f>SUMIF(G13:G135,"SB(VR)",I13:I135)</f>
        <v>0</v>
      </c>
      <c r="J145" s="980">
        <f>SUMIF(G13:G135,"SB(VR)",J13:J135)</f>
        <v>0</v>
      </c>
      <c r="K145" s="58"/>
      <c r="L145" s="1"/>
      <c r="M145" s="1"/>
      <c r="N145" s="1"/>
      <c r="O145" s="1"/>
      <c r="P145" s="1"/>
    </row>
    <row r="146" spans="1:16" x14ac:dyDescent="0.2">
      <c r="A146" s="2756" t="s">
        <v>28</v>
      </c>
      <c r="B146" s="2757"/>
      <c r="C146" s="2757"/>
      <c r="D146" s="2757"/>
      <c r="E146" s="2757"/>
      <c r="F146" s="2757"/>
      <c r="G146" s="2758"/>
      <c r="H146" s="980">
        <f>SUMIF(G13:G135,"SB(P)",H13:H135)</f>
        <v>0</v>
      </c>
      <c r="I146" s="980">
        <f>SUMIF(G13:G135,"SB(P)",I13:I135)</f>
        <v>3273</v>
      </c>
      <c r="J146" s="980">
        <f>SUMIF(G13:G135,"SB(P)",J13:J135)</f>
        <v>4344</v>
      </c>
    </row>
    <row r="147" spans="1:16" x14ac:dyDescent="0.2">
      <c r="A147" s="2762" t="s">
        <v>20</v>
      </c>
      <c r="B147" s="2763"/>
      <c r="C147" s="2763"/>
      <c r="D147" s="2763"/>
      <c r="E147" s="2763"/>
      <c r="F147" s="2763"/>
      <c r="G147" s="2764"/>
      <c r="H147" s="981">
        <f>SUM(H148:H151)</f>
        <v>734159</v>
      </c>
      <c r="I147" s="981">
        <f>SUM(I148:I151)</f>
        <v>83614</v>
      </c>
      <c r="J147" s="981">
        <f>SUM(J148:J151)</f>
        <v>68060</v>
      </c>
    </row>
    <row r="148" spans="1:16" x14ac:dyDescent="0.2">
      <c r="A148" s="2768" t="s">
        <v>29</v>
      </c>
      <c r="B148" s="2769"/>
      <c r="C148" s="2769"/>
      <c r="D148" s="2769"/>
      <c r="E148" s="2769"/>
      <c r="F148" s="2769"/>
      <c r="G148" s="2770"/>
      <c r="H148" s="980">
        <f>SUMIF(G13:G135,"ES",H13:H135)</f>
        <v>121612</v>
      </c>
      <c r="I148" s="980">
        <f>SUMIF(G13:G135,"ES",I13:I135)</f>
        <v>51379</v>
      </c>
      <c r="J148" s="980">
        <f>SUMIF(G13:G135,"ES",J13:J135)</f>
        <v>63716</v>
      </c>
    </row>
    <row r="149" spans="1:16" x14ac:dyDescent="0.2">
      <c r="A149" s="3134" t="s">
        <v>30</v>
      </c>
      <c r="B149" s="3135"/>
      <c r="C149" s="3135"/>
      <c r="D149" s="3135"/>
      <c r="E149" s="3135"/>
      <c r="F149" s="3135"/>
      <c r="G149" s="3136"/>
      <c r="H149" s="980">
        <f>SUMIF(G13:G135,"KPP",H13:H135)</f>
        <v>0</v>
      </c>
      <c r="I149" s="980">
        <f>SUMIF(G13:G135,"KPP",I13:I135)</f>
        <v>0</v>
      </c>
      <c r="J149" s="980">
        <f>SUMIF(G13:G135,"KPP",J13:J135)</f>
        <v>0</v>
      </c>
    </row>
    <row r="150" spans="1:16" x14ac:dyDescent="0.2">
      <c r="A150" s="2756" t="s">
        <v>31</v>
      </c>
      <c r="B150" s="2757"/>
      <c r="C150" s="2757"/>
      <c r="D150" s="2757"/>
      <c r="E150" s="2757"/>
      <c r="F150" s="2757"/>
      <c r="G150" s="2758"/>
      <c r="H150" s="980">
        <f>SUMIF(G13:G135,"LRVB",H13:H135)</f>
        <v>22301</v>
      </c>
      <c r="I150" s="980">
        <f>SUMIF(G13:G135,"LRVB",I13:I135)</f>
        <v>3273</v>
      </c>
      <c r="J150" s="980">
        <f>SUMIF(G13:G135,"LRVB",J13:J135)</f>
        <v>4344</v>
      </c>
    </row>
    <row r="151" spans="1:16" x14ac:dyDescent="0.2">
      <c r="A151" s="2756" t="s">
        <v>32</v>
      </c>
      <c r="B151" s="2757"/>
      <c r="C151" s="2757"/>
      <c r="D151" s="2757"/>
      <c r="E151" s="2757"/>
      <c r="F151" s="2757"/>
      <c r="G151" s="2758"/>
      <c r="H151" s="980">
        <f>SUMIF(G13:G135,"Kt",H13:H135)</f>
        <v>590246</v>
      </c>
      <c r="I151" s="980">
        <f>SUMIF(G13:G135,"Kt",I13:I135)</f>
        <v>28962</v>
      </c>
      <c r="J151" s="980">
        <f>SUMIF(G13:G135,"Kt",J13:J135)</f>
        <v>0</v>
      </c>
      <c r="L151" s="5"/>
      <c r="M151" s="5"/>
      <c r="N151" s="5"/>
    </row>
    <row r="152" spans="1:16" ht="13.5" thickBot="1" x14ac:dyDescent="0.25">
      <c r="A152" s="2747" t="s">
        <v>21</v>
      </c>
      <c r="B152" s="2748"/>
      <c r="C152" s="2748"/>
      <c r="D152" s="2748"/>
      <c r="E152" s="2748"/>
      <c r="F152" s="2748"/>
      <c r="G152" s="2749"/>
      <c r="H152" s="982">
        <f ca="1">SUM(H140,H147)</f>
        <v>10889307</v>
      </c>
      <c r="I152" s="982">
        <f>SUM(I140,I147)</f>
        <v>10292896</v>
      </c>
      <c r="J152" s="982">
        <f>SUM(J140,J147)</f>
        <v>10053435</v>
      </c>
      <c r="L152" s="5"/>
      <c r="M152" s="5"/>
      <c r="N152" s="5"/>
    </row>
    <row r="153" spans="1:16" x14ac:dyDescent="0.2">
      <c r="I153" s="80"/>
      <c r="K153" s="57"/>
      <c r="L153" s="5"/>
      <c r="M153" s="5"/>
      <c r="N153" s="5"/>
    </row>
    <row r="154" spans="1:16" x14ac:dyDescent="0.2">
      <c r="H154" s="789"/>
      <c r="I154" s="291"/>
      <c r="J154" s="291"/>
      <c r="K154" s="80"/>
      <c r="L154" s="5"/>
      <c r="M154" s="5"/>
      <c r="N154" s="5"/>
    </row>
    <row r="155" spans="1:16" x14ac:dyDescent="0.2">
      <c r="H155" s="1109"/>
      <c r="L155" s="5"/>
      <c r="M155" s="5"/>
      <c r="N155" s="5"/>
    </row>
    <row r="156" spans="1:16" x14ac:dyDescent="0.2">
      <c r="L156" s="5"/>
      <c r="M156" s="5"/>
      <c r="N156" s="5"/>
    </row>
  </sheetData>
  <mergeCells count="188">
    <mergeCell ref="A142:G142"/>
    <mergeCell ref="C133:G133"/>
    <mergeCell ref="D110:D111"/>
    <mergeCell ref="A152:G152"/>
    <mergeCell ref="A150:G150"/>
    <mergeCell ref="A151:G151"/>
    <mergeCell ref="A148:G148"/>
    <mergeCell ref="A149:G149"/>
    <mergeCell ref="A146:G146"/>
    <mergeCell ref="A147:G147"/>
    <mergeCell ref="A144:G144"/>
    <mergeCell ref="A145:G145"/>
    <mergeCell ref="A143:G143"/>
    <mergeCell ref="A140:G140"/>
    <mergeCell ref="A141:G141"/>
    <mergeCell ref="A136:N136"/>
    <mergeCell ref="A137:H137"/>
    <mergeCell ref="A138:H138"/>
    <mergeCell ref="A139:G139"/>
    <mergeCell ref="F121:F123"/>
    <mergeCell ref="C124:G124"/>
    <mergeCell ref="C125:N125"/>
    <mergeCell ref="E126:E132"/>
    <mergeCell ref="F126:F132"/>
    <mergeCell ref="K133:N133"/>
    <mergeCell ref="B134:G134"/>
    <mergeCell ref="K134:N134"/>
    <mergeCell ref="B135:G135"/>
    <mergeCell ref="K135:N135"/>
    <mergeCell ref="K119:K120"/>
    <mergeCell ref="C121:C123"/>
    <mergeCell ref="D121:D123"/>
    <mergeCell ref="E121:E123"/>
    <mergeCell ref="A131:A132"/>
    <mergeCell ref="B131:B132"/>
    <mergeCell ref="C131:C132"/>
    <mergeCell ref="D131:D132"/>
    <mergeCell ref="A121:A123"/>
    <mergeCell ref="B121:B123"/>
    <mergeCell ref="D119:D120"/>
    <mergeCell ref="C117:G117"/>
    <mergeCell ref="K117:N117"/>
    <mergeCell ref="C118:N118"/>
    <mergeCell ref="F114:F116"/>
    <mergeCell ref="K114:K116"/>
    <mergeCell ref="C112:G112"/>
    <mergeCell ref="K112:N112"/>
    <mergeCell ref="C113:N113"/>
    <mergeCell ref="A114:A116"/>
    <mergeCell ref="B114:B116"/>
    <mergeCell ref="C114:C116"/>
    <mergeCell ref="D114:D116"/>
    <mergeCell ref="E114:E116"/>
    <mergeCell ref="F91:F92"/>
    <mergeCell ref="D106:D107"/>
    <mergeCell ref="C97:G97"/>
    <mergeCell ref="C98:N98"/>
    <mergeCell ref="A99:A105"/>
    <mergeCell ref="B99:B105"/>
    <mergeCell ref="C99:C105"/>
    <mergeCell ref="D99:D100"/>
    <mergeCell ref="D101:D103"/>
    <mergeCell ref="D104:D105"/>
    <mergeCell ref="A95:A96"/>
    <mergeCell ref="B95:B96"/>
    <mergeCell ref="C95:C96"/>
    <mergeCell ref="D95:D96"/>
    <mergeCell ref="E95:E96"/>
    <mergeCell ref="C93:C94"/>
    <mergeCell ref="D93:D94"/>
    <mergeCell ref="A85:A92"/>
    <mergeCell ref="B85:B92"/>
    <mergeCell ref="C85:C92"/>
    <mergeCell ref="D91:D92"/>
    <mergeCell ref="E91:E92"/>
    <mergeCell ref="K81:K82"/>
    <mergeCell ref="D85:D86"/>
    <mergeCell ref="K85:K86"/>
    <mergeCell ref="A81:A84"/>
    <mergeCell ref="B81:B84"/>
    <mergeCell ref="C81:C84"/>
    <mergeCell ref="D81:D84"/>
    <mergeCell ref="E81:E84"/>
    <mergeCell ref="F81:F84"/>
    <mergeCell ref="A78:A80"/>
    <mergeCell ref="B78:B80"/>
    <mergeCell ref="C78:C80"/>
    <mergeCell ref="E78:E80"/>
    <mergeCell ref="F78:F80"/>
    <mergeCell ref="N70:N71"/>
    <mergeCell ref="A72:A73"/>
    <mergeCell ref="B72:B73"/>
    <mergeCell ref="C72:C73"/>
    <mergeCell ref="D72:D73"/>
    <mergeCell ref="E72:E73"/>
    <mergeCell ref="F72:F73"/>
    <mergeCell ref="F70:F71"/>
    <mergeCell ref="K70:K71"/>
    <mergeCell ref="L70:L71"/>
    <mergeCell ref="M70:M71"/>
    <mergeCell ref="A70:A71"/>
    <mergeCell ref="B70:B71"/>
    <mergeCell ref="C70:C71"/>
    <mergeCell ref="D70:D71"/>
    <mergeCell ref="E70:E71"/>
    <mergeCell ref="D79:D80"/>
    <mergeCell ref="D76:D77"/>
    <mergeCell ref="F68:F69"/>
    <mergeCell ref="K68:K69"/>
    <mergeCell ref="L68:L69"/>
    <mergeCell ref="M68:M69"/>
    <mergeCell ref="N68:N69"/>
    <mergeCell ref="A68:A69"/>
    <mergeCell ref="B68:B69"/>
    <mergeCell ref="C68:C69"/>
    <mergeCell ref="D68:D69"/>
    <mergeCell ref="E68:E69"/>
    <mergeCell ref="D59:D60"/>
    <mergeCell ref="F42:F44"/>
    <mergeCell ref="A45:A46"/>
    <mergeCell ref="B45:B46"/>
    <mergeCell ref="C45:C46"/>
    <mergeCell ref="A42:A44"/>
    <mergeCell ref="B42:B44"/>
    <mergeCell ref="C42:C44"/>
    <mergeCell ref="D42:D44"/>
    <mergeCell ref="E42:E44"/>
    <mergeCell ref="D47:D50"/>
    <mergeCell ref="D45:D46"/>
    <mergeCell ref="F51:F52"/>
    <mergeCell ref="D56:D57"/>
    <mergeCell ref="A51:A52"/>
    <mergeCell ref="B51:B52"/>
    <mergeCell ref="C51:C52"/>
    <mergeCell ref="D51:D53"/>
    <mergeCell ref="E51:E53"/>
    <mergeCell ref="A39:A40"/>
    <mergeCell ref="B39:B40"/>
    <mergeCell ref="C39:C40"/>
    <mergeCell ref="E39:E40"/>
    <mergeCell ref="F39:F40"/>
    <mergeCell ref="D39:D41"/>
    <mergeCell ref="E31:E32"/>
    <mergeCell ref="E33:E34"/>
    <mergeCell ref="D35:D37"/>
    <mergeCell ref="E35:E37"/>
    <mergeCell ref="F35:F37"/>
    <mergeCell ref="F31:F32"/>
    <mergeCell ref="F33:F34"/>
    <mergeCell ref="K17:K18"/>
    <mergeCell ref="D25:D30"/>
    <mergeCell ref="E25:E27"/>
    <mergeCell ref="E28:E30"/>
    <mergeCell ref="E14:E16"/>
    <mergeCell ref="F14:F15"/>
    <mergeCell ref="A17:A24"/>
    <mergeCell ref="B17:B24"/>
    <mergeCell ref="C17:C24"/>
    <mergeCell ref="D17:D24"/>
    <mergeCell ref="E17:E24"/>
    <mergeCell ref="B14:B15"/>
    <mergeCell ref="C14:C15"/>
    <mergeCell ref="D14:D15"/>
    <mergeCell ref="A14:A15"/>
    <mergeCell ref="K35:K36"/>
    <mergeCell ref="D62:D63"/>
    <mergeCell ref="C11:N11"/>
    <mergeCell ref="A1:N1"/>
    <mergeCell ref="A2:N2"/>
    <mergeCell ref="A3:N3"/>
    <mergeCell ref="L4:N4"/>
    <mergeCell ref="A5:A7"/>
    <mergeCell ref="B5:B7"/>
    <mergeCell ref="C5:C7"/>
    <mergeCell ref="D5:D7"/>
    <mergeCell ref="E5:E7"/>
    <mergeCell ref="K6:K7"/>
    <mergeCell ref="L6:N6"/>
    <mergeCell ref="A8:N8"/>
    <mergeCell ref="I5:I7"/>
    <mergeCell ref="J5:J7"/>
    <mergeCell ref="K5:N5"/>
    <mergeCell ref="F5:F7"/>
    <mergeCell ref="H5:H7"/>
    <mergeCell ref="G5:G7"/>
    <mergeCell ref="A9:N9"/>
    <mergeCell ref="B10:N10"/>
    <mergeCell ref="F17:F24"/>
  </mergeCells>
  <pageMargins left="0.78740157480314965" right="0.19685039370078741" top="0.78740157480314965" bottom="0.39370078740157483" header="0" footer="0"/>
  <pageSetup paperSize="9" scale="70" orientation="portrait" r:id="rId1"/>
  <rowBreaks count="2" manualBreakCount="2">
    <brk id="54" max="13" man="1"/>
    <brk id="98"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topLeftCell="F4" workbookViewId="0">
      <selection activeCell="AC38" sqref="AC37:AC38"/>
    </sheetView>
  </sheetViews>
  <sheetFormatPr defaultRowHeight="12.75" x14ac:dyDescent="0.2"/>
  <cols>
    <col min="1" max="4" width="2.7109375" style="10" customWidth="1"/>
    <col min="5" max="5" width="29.85546875" style="10" customWidth="1"/>
    <col min="6" max="6" width="2.7109375" style="47" customWidth="1"/>
    <col min="7" max="7" width="2.7109375" style="10" customWidth="1"/>
    <col min="8" max="8" width="2.7109375" style="64" customWidth="1"/>
    <col min="9" max="9" width="17" style="64" customWidth="1"/>
    <col min="10" max="10" width="7.7109375" style="90" customWidth="1"/>
    <col min="11" max="11" width="9" style="10" customWidth="1"/>
    <col min="12" max="12" width="7.42578125" style="10" customWidth="1"/>
    <col min="13" max="13" width="6.140625" style="10" customWidth="1"/>
    <col min="14" max="18" width="8" style="10" customWidth="1"/>
    <col min="19" max="22" width="6.85546875" style="10" customWidth="1"/>
    <col min="23" max="23" width="7.42578125" style="10" customWidth="1"/>
    <col min="24" max="24" width="8.140625" style="10" customWidth="1"/>
    <col min="25" max="25" width="22" style="10" customWidth="1"/>
    <col min="26" max="26" width="5.42578125" style="10" customWidth="1"/>
    <col min="27" max="28" width="5.42578125" style="5" customWidth="1"/>
    <col min="29" max="16384" width="9.140625" style="5"/>
  </cols>
  <sheetData>
    <row r="1" spans="1:30" x14ac:dyDescent="0.2">
      <c r="F1" s="10"/>
      <c r="H1" s="1208"/>
      <c r="I1" s="1208"/>
      <c r="J1" s="1209"/>
      <c r="K1" s="90"/>
      <c r="L1" s="90"/>
      <c r="M1" s="90"/>
      <c r="N1" s="1210"/>
      <c r="O1" s="1210"/>
      <c r="P1" s="1210"/>
      <c r="Q1" s="1210"/>
      <c r="R1" s="1210"/>
      <c r="S1" s="1210"/>
      <c r="T1" s="1210"/>
      <c r="U1" s="1210"/>
      <c r="V1" s="1210"/>
      <c r="W1" s="1210"/>
      <c r="X1" s="1210"/>
      <c r="Y1" s="3216" t="s">
        <v>357</v>
      </c>
      <c r="Z1" s="3216"/>
      <c r="AA1" s="3216"/>
      <c r="AB1" s="3216"/>
    </row>
    <row r="2" spans="1:30" x14ac:dyDescent="0.2">
      <c r="F2" s="10"/>
      <c r="H2" s="1208"/>
      <c r="I2" s="1208"/>
      <c r="J2" s="1209"/>
      <c r="K2" s="90"/>
      <c r="L2" s="90"/>
      <c r="M2" s="90"/>
      <c r="N2" s="1205"/>
      <c r="O2" s="1205"/>
      <c r="P2" s="1205"/>
      <c r="Q2" s="1205"/>
      <c r="R2" s="1205"/>
      <c r="S2" s="1205"/>
      <c r="T2" s="1205"/>
      <c r="U2" s="1205"/>
      <c r="V2" s="1205"/>
      <c r="W2" s="1205"/>
      <c r="X2" s="1205"/>
      <c r="Y2" s="1205"/>
      <c r="Z2" s="1205"/>
    </row>
    <row r="3" spans="1:30" ht="15.75" x14ac:dyDescent="0.2">
      <c r="A3" s="2350" t="s">
        <v>358</v>
      </c>
      <c r="B3" s="2350"/>
      <c r="C3" s="2350"/>
      <c r="D3" s="2350"/>
      <c r="E3" s="2350"/>
      <c r="F3" s="2350"/>
      <c r="G3" s="2350"/>
      <c r="H3" s="2350"/>
      <c r="I3" s="2350"/>
      <c r="J3" s="2350"/>
      <c r="K3" s="2350"/>
      <c r="L3" s="2350"/>
      <c r="M3" s="2350"/>
      <c r="N3" s="2350"/>
      <c r="O3" s="2350"/>
      <c r="P3" s="2350"/>
      <c r="Q3" s="2350"/>
      <c r="R3" s="2350"/>
      <c r="S3" s="2350"/>
      <c r="T3" s="2350"/>
      <c r="U3" s="2350"/>
      <c r="V3" s="2350"/>
      <c r="W3" s="2350"/>
      <c r="X3" s="2350"/>
      <c r="Y3" s="2350"/>
      <c r="Z3" s="2350"/>
    </row>
    <row r="4" spans="1:30" ht="15.75" x14ac:dyDescent="0.2">
      <c r="A4" s="2351" t="s">
        <v>37</v>
      </c>
      <c r="B4" s="2351"/>
      <c r="C4" s="2351"/>
      <c r="D4" s="2351"/>
      <c r="E4" s="2351"/>
      <c r="F4" s="2351"/>
      <c r="G4" s="2351"/>
      <c r="H4" s="2351"/>
      <c r="I4" s="2351"/>
      <c r="J4" s="2351"/>
      <c r="K4" s="2351"/>
      <c r="L4" s="2351"/>
      <c r="M4" s="2351"/>
      <c r="N4" s="2351"/>
      <c r="O4" s="2351"/>
      <c r="P4" s="2351"/>
      <c r="Q4" s="2351"/>
      <c r="R4" s="2351"/>
      <c r="S4" s="2351"/>
      <c r="T4" s="2351"/>
      <c r="U4" s="2351"/>
      <c r="V4" s="2351"/>
      <c r="W4" s="2351"/>
      <c r="X4" s="2351"/>
      <c r="Y4" s="2351"/>
      <c r="Z4" s="2351"/>
    </row>
    <row r="5" spans="1:30" ht="15.75" x14ac:dyDescent="0.2">
      <c r="A5" s="2352" t="s">
        <v>23</v>
      </c>
      <c r="B5" s="2352"/>
      <c r="C5" s="2352"/>
      <c r="D5" s="2352"/>
      <c r="E5" s="2352"/>
      <c r="F5" s="2352"/>
      <c r="G5" s="2352"/>
      <c r="H5" s="2352"/>
      <c r="I5" s="2352"/>
      <c r="J5" s="2352"/>
      <c r="K5" s="2352"/>
      <c r="L5" s="2352"/>
      <c r="M5" s="2352"/>
      <c r="N5" s="2352"/>
      <c r="O5" s="2352"/>
      <c r="P5" s="2352"/>
      <c r="Q5" s="2352"/>
      <c r="R5" s="2352"/>
      <c r="S5" s="2352"/>
      <c r="T5" s="2352"/>
      <c r="U5" s="2352"/>
      <c r="V5" s="2352"/>
      <c r="W5" s="2352"/>
      <c r="X5" s="2352"/>
      <c r="Y5" s="2352"/>
      <c r="Z5" s="2352"/>
      <c r="AA5" s="1"/>
      <c r="AB5" s="1"/>
      <c r="AC5" s="1"/>
    </row>
    <row r="6" spans="1:30" ht="13.5" thickBot="1" x14ac:dyDescent="0.25">
      <c r="Z6" s="1204" t="s">
        <v>308</v>
      </c>
    </row>
    <row r="7" spans="1:30" x14ac:dyDescent="0.2">
      <c r="A7" s="2354" t="s">
        <v>24</v>
      </c>
      <c r="B7" s="2357" t="s">
        <v>1</v>
      </c>
      <c r="C7" s="2357" t="s">
        <v>2</v>
      </c>
      <c r="D7" s="2357" t="s">
        <v>221</v>
      </c>
      <c r="E7" s="2360" t="s">
        <v>16</v>
      </c>
      <c r="F7" s="2363" t="s">
        <v>3</v>
      </c>
      <c r="G7" s="2357" t="s">
        <v>359</v>
      </c>
      <c r="H7" s="2397" t="s">
        <v>4</v>
      </c>
      <c r="I7" s="3210" t="s">
        <v>222</v>
      </c>
      <c r="J7" s="2400" t="s">
        <v>5</v>
      </c>
      <c r="K7" s="3213" t="s">
        <v>233</v>
      </c>
      <c r="L7" s="3214"/>
      <c r="M7" s="3214"/>
      <c r="N7" s="3215"/>
      <c r="O7" s="3189" t="s">
        <v>360</v>
      </c>
      <c r="P7" s="3190"/>
      <c r="Q7" s="3190"/>
      <c r="R7" s="3191"/>
      <c r="S7" s="3189" t="s">
        <v>361</v>
      </c>
      <c r="T7" s="3190"/>
      <c r="U7" s="3190"/>
      <c r="V7" s="3191"/>
      <c r="W7" s="3192" t="s">
        <v>234</v>
      </c>
      <c r="X7" s="3192" t="s">
        <v>341</v>
      </c>
      <c r="Y7" s="3195" t="s">
        <v>15</v>
      </c>
      <c r="Z7" s="3196"/>
      <c r="AA7" s="3196"/>
      <c r="AB7" s="3197"/>
    </row>
    <row r="8" spans="1:30" x14ac:dyDescent="0.2">
      <c r="A8" s="2355"/>
      <c r="B8" s="2358"/>
      <c r="C8" s="2358"/>
      <c r="D8" s="2358"/>
      <c r="E8" s="2361"/>
      <c r="F8" s="2364"/>
      <c r="G8" s="2358"/>
      <c r="H8" s="2398"/>
      <c r="I8" s="3211"/>
      <c r="J8" s="2401"/>
      <c r="K8" s="3198" t="s">
        <v>6</v>
      </c>
      <c r="L8" s="3200" t="s">
        <v>7</v>
      </c>
      <c r="M8" s="3201"/>
      <c r="N8" s="3202" t="s">
        <v>22</v>
      </c>
      <c r="O8" s="3204" t="s">
        <v>6</v>
      </c>
      <c r="P8" s="3206" t="s">
        <v>7</v>
      </c>
      <c r="Q8" s="3207"/>
      <c r="R8" s="3208" t="s">
        <v>22</v>
      </c>
      <c r="S8" s="3204" t="s">
        <v>6</v>
      </c>
      <c r="T8" s="3206" t="s">
        <v>7</v>
      </c>
      <c r="U8" s="3207"/>
      <c r="V8" s="3208" t="s">
        <v>22</v>
      </c>
      <c r="W8" s="3193"/>
      <c r="X8" s="3193"/>
      <c r="Y8" s="3217" t="s">
        <v>16</v>
      </c>
      <c r="Z8" s="3206" t="s">
        <v>8</v>
      </c>
      <c r="AA8" s="3219"/>
      <c r="AB8" s="3220"/>
    </row>
    <row r="9" spans="1:30" ht="86.25" thickBot="1" x14ac:dyDescent="0.25">
      <c r="A9" s="2356"/>
      <c r="B9" s="2359"/>
      <c r="C9" s="2359"/>
      <c r="D9" s="2359"/>
      <c r="E9" s="2362"/>
      <c r="F9" s="2365"/>
      <c r="G9" s="2359"/>
      <c r="H9" s="2399"/>
      <c r="I9" s="3212"/>
      <c r="J9" s="2402"/>
      <c r="K9" s="3199"/>
      <c r="L9" s="1211" t="s">
        <v>6</v>
      </c>
      <c r="M9" s="1211" t="s">
        <v>17</v>
      </c>
      <c r="N9" s="3203"/>
      <c r="O9" s="3205"/>
      <c r="P9" s="1212" t="s">
        <v>6</v>
      </c>
      <c r="Q9" s="1213" t="s">
        <v>17</v>
      </c>
      <c r="R9" s="3209"/>
      <c r="S9" s="3205"/>
      <c r="T9" s="1212" t="s">
        <v>6</v>
      </c>
      <c r="U9" s="1213" t="s">
        <v>17</v>
      </c>
      <c r="V9" s="3209"/>
      <c r="W9" s="3194"/>
      <c r="X9" s="3194"/>
      <c r="Y9" s="3218"/>
      <c r="Z9" s="1214" t="s">
        <v>143</v>
      </c>
      <c r="AA9" s="1214" t="s">
        <v>235</v>
      </c>
      <c r="AB9" s="1215" t="s">
        <v>342</v>
      </c>
    </row>
    <row r="10" spans="1:30" s="30" customFormat="1" ht="13.5" thickBot="1" x14ac:dyDescent="0.25">
      <c r="A10" s="3186" t="s">
        <v>135</v>
      </c>
      <c r="B10" s="3187"/>
      <c r="C10" s="3187"/>
      <c r="D10" s="3187"/>
      <c r="E10" s="3187"/>
      <c r="F10" s="3187"/>
      <c r="G10" s="3187"/>
      <c r="H10" s="3187"/>
      <c r="I10" s="3187"/>
      <c r="J10" s="3187"/>
      <c r="K10" s="3187"/>
      <c r="L10" s="3187"/>
      <c r="M10" s="3187"/>
      <c r="N10" s="3187"/>
      <c r="O10" s="3187"/>
      <c r="P10" s="3187"/>
      <c r="Q10" s="3187"/>
      <c r="R10" s="3187"/>
      <c r="S10" s="3187"/>
      <c r="T10" s="3187"/>
      <c r="U10" s="3187"/>
      <c r="V10" s="3187"/>
      <c r="W10" s="3187"/>
      <c r="X10" s="3187"/>
      <c r="Y10" s="3187"/>
      <c r="Z10" s="3187"/>
      <c r="AA10" s="3187"/>
      <c r="AB10" s="3188"/>
    </row>
    <row r="11" spans="1:30" s="30" customFormat="1" ht="13.5" thickBot="1" x14ac:dyDescent="0.25">
      <c r="A11" s="3171" t="s">
        <v>85</v>
      </c>
      <c r="B11" s="3172"/>
      <c r="C11" s="3172"/>
      <c r="D11" s="3172"/>
      <c r="E11" s="3172"/>
      <c r="F11" s="3172"/>
      <c r="G11" s="3172"/>
      <c r="H11" s="3172"/>
      <c r="I11" s="3172"/>
      <c r="J11" s="3172"/>
      <c r="K11" s="3172"/>
      <c r="L11" s="3172"/>
      <c r="M11" s="3172"/>
      <c r="N11" s="3172"/>
      <c r="O11" s="3172"/>
      <c r="P11" s="3172"/>
      <c r="Q11" s="3172"/>
      <c r="R11" s="3172"/>
      <c r="S11" s="3172"/>
      <c r="T11" s="3172"/>
      <c r="U11" s="3172"/>
      <c r="V11" s="3172"/>
      <c r="W11" s="3172"/>
      <c r="X11" s="3172"/>
      <c r="Y11" s="3172"/>
      <c r="Z11" s="3172"/>
      <c r="AA11" s="3172"/>
      <c r="AB11" s="3173"/>
    </row>
    <row r="12" spans="1:30" ht="26.25" thickBot="1" x14ac:dyDescent="0.25">
      <c r="A12" s="1216" t="s">
        <v>9</v>
      </c>
      <c r="B12" s="3174" t="s">
        <v>136</v>
      </c>
      <c r="C12" s="3175"/>
      <c r="D12" s="3175"/>
      <c r="E12" s="3175"/>
      <c r="F12" s="3175"/>
      <c r="G12" s="3175"/>
      <c r="H12" s="3175"/>
      <c r="I12" s="3175"/>
      <c r="J12" s="3175"/>
      <c r="K12" s="3175"/>
      <c r="L12" s="3175"/>
      <c r="M12" s="3175"/>
      <c r="N12" s="3175"/>
      <c r="O12" s="3175"/>
      <c r="P12" s="3175"/>
      <c r="Q12" s="3175"/>
      <c r="R12" s="3175"/>
      <c r="S12" s="3175"/>
      <c r="T12" s="3175"/>
      <c r="U12" s="3175"/>
      <c r="V12" s="3175"/>
      <c r="W12" s="3175"/>
      <c r="X12" s="3175"/>
      <c r="Y12" s="3175"/>
      <c r="Z12" s="3175"/>
      <c r="AA12" s="3175"/>
      <c r="AB12" s="3176"/>
      <c r="AD12" s="5" t="s">
        <v>367</v>
      </c>
    </row>
    <row r="13" spans="1:30" ht="13.5" thickBot="1" x14ac:dyDescent="0.25">
      <c r="A13" s="1217" t="s">
        <v>9</v>
      </c>
      <c r="B13" s="1218" t="s">
        <v>9</v>
      </c>
      <c r="C13" s="2557" t="s">
        <v>70</v>
      </c>
      <c r="D13" s="2558"/>
      <c r="E13" s="2558"/>
      <c r="F13" s="2558"/>
      <c r="G13" s="2558"/>
      <c r="H13" s="2558"/>
      <c r="I13" s="2558"/>
      <c r="J13" s="2558"/>
      <c r="K13" s="2558"/>
      <c r="L13" s="2558"/>
      <c r="M13" s="2558"/>
      <c r="N13" s="2558"/>
      <c r="O13" s="3177"/>
      <c r="P13" s="3177"/>
      <c r="Q13" s="3177"/>
      <c r="R13" s="3177"/>
      <c r="S13" s="3177"/>
      <c r="T13" s="3177"/>
      <c r="U13" s="3177"/>
      <c r="V13" s="3177"/>
      <c r="W13" s="3177"/>
      <c r="X13" s="3177"/>
      <c r="Y13" s="3177"/>
      <c r="Z13" s="3177"/>
      <c r="AA13" s="3177"/>
      <c r="AB13" s="3178"/>
    </row>
    <row r="14" spans="1:30" x14ac:dyDescent="0.2">
      <c r="A14" s="3179" t="s">
        <v>9</v>
      </c>
      <c r="B14" s="2458" t="s">
        <v>9</v>
      </c>
      <c r="C14" s="3182" t="s">
        <v>54</v>
      </c>
      <c r="D14" s="3184"/>
      <c r="E14" s="2482" t="s">
        <v>167</v>
      </c>
      <c r="F14" s="2376"/>
      <c r="G14" s="2380" t="s">
        <v>38</v>
      </c>
      <c r="H14" s="2488" t="s">
        <v>95</v>
      </c>
      <c r="I14" s="3164" t="s">
        <v>227</v>
      </c>
      <c r="J14" s="1219" t="s">
        <v>36</v>
      </c>
      <c r="K14" s="1220">
        <f>L14+N14</f>
        <v>161029</v>
      </c>
      <c r="L14" s="1221">
        <v>161029</v>
      </c>
      <c r="M14" s="1221"/>
      <c r="N14" s="1222"/>
      <c r="O14" s="1223">
        <f>+P14+R14</f>
        <v>161100</v>
      </c>
      <c r="P14" s="1224">
        <v>161100</v>
      </c>
      <c r="Q14" s="1224"/>
      <c r="R14" s="1225"/>
      <c r="S14" s="239"/>
      <c r="T14" s="229"/>
      <c r="U14" s="229"/>
      <c r="V14" s="240"/>
      <c r="W14" s="1226">
        <v>134000</v>
      </c>
      <c r="X14" s="1226"/>
      <c r="Y14" s="2470" t="s">
        <v>103</v>
      </c>
      <c r="Z14" s="1227">
        <v>80</v>
      </c>
      <c r="AA14" s="1228">
        <v>95</v>
      </c>
      <c r="AB14" s="1229">
        <v>110</v>
      </c>
      <c r="AC14" s="5" t="s">
        <v>370</v>
      </c>
    </row>
    <row r="15" spans="1:30" x14ac:dyDescent="0.2">
      <c r="A15" s="3180"/>
      <c r="B15" s="2413"/>
      <c r="C15" s="3182"/>
      <c r="D15" s="3184"/>
      <c r="E15" s="2482"/>
      <c r="F15" s="2376"/>
      <c r="G15" s="2380"/>
      <c r="H15" s="2488"/>
      <c r="I15" s="3164"/>
      <c r="J15" s="1230" t="s">
        <v>36</v>
      </c>
      <c r="K15" s="1231">
        <f>L15+N15</f>
        <v>7240</v>
      </c>
      <c r="L15" s="1232">
        <v>7240</v>
      </c>
      <c r="M15" s="1232"/>
      <c r="N15" s="1233"/>
      <c r="O15" s="1231">
        <f>+P15+R15</f>
        <v>7200</v>
      </c>
      <c r="P15" s="1195">
        <v>7200</v>
      </c>
      <c r="Q15" s="1195" t="s">
        <v>366</v>
      </c>
      <c r="R15" s="1196"/>
      <c r="S15" s="233"/>
      <c r="T15" s="222"/>
      <c r="U15" s="222"/>
      <c r="V15" s="234"/>
      <c r="W15" s="1234">
        <v>7200</v>
      </c>
      <c r="X15" s="1234">
        <v>7200</v>
      </c>
      <c r="Y15" s="2436"/>
      <c r="Z15" s="1162"/>
      <c r="AA15" s="1235"/>
      <c r="AB15" s="1236"/>
      <c r="AC15" s="5" t="s">
        <v>372</v>
      </c>
    </row>
    <row r="16" spans="1:30" x14ac:dyDescent="0.2">
      <c r="A16" s="3180"/>
      <c r="B16" s="2413"/>
      <c r="C16" s="3182"/>
      <c r="D16" s="3184"/>
      <c r="E16" s="2482"/>
      <c r="F16" s="2376"/>
      <c r="G16" s="2380"/>
      <c r="H16" s="2488"/>
      <c r="I16" s="3164"/>
      <c r="J16" s="25" t="s">
        <v>36</v>
      </c>
      <c r="K16" s="1220">
        <f>L16+N16</f>
        <v>21142</v>
      </c>
      <c r="L16" s="1237">
        <v>21142</v>
      </c>
      <c r="M16" s="1237"/>
      <c r="N16" s="1238"/>
      <c r="O16" s="1231">
        <f>+P16+R16</f>
        <v>19100</v>
      </c>
      <c r="P16" s="1195">
        <v>19100</v>
      </c>
      <c r="Q16" s="1195"/>
      <c r="R16" s="1196"/>
      <c r="S16" s="233"/>
      <c r="T16" s="222"/>
      <c r="U16" s="222"/>
      <c r="V16" s="234"/>
      <c r="W16" s="1234">
        <v>19100</v>
      </c>
      <c r="X16" s="1234">
        <v>19100</v>
      </c>
      <c r="Y16" s="17"/>
      <c r="Z16" s="1162"/>
      <c r="AA16" s="1235"/>
      <c r="AB16" s="1236"/>
      <c r="AC16" s="5" t="s">
        <v>371</v>
      </c>
    </row>
    <row r="17" spans="1:47" x14ac:dyDescent="0.2">
      <c r="A17" s="3180"/>
      <c r="B17" s="2413"/>
      <c r="C17" s="3182"/>
      <c r="D17" s="3184"/>
      <c r="E17" s="2482"/>
      <c r="F17" s="2376"/>
      <c r="G17" s="2380"/>
      <c r="H17" s="2488"/>
      <c r="I17" s="1206"/>
      <c r="J17" s="25" t="s">
        <v>36</v>
      </c>
      <c r="K17" s="1231">
        <f>+L17+N17</f>
        <v>14481</v>
      </c>
      <c r="L17" s="1239">
        <v>14481</v>
      </c>
      <c r="M17" s="1239"/>
      <c r="N17" s="1240"/>
      <c r="O17" s="1231"/>
      <c r="P17" s="1237"/>
      <c r="Q17" s="1237"/>
      <c r="R17" s="1238"/>
      <c r="S17" s="359"/>
      <c r="T17" s="224"/>
      <c r="U17" s="224"/>
      <c r="V17" s="244"/>
      <c r="W17" s="1241"/>
      <c r="X17" s="1241"/>
      <c r="Y17" s="17"/>
      <c r="Z17" s="1162"/>
      <c r="AA17" s="1235"/>
      <c r="AB17" s="1236"/>
    </row>
    <row r="18" spans="1:47" x14ac:dyDescent="0.2">
      <c r="A18" s="3180"/>
      <c r="B18" s="2413"/>
      <c r="C18" s="3182"/>
      <c r="D18" s="3184"/>
      <c r="E18" s="2482"/>
      <c r="F18" s="2376"/>
      <c r="G18" s="2380"/>
      <c r="H18" s="2488"/>
      <c r="I18" s="1206"/>
      <c r="J18" s="25" t="s">
        <v>36</v>
      </c>
      <c r="K18" s="1231"/>
      <c r="L18" s="1239"/>
      <c r="M18" s="1239"/>
      <c r="N18" s="1240"/>
      <c r="O18" s="1242">
        <f>+P18+R18</f>
        <v>37000</v>
      </c>
      <c r="P18" s="1237">
        <v>37000</v>
      </c>
      <c r="Q18" s="1237"/>
      <c r="R18" s="1238"/>
      <c r="S18" s="359"/>
      <c r="T18" s="224"/>
      <c r="U18" s="224"/>
      <c r="V18" s="244"/>
      <c r="W18" s="1243">
        <v>74000</v>
      </c>
      <c r="X18" s="1243">
        <v>111000</v>
      </c>
      <c r="Y18" s="17"/>
      <c r="Z18" s="1162"/>
      <c r="AA18" s="1235"/>
      <c r="AB18" s="1236"/>
      <c r="AC18" s="5" t="s">
        <v>368</v>
      </c>
    </row>
    <row r="19" spans="1:47" x14ac:dyDescent="0.2">
      <c r="A19" s="3180"/>
      <c r="B19" s="2413"/>
      <c r="C19" s="3182"/>
      <c r="D19" s="3184"/>
      <c r="E19" s="2482"/>
      <c r="F19" s="2376"/>
      <c r="G19" s="2380"/>
      <c r="H19" s="2488"/>
      <c r="I19" s="1206"/>
      <c r="J19" s="1244" t="s">
        <v>36</v>
      </c>
      <c r="K19" s="1245"/>
      <c r="L19" s="1239"/>
      <c r="M19" s="1239"/>
      <c r="N19" s="1240"/>
      <c r="O19" s="1242">
        <f>+P19+R19</f>
        <v>2135</v>
      </c>
      <c r="P19" s="1237">
        <v>2135</v>
      </c>
      <c r="Q19" s="1237"/>
      <c r="R19" s="1238"/>
      <c r="S19" s="359"/>
      <c r="T19" s="224"/>
      <c r="U19" s="224"/>
      <c r="V19" s="244"/>
      <c r="W19" s="1243">
        <v>2135</v>
      </c>
      <c r="X19" s="1243">
        <v>2135</v>
      </c>
      <c r="Y19" s="17"/>
      <c r="Z19" s="1162"/>
      <c r="AA19" s="1235"/>
      <c r="AB19" s="1236"/>
      <c r="AC19" s="5" t="s">
        <v>369</v>
      </c>
    </row>
    <row r="20" spans="1:47" ht="13.5" thickBot="1" x14ac:dyDescent="0.25">
      <c r="A20" s="3181"/>
      <c r="B20" s="2453"/>
      <c r="C20" s="3183"/>
      <c r="D20" s="3185"/>
      <c r="E20" s="2483"/>
      <c r="F20" s="2480"/>
      <c r="G20" s="2456"/>
      <c r="H20" s="2489"/>
      <c r="I20" s="1246"/>
      <c r="J20" s="1247" t="s">
        <v>10</v>
      </c>
      <c r="K20" s="1248">
        <f>SUM(K14:K17)</f>
        <v>203892</v>
      </c>
      <c r="L20" s="1249">
        <f>SUM(L14:L17)</f>
        <v>203892</v>
      </c>
      <c r="M20" s="1249">
        <f>SUM(M14:M16)</f>
        <v>0</v>
      </c>
      <c r="N20" s="1250">
        <f>SUM(N14:N16)</f>
        <v>0</v>
      </c>
      <c r="O20" s="1248">
        <f>SUM(O14:O19)</f>
        <v>226535</v>
      </c>
      <c r="P20" s="1248">
        <f t="shared" ref="P20:X20" si="0">SUM(P14:P19)</f>
        <v>226535</v>
      </c>
      <c r="Q20" s="1248">
        <f t="shared" si="0"/>
        <v>0</v>
      </c>
      <c r="R20" s="1248">
        <f t="shared" si="0"/>
        <v>0</v>
      </c>
      <c r="S20" s="1248">
        <f t="shared" si="0"/>
        <v>0</v>
      </c>
      <c r="T20" s="1248">
        <f t="shared" si="0"/>
        <v>0</v>
      </c>
      <c r="U20" s="1248">
        <f t="shared" si="0"/>
        <v>0</v>
      </c>
      <c r="V20" s="1248">
        <f t="shared" si="0"/>
        <v>0</v>
      </c>
      <c r="W20" s="1248">
        <f>SUM(W14:W19)</f>
        <v>236435</v>
      </c>
      <c r="X20" s="1248">
        <f t="shared" si="0"/>
        <v>139435</v>
      </c>
      <c r="Y20" s="18"/>
      <c r="Z20" s="1155"/>
      <c r="AA20" s="1251"/>
      <c r="AB20" s="701"/>
    </row>
    <row r="21" spans="1:47" ht="13.5" thickBot="1" x14ac:dyDescent="0.25">
      <c r="A21" s="1252" t="s">
        <v>9</v>
      </c>
      <c r="B21" s="11" t="s">
        <v>9</v>
      </c>
      <c r="C21" s="2516" t="s">
        <v>12</v>
      </c>
      <c r="D21" s="2516"/>
      <c r="E21" s="2516"/>
      <c r="F21" s="2516"/>
      <c r="G21" s="2516"/>
      <c r="H21" s="2516"/>
      <c r="I21" s="2516"/>
      <c r="J21" s="2542"/>
      <c r="K21" s="1253">
        <f>+K20</f>
        <v>203892</v>
      </c>
      <c r="L21" s="1253">
        <f>+L20</f>
        <v>203892</v>
      </c>
      <c r="M21" s="1253">
        <f>+M20</f>
        <v>0</v>
      </c>
      <c r="N21" s="1253">
        <f>+N20</f>
        <v>0</v>
      </c>
      <c r="O21" s="1253">
        <f>+O20</f>
        <v>226535</v>
      </c>
      <c r="P21" s="1253">
        <f t="shared" ref="P21:X21" si="1">+P20</f>
        <v>226535</v>
      </c>
      <c r="Q21" s="1253">
        <f t="shared" si="1"/>
        <v>0</v>
      </c>
      <c r="R21" s="1253">
        <f t="shared" si="1"/>
        <v>0</v>
      </c>
      <c r="S21" s="1253">
        <f t="shared" si="1"/>
        <v>0</v>
      </c>
      <c r="T21" s="1253">
        <f t="shared" si="1"/>
        <v>0</v>
      </c>
      <c r="U21" s="1253">
        <f t="shared" si="1"/>
        <v>0</v>
      </c>
      <c r="V21" s="1253">
        <f t="shared" si="1"/>
        <v>0</v>
      </c>
      <c r="W21" s="1253">
        <f t="shared" si="1"/>
        <v>236435</v>
      </c>
      <c r="X21" s="1253">
        <f t="shared" si="1"/>
        <v>139435</v>
      </c>
      <c r="Y21" s="1254"/>
      <c r="Z21" s="1255"/>
      <c r="AA21" s="1255"/>
      <c r="AB21" s="1256"/>
    </row>
    <row r="22" spans="1:47" ht="13.5" thickBot="1" x14ac:dyDescent="0.25">
      <c r="A22" s="1257" t="s">
        <v>9</v>
      </c>
      <c r="B22" s="3165" t="s">
        <v>13</v>
      </c>
      <c r="C22" s="3166"/>
      <c r="D22" s="3166"/>
      <c r="E22" s="3166"/>
      <c r="F22" s="3166"/>
      <c r="G22" s="3166"/>
      <c r="H22" s="3166"/>
      <c r="I22" s="3166"/>
      <c r="J22" s="3167"/>
      <c r="K22" s="1258">
        <f>SUM(K21)</f>
        <v>203892</v>
      </c>
      <c r="L22" s="1258">
        <f t="shared" ref="L22:X23" si="2">SUM(L21)</f>
        <v>203892</v>
      </c>
      <c r="M22" s="1258">
        <f t="shared" si="2"/>
        <v>0</v>
      </c>
      <c r="N22" s="1258">
        <f t="shared" si="2"/>
        <v>0</v>
      </c>
      <c r="O22" s="1258">
        <f t="shared" si="2"/>
        <v>226535</v>
      </c>
      <c r="P22" s="1258">
        <f t="shared" si="2"/>
        <v>226535</v>
      </c>
      <c r="Q22" s="1258">
        <f t="shared" si="2"/>
        <v>0</v>
      </c>
      <c r="R22" s="1258">
        <f t="shared" si="2"/>
        <v>0</v>
      </c>
      <c r="S22" s="1258">
        <f t="shared" si="2"/>
        <v>0</v>
      </c>
      <c r="T22" s="1258">
        <f t="shared" si="2"/>
        <v>0</v>
      </c>
      <c r="U22" s="1258">
        <f t="shared" si="2"/>
        <v>0</v>
      </c>
      <c r="V22" s="1258">
        <f t="shared" si="2"/>
        <v>0</v>
      </c>
      <c r="W22" s="1258">
        <f t="shared" si="2"/>
        <v>236435</v>
      </c>
      <c r="X22" s="1258">
        <f t="shared" si="2"/>
        <v>139435</v>
      </c>
      <c r="Y22" s="3168"/>
      <c r="Z22" s="3169"/>
      <c r="AA22" s="3169"/>
      <c r="AB22" s="3170"/>
    </row>
    <row r="23" spans="1:47" ht="13.5" thickBot="1" x14ac:dyDescent="0.25">
      <c r="A23" s="102" t="s">
        <v>55</v>
      </c>
      <c r="B23" s="2792" t="s">
        <v>128</v>
      </c>
      <c r="C23" s="2793"/>
      <c r="D23" s="2793"/>
      <c r="E23" s="2793"/>
      <c r="F23" s="2793"/>
      <c r="G23" s="2793"/>
      <c r="H23" s="2793"/>
      <c r="I23" s="2793"/>
      <c r="J23" s="2794"/>
      <c r="K23" s="1259">
        <f>SUM(K22)</f>
        <v>203892</v>
      </c>
      <c r="L23" s="1260">
        <f>SUM(L22)</f>
        <v>203892</v>
      </c>
      <c r="M23" s="1260">
        <f>SUM(M22)</f>
        <v>0</v>
      </c>
      <c r="N23" s="1261">
        <f>SUM(N22)</f>
        <v>0</v>
      </c>
      <c r="O23" s="1261">
        <f t="shared" si="2"/>
        <v>226535</v>
      </c>
      <c r="P23" s="1261">
        <f t="shared" si="2"/>
        <v>226535</v>
      </c>
      <c r="Q23" s="1261">
        <f t="shared" si="2"/>
        <v>0</v>
      </c>
      <c r="R23" s="1261">
        <f t="shared" si="2"/>
        <v>0</v>
      </c>
      <c r="S23" s="1261">
        <f t="shared" si="2"/>
        <v>0</v>
      </c>
      <c r="T23" s="1261">
        <f t="shared" si="2"/>
        <v>0</v>
      </c>
      <c r="U23" s="1261">
        <f t="shared" si="2"/>
        <v>0</v>
      </c>
      <c r="V23" s="1261">
        <f t="shared" si="2"/>
        <v>0</v>
      </c>
      <c r="W23" s="1261">
        <f>SUM(W22)</f>
        <v>236435</v>
      </c>
      <c r="X23" s="1261">
        <f t="shared" si="2"/>
        <v>139435</v>
      </c>
      <c r="Y23" s="2795"/>
      <c r="Z23" s="2796"/>
      <c r="AA23" s="2796"/>
      <c r="AB23" s="2797"/>
    </row>
    <row r="24" spans="1:47" s="22" customFormat="1" x14ac:dyDescent="0.2">
      <c r="A24" s="2591" t="s">
        <v>362</v>
      </c>
      <c r="B24" s="2591"/>
      <c r="C24" s="2591"/>
      <c r="D24" s="2591"/>
      <c r="E24" s="2591"/>
      <c r="F24" s="2591"/>
      <c r="G24" s="2591"/>
      <c r="H24" s="2591"/>
      <c r="I24" s="2591"/>
      <c r="J24" s="2591"/>
      <c r="K24" s="2591"/>
      <c r="L24" s="2591"/>
      <c r="M24" s="2591"/>
      <c r="N24" s="2591"/>
      <c r="O24" s="2591"/>
      <c r="P24" s="2591"/>
      <c r="Q24" s="2591"/>
      <c r="R24" s="2591"/>
      <c r="S24" s="2591"/>
      <c r="T24" s="2591"/>
      <c r="U24" s="2591"/>
      <c r="V24" s="2591"/>
      <c r="W24" s="2591"/>
      <c r="X24" s="2591"/>
      <c r="Y24" s="2591"/>
      <c r="Z24" s="2591"/>
      <c r="AA24" s="21"/>
      <c r="AB24" s="21"/>
      <c r="AC24" s="21"/>
      <c r="AD24" s="21"/>
      <c r="AE24" s="21"/>
      <c r="AF24" s="21"/>
      <c r="AG24" s="21"/>
      <c r="AH24" s="21"/>
      <c r="AI24" s="21"/>
      <c r="AJ24" s="21"/>
      <c r="AK24" s="21"/>
      <c r="AL24" s="21"/>
      <c r="AM24" s="21"/>
      <c r="AN24" s="21"/>
      <c r="AO24" s="21"/>
      <c r="AP24" s="21"/>
      <c r="AQ24" s="21"/>
      <c r="AR24" s="21"/>
      <c r="AS24" s="21"/>
      <c r="AT24" s="21"/>
      <c r="AU24" s="21"/>
    </row>
    <row r="25" spans="1:47" s="22" customFormat="1" x14ac:dyDescent="0.2">
      <c r="A25" s="2798" t="s">
        <v>363</v>
      </c>
      <c r="B25" s="2798"/>
      <c r="C25" s="2798"/>
      <c r="D25" s="2798"/>
      <c r="E25" s="2798"/>
      <c r="F25" s="2798"/>
      <c r="G25" s="2798"/>
      <c r="H25" s="2798"/>
      <c r="I25" s="2798"/>
      <c r="J25" s="2798"/>
      <c r="K25" s="2798"/>
      <c r="L25" s="2798"/>
      <c r="M25" s="2798"/>
      <c r="N25" s="2798"/>
      <c r="O25" s="2798"/>
      <c r="P25" s="2798"/>
      <c r="Q25" s="2798"/>
      <c r="R25" s="2798"/>
      <c r="S25" s="2798"/>
      <c r="T25" s="2798"/>
      <c r="U25" s="2798"/>
      <c r="V25" s="2798"/>
      <c r="W25" s="2798"/>
      <c r="X25" s="2798"/>
      <c r="Y25" s="2798"/>
      <c r="Z25" s="2798"/>
      <c r="AA25" s="21"/>
      <c r="AB25" s="21"/>
      <c r="AC25" s="21"/>
      <c r="AD25" s="21"/>
      <c r="AE25" s="21"/>
      <c r="AF25" s="21"/>
      <c r="AG25" s="21"/>
      <c r="AH25" s="21"/>
      <c r="AI25" s="21"/>
      <c r="AJ25" s="21"/>
      <c r="AK25" s="21"/>
      <c r="AL25" s="21"/>
      <c r="AM25" s="21"/>
      <c r="AN25" s="21"/>
      <c r="AO25" s="21"/>
      <c r="AP25" s="21"/>
      <c r="AQ25" s="21"/>
      <c r="AR25" s="21"/>
      <c r="AS25" s="21"/>
      <c r="AT25" s="21"/>
      <c r="AU25" s="21"/>
    </row>
    <row r="26" spans="1:47" s="22" customFormat="1" ht="13.5" thickBot="1" x14ac:dyDescent="0.25">
      <c r="A26" s="2799" t="s">
        <v>18</v>
      </c>
      <c r="B26" s="2799"/>
      <c r="C26" s="2799"/>
      <c r="D26" s="2799"/>
      <c r="E26" s="2799"/>
      <c r="F26" s="2799"/>
      <c r="G26" s="2799"/>
      <c r="H26" s="2799"/>
      <c r="I26" s="2799"/>
      <c r="J26" s="2799"/>
      <c r="K26" s="2799"/>
      <c r="L26" s="2799"/>
      <c r="M26" s="2799"/>
      <c r="N26" s="2799"/>
      <c r="O26" s="1207"/>
      <c r="P26" s="1207"/>
      <c r="Q26" s="1207"/>
      <c r="R26" s="1207"/>
      <c r="S26" s="1207"/>
      <c r="T26" s="1207"/>
      <c r="U26" s="1207"/>
      <c r="V26" s="1207"/>
      <c r="W26" s="1207"/>
      <c r="X26" s="1207"/>
      <c r="Y26" s="4"/>
      <c r="Z26" s="4"/>
      <c r="AA26" s="21"/>
      <c r="AB26" s="21"/>
      <c r="AC26" s="21"/>
      <c r="AD26" s="21"/>
      <c r="AE26" s="21"/>
      <c r="AF26" s="21"/>
      <c r="AG26" s="21"/>
      <c r="AH26" s="21"/>
      <c r="AI26" s="21"/>
      <c r="AJ26" s="21"/>
      <c r="AK26" s="21"/>
      <c r="AL26" s="21"/>
      <c r="AM26" s="21"/>
      <c r="AN26" s="21"/>
      <c r="AO26" s="21"/>
      <c r="AP26" s="21"/>
      <c r="AQ26" s="21"/>
      <c r="AR26" s="21"/>
      <c r="AS26" s="21"/>
      <c r="AT26" s="21"/>
      <c r="AU26" s="21"/>
    </row>
    <row r="27" spans="1:47" ht="13.5" thickBot="1" x14ac:dyDescent="0.25">
      <c r="A27" s="3143" t="s">
        <v>14</v>
      </c>
      <c r="B27" s="3144"/>
      <c r="C27" s="3144"/>
      <c r="D27" s="3144"/>
      <c r="E27" s="3144"/>
      <c r="F27" s="3144"/>
      <c r="G27" s="3144"/>
      <c r="H27" s="3144"/>
      <c r="I27" s="3144"/>
      <c r="J27" s="3145"/>
      <c r="K27" s="3143" t="s">
        <v>233</v>
      </c>
      <c r="L27" s="3144"/>
      <c r="M27" s="3144"/>
      <c r="N27" s="3145"/>
      <c r="O27" s="3161" t="s">
        <v>360</v>
      </c>
      <c r="P27" s="3162"/>
      <c r="Q27" s="3162"/>
      <c r="R27" s="3163"/>
      <c r="S27" s="3161" t="s">
        <v>361</v>
      </c>
      <c r="T27" s="3162"/>
      <c r="U27" s="3162"/>
      <c r="V27" s="3163"/>
      <c r="W27" s="1262"/>
      <c r="X27" s="1262"/>
      <c r="Y27" s="56"/>
    </row>
    <row r="28" spans="1:47" x14ac:dyDescent="0.2">
      <c r="A28" s="2783" t="s">
        <v>19</v>
      </c>
      <c r="B28" s="2784"/>
      <c r="C28" s="2784"/>
      <c r="D28" s="2784"/>
      <c r="E28" s="2784"/>
      <c r="F28" s="2784"/>
      <c r="G28" s="2784"/>
      <c r="H28" s="2784"/>
      <c r="I28" s="2784"/>
      <c r="J28" s="2785"/>
      <c r="K28" s="3158">
        <f>SUM(K29:N34)</f>
        <v>203892</v>
      </c>
      <c r="L28" s="3159"/>
      <c r="M28" s="3159"/>
      <c r="N28" s="3160"/>
      <c r="O28" s="3158">
        <f>SUM(O29:R34)</f>
        <v>226535</v>
      </c>
      <c r="P28" s="3159"/>
      <c r="Q28" s="3159"/>
      <c r="R28" s="3160"/>
      <c r="S28" s="3158">
        <f>SUM(S29:V34)</f>
        <v>0</v>
      </c>
      <c r="T28" s="3159"/>
      <c r="U28" s="3159"/>
      <c r="V28" s="3160"/>
      <c r="W28" s="1263"/>
      <c r="X28" s="1263"/>
      <c r="Y28" s="56"/>
    </row>
    <row r="29" spans="1:47" x14ac:dyDescent="0.2">
      <c r="A29" s="3139" t="s">
        <v>25</v>
      </c>
      <c r="B29" s="3140"/>
      <c r="C29" s="3140"/>
      <c r="D29" s="3140"/>
      <c r="E29" s="3140"/>
      <c r="F29" s="3140"/>
      <c r="G29" s="3140"/>
      <c r="H29" s="3140"/>
      <c r="I29" s="3140"/>
      <c r="J29" s="3141"/>
      <c r="K29" s="3152">
        <f>SUMIF(J14:J23,"sb",K14:K23)</f>
        <v>203892</v>
      </c>
      <c r="L29" s="3153"/>
      <c r="M29" s="3153"/>
      <c r="N29" s="3154"/>
      <c r="O29" s="3152">
        <f>SUMIF(J14:J23,"sb",O14:O23)</f>
        <v>226535</v>
      </c>
      <c r="P29" s="3153"/>
      <c r="Q29" s="3153"/>
      <c r="R29" s="3154"/>
      <c r="S29" s="3152">
        <f>SUMIF(R14:R23,"sb",S14:S23)</f>
        <v>0</v>
      </c>
      <c r="T29" s="3153"/>
      <c r="U29" s="3153"/>
      <c r="V29" s="3154"/>
      <c r="W29" s="1264"/>
      <c r="X29" s="1264"/>
      <c r="Y29" s="80"/>
    </row>
    <row r="30" spans="1:47" x14ac:dyDescent="0.2">
      <c r="A30" s="2756" t="s">
        <v>26</v>
      </c>
      <c r="B30" s="2757"/>
      <c r="C30" s="2757"/>
      <c r="D30" s="2757"/>
      <c r="E30" s="2757"/>
      <c r="F30" s="2757"/>
      <c r="G30" s="2757"/>
      <c r="H30" s="2757"/>
      <c r="I30" s="2757"/>
      <c r="J30" s="2758"/>
      <c r="K30" s="3152">
        <f>SUMIF(J14:J23,"SB(SP)",K14:K23)</f>
        <v>0</v>
      </c>
      <c r="L30" s="3153"/>
      <c r="M30" s="3153"/>
      <c r="N30" s="3154"/>
      <c r="O30" s="3152">
        <f>SUMIF(N14:N23,"SB(SP)",O14:O23)</f>
        <v>0</v>
      </c>
      <c r="P30" s="3153"/>
      <c r="Q30" s="3153"/>
      <c r="R30" s="3154"/>
      <c r="S30" s="3152">
        <f>SUMIF(R14:R23,"SB(SP)",S14:S23)</f>
        <v>0</v>
      </c>
      <c r="T30" s="3153"/>
      <c r="U30" s="3153"/>
      <c r="V30" s="3154"/>
      <c r="W30" s="1264"/>
      <c r="X30" s="1264"/>
    </row>
    <row r="31" spans="1:47" x14ac:dyDescent="0.2">
      <c r="A31" s="2756" t="s">
        <v>364</v>
      </c>
      <c r="B31" s="2757"/>
      <c r="C31" s="2757"/>
      <c r="D31" s="2757"/>
      <c r="E31" s="2757"/>
      <c r="F31" s="2757"/>
      <c r="G31" s="2757"/>
      <c r="H31" s="2757"/>
      <c r="I31" s="2757"/>
      <c r="J31" s="2758"/>
      <c r="K31" s="3152">
        <f>SUMIF(J14:J23,"SB(SPL)",K14:K23)</f>
        <v>0</v>
      </c>
      <c r="L31" s="3153"/>
      <c r="M31" s="3153"/>
      <c r="N31" s="3154"/>
      <c r="O31" s="3152">
        <f>SUMIF(N14:N23,"SB(SPL)",O14:O23)</f>
        <v>0</v>
      </c>
      <c r="P31" s="3153"/>
      <c r="Q31" s="3153"/>
      <c r="R31" s="3154"/>
      <c r="S31" s="3152">
        <f>SUMIF(R14:R23,"SB(SPL)",S14:S23)</f>
        <v>0</v>
      </c>
      <c r="T31" s="3153"/>
      <c r="U31" s="3153"/>
      <c r="V31" s="3154"/>
      <c r="W31" s="1264"/>
      <c r="X31" s="1264"/>
      <c r="Y31" s="58"/>
      <c r="Z31" s="1"/>
      <c r="AA31" s="1"/>
      <c r="AB31" s="1"/>
    </row>
    <row r="32" spans="1:47" x14ac:dyDescent="0.2">
      <c r="A32" s="2756" t="s">
        <v>365</v>
      </c>
      <c r="B32" s="2757"/>
      <c r="C32" s="2757"/>
      <c r="D32" s="2757"/>
      <c r="E32" s="2757"/>
      <c r="F32" s="2757"/>
      <c r="G32" s="2757"/>
      <c r="H32" s="2757"/>
      <c r="I32" s="2757"/>
      <c r="J32" s="2758"/>
      <c r="K32" s="3152">
        <f>SUMIF(J14:J21,"SB(L)",K14:K21)</f>
        <v>0</v>
      </c>
      <c r="L32" s="3153"/>
      <c r="M32" s="3153"/>
      <c r="N32" s="3154"/>
      <c r="O32" s="3152">
        <f>SUMIF(N14:N21,"SB(L)",O14:O21)</f>
        <v>0</v>
      </c>
      <c r="P32" s="3153"/>
      <c r="Q32" s="3153"/>
      <c r="R32" s="3154"/>
      <c r="S32" s="3152">
        <f>SUMIF(R14:R21,"SB(L)",S14:S21)</f>
        <v>0</v>
      </c>
      <c r="T32" s="3153"/>
      <c r="U32" s="3153"/>
      <c r="V32" s="3154"/>
      <c r="W32" s="1264"/>
      <c r="X32" s="1264"/>
      <c r="Y32" s="58"/>
      <c r="Z32" s="1"/>
      <c r="AA32" s="1"/>
      <c r="AB32" s="1"/>
    </row>
    <row r="33" spans="1:28" x14ac:dyDescent="0.2">
      <c r="A33" s="2756" t="s">
        <v>180</v>
      </c>
      <c r="B33" s="3137"/>
      <c r="C33" s="3137"/>
      <c r="D33" s="3137"/>
      <c r="E33" s="3137"/>
      <c r="F33" s="3137"/>
      <c r="G33" s="3137"/>
      <c r="H33" s="3137"/>
      <c r="I33" s="3137"/>
      <c r="J33" s="3138"/>
      <c r="K33" s="3152">
        <f>SUMIF(J14:J21,"SB(VR)",K14:K21)</f>
        <v>0</v>
      </c>
      <c r="L33" s="3153"/>
      <c r="M33" s="3153"/>
      <c r="N33" s="3154"/>
      <c r="O33" s="3152">
        <f>SUMIF(N14:N21,"SB(VR)",O14:O21)</f>
        <v>0</v>
      </c>
      <c r="P33" s="3153"/>
      <c r="Q33" s="3153"/>
      <c r="R33" s="3154"/>
      <c r="S33" s="3152">
        <f>SUMIF(R14:R21,"SB(VR)",S14:S21)</f>
        <v>0</v>
      </c>
      <c r="T33" s="3153"/>
      <c r="U33" s="3153"/>
      <c r="V33" s="3154"/>
      <c r="W33" s="1264"/>
      <c r="X33" s="1264"/>
      <c r="Y33" s="58"/>
      <c r="Z33" s="1"/>
      <c r="AA33" s="1"/>
      <c r="AB33" s="1"/>
    </row>
    <row r="34" spans="1:28" x14ac:dyDescent="0.2">
      <c r="A34" s="2756" t="s">
        <v>28</v>
      </c>
      <c r="B34" s="2757"/>
      <c r="C34" s="2757"/>
      <c r="D34" s="2757"/>
      <c r="E34" s="2757"/>
      <c r="F34" s="2757"/>
      <c r="G34" s="2757"/>
      <c r="H34" s="2757"/>
      <c r="I34" s="2757"/>
      <c r="J34" s="2758"/>
      <c r="K34" s="3152">
        <f>SUMIF(J14:J23,"SB(P)",K14:K23)</f>
        <v>0</v>
      </c>
      <c r="L34" s="3153"/>
      <c r="M34" s="3153"/>
      <c r="N34" s="3154"/>
      <c r="O34" s="3152">
        <f>SUMIF(N14:N23,"SB(P)",O14:O23)</f>
        <v>0</v>
      </c>
      <c r="P34" s="3153"/>
      <c r="Q34" s="3153"/>
      <c r="R34" s="3154"/>
      <c r="S34" s="3152">
        <f>SUMIF(R14:R23,"SB(P)",S14:S23)</f>
        <v>0</v>
      </c>
      <c r="T34" s="3153"/>
      <c r="U34" s="3153"/>
      <c r="V34" s="3154"/>
      <c r="W34" s="1264"/>
      <c r="X34" s="1264"/>
      <c r="Y34" s="1277"/>
    </row>
    <row r="35" spans="1:28" x14ac:dyDescent="0.2">
      <c r="A35" s="2762" t="s">
        <v>20</v>
      </c>
      <c r="B35" s="2763"/>
      <c r="C35" s="2763"/>
      <c r="D35" s="2763"/>
      <c r="E35" s="2763"/>
      <c r="F35" s="2763"/>
      <c r="G35" s="2763"/>
      <c r="H35" s="2763"/>
      <c r="I35" s="2763"/>
      <c r="J35" s="2764"/>
      <c r="K35" s="3155">
        <f>SUM(K36:N39)</f>
        <v>0</v>
      </c>
      <c r="L35" s="3156"/>
      <c r="M35" s="3156"/>
      <c r="N35" s="3157"/>
      <c r="O35" s="3155">
        <f>SUM(O36:R39)</f>
        <v>0</v>
      </c>
      <c r="P35" s="3156"/>
      <c r="Q35" s="3156"/>
      <c r="R35" s="3157"/>
      <c r="S35" s="3155">
        <f>SUM(S36:V39)</f>
        <v>0</v>
      </c>
      <c r="T35" s="3156"/>
      <c r="U35" s="3156"/>
      <c r="V35" s="3157"/>
      <c r="W35" s="1263"/>
      <c r="X35" s="1263"/>
    </row>
    <row r="36" spans="1:28" x14ac:dyDescent="0.2">
      <c r="A36" s="2768" t="s">
        <v>29</v>
      </c>
      <c r="B36" s="2769"/>
      <c r="C36" s="2769"/>
      <c r="D36" s="2769"/>
      <c r="E36" s="2769"/>
      <c r="F36" s="2769"/>
      <c r="G36" s="2769"/>
      <c r="H36" s="2769"/>
      <c r="I36" s="2769"/>
      <c r="J36" s="2770"/>
      <c r="K36" s="3152">
        <f>SUMIF(J14:J23,"ES",K14:K23)</f>
        <v>0</v>
      </c>
      <c r="L36" s="3153"/>
      <c r="M36" s="3153"/>
      <c r="N36" s="3154"/>
      <c r="O36" s="3152">
        <f>SUMIF(N14:N23,"ES",O14:O23)</f>
        <v>0</v>
      </c>
      <c r="P36" s="3153"/>
      <c r="Q36" s="3153"/>
      <c r="R36" s="3154"/>
      <c r="S36" s="3152">
        <f>SUMIF(R14:R23,"ES",S14:S23)</f>
        <v>0</v>
      </c>
      <c r="T36" s="3153"/>
      <c r="U36" s="3153"/>
      <c r="V36" s="3154"/>
      <c r="W36" s="1264"/>
      <c r="X36" s="1264"/>
    </row>
    <row r="37" spans="1:28" x14ac:dyDescent="0.2">
      <c r="A37" s="3134" t="s">
        <v>30</v>
      </c>
      <c r="B37" s="3135"/>
      <c r="C37" s="3135"/>
      <c r="D37" s="3135"/>
      <c r="E37" s="3135"/>
      <c r="F37" s="3135"/>
      <c r="G37" s="3135"/>
      <c r="H37" s="3135"/>
      <c r="I37" s="3135"/>
      <c r="J37" s="3136"/>
      <c r="K37" s="3152">
        <f>SUMIF(J14:J23,"KPP",K14:K23)</f>
        <v>0</v>
      </c>
      <c r="L37" s="3153"/>
      <c r="M37" s="3153"/>
      <c r="N37" s="3154"/>
      <c r="O37" s="3152">
        <f>SUMIF(N14:N23,"KPP",O14:O23)</f>
        <v>0</v>
      </c>
      <c r="P37" s="3153"/>
      <c r="Q37" s="3153"/>
      <c r="R37" s="3154"/>
      <c r="S37" s="3152">
        <f>SUMIF(R14:R23,"KPP",S14:S23)</f>
        <v>0</v>
      </c>
      <c r="T37" s="3153"/>
      <c r="U37" s="3153"/>
      <c r="V37" s="3154"/>
      <c r="W37" s="1264"/>
      <c r="X37" s="1264"/>
    </row>
    <row r="38" spans="1:28" x14ac:dyDescent="0.2">
      <c r="A38" s="2756" t="s">
        <v>31</v>
      </c>
      <c r="B38" s="2757"/>
      <c r="C38" s="2757"/>
      <c r="D38" s="2757"/>
      <c r="E38" s="2757"/>
      <c r="F38" s="2757"/>
      <c r="G38" s="2757"/>
      <c r="H38" s="2757"/>
      <c r="I38" s="2757"/>
      <c r="J38" s="2758"/>
      <c r="K38" s="3152">
        <f>SUMIF(J14:J23,"LRVB",K14:K23)</f>
        <v>0</v>
      </c>
      <c r="L38" s="3153"/>
      <c r="M38" s="3153"/>
      <c r="N38" s="3154"/>
      <c r="O38" s="3152">
        <f>SUMIF(N14:N23,"LRVB",O14:O23)</f>
        <v>0</v>
      </c>
      <c r="P38" s="3153"/>
      <c r="Q38" s="3153"/>
      <c r="R38" s="3154"/>
      <c r="S38" s="3152">
        <f>SUMIF(R14:R23,"LRVB",S14:S23)</f>
        <v>0</v>
      </c>
      <c r="T38" s="3153"/>
      <c r="U38" s="3153"/>
      <c r="V38" s="3154"/>
      <c r="W38" s="1264"/>
      <c r="X38" s="1264"/>
    </row>
    <row r="39" spans="1:28" x14ac:dyDescent="0.2">
      <c r="A39" s="2756" t="s">
        <v>32</v>
      </c>
      <c r="B39" s="2757"/>
      <c r="C39" s="2757"/>
      <c r="D39" s="2757"/>
      <c r="E39" s="2757"/>
      <c r="F39" s="2757"/>
      <c r="G39" s="2757"/>
      <c r="H39" s="2757"/>
      <c r="I39" s="2757"/>
      <c r="J39" s="2758"/>
      <c r="K39" s="3152">
        <f>SUMIF(J14:J23,"Kt",K14:K23)</f>
        <v>0</v>
      </c>
      <c r="L39" s="3153"/>
      <c r="M39" s="3153"/>
      <c r="N39" s="3154"/>
      <c r="O39" s="3152">
        <f>SUMIF(N14:N23,"Kt",O14:O23)</f>
        <v>0</v>
      </c>
      <c r="P39" s="3153"/>
      <c r="Q39" s="3153"/>
      <c r="R39" s="3154"/>
      <c r="S39" s="3152">
        <f>SUMIF(R14:R23,"Kt",S14:S23)</f>
        <v>0</v>
      </c>
      <c r="T39" s="3153"/>
      <c r="U39" s="3153"/>
      <c r="V39" s="3154"/>
      <c r="W39" s="1264"/>
      <c r="X39" s="1264"/>
      <c r="Z39" s="5"/>
    </row>
    <row r="40" spans="1:28" ht="13.5" thickBot="1" x14ac:dyDescent="0.25">
      <c r="A40" s="2747" t="s">
        <v>21</v>
      </c>
      <c r="B40" s="2748"/>
      <c r="C40" s="2748"/>
      <c r="D40" s="2748"/>
      <c r="E40" s="2748"/>
      <c r="F40" s="2748"/>
      <c r="G40" s="2748"/>
      <c r="H40" s="2748"/>
      <c r="I40" s="2748"/>
      <c r="J40" s="2749"/>
      <c r="K40" s="3149">
        <f>SUM(K28,K35)</f>
        <v>203892</v>
      </c>
      <c r="L40" s="3150"/>
      <c r="M40" s="3150"/>
      <c r="N40" s="3151"/>
      <c r="O40" s="3149">
        <f>SUM(O28,O35)</f>
        <v>226535</v>
      </c>
      <c r="P40" s="3150"/>
      <c r="Q40" s="3150"/>
      <c r="R40" s="3151"/>
      <c r="S40" s="3149">
        <f>SUM(S28,S35)</f>
        <v>0</v>
      </c>
      <c r="T40" s="3150"/>
      <c r="U40" s="3150"/>
      <c r="V40" s="3151"/>
      <c r="W40" s="1265"/>
      <c r="X40" s="1265"/>
      <c r="Z40" s="5"/>
    </row>
    <row r="41" spans="1:28" x14ac:dyDescent="0.2">
      <c r="Y41" s="57"/>
      <c r="Z41" s="5"/>
    </row>
    <row r="42" spans="1:28" x14ac:dyDescent="0.2">
      <c r="L42" s="291"/>
      <c r="M42" s="291"/>
      <c r="N42" s="291"/>
      <c r="O42" s="291"/>
      <c r="P42" s="291"/>
      <c r="Q42" s="291"/>
      <c r="R42" s="291"/>
      <c r="S42" s="291"/>
      <c r="T42" s="291"/>
      <c r="U42" s="291"/>
      <c r="V42" s="291"/>
      <c r="W42" s="291"/>
      <c r="X42" s="291"/>
      <c r="Y42" s="80"/>
      <c r="Z42" s="5"/>
    </row>
    <row r="43" spans="1:28" x14ac:dyDescent="0.2">
      <c r="L43" s="80"/>
      <c r="M43" s="80"/>
      <c r="Z43" s="5"/>
    </row>
    <row r="44" spans="1:28" x14ac:dyDescent="0.2">
      <c r="L44" s="291"/>
      <c r="Z44" s="5"/>
    </row>
  </sheetData>
  <mergeCells count="109">
    <mergeCell ref="Y1:AB1"/>
    <mergeCell ref="A3:Z3"/>
    <mergeCell ref="A4:Z4"/>
    <mergeCell ref="A5:Z5"/>
    <mergeCell ref="A7:A9"/>
    <mergeCell ref="B7:B9"/>
    <mergeCell ref="C7:C9"/>
    <mergeCell ref="D7:D9"/>
    <mergeCell ref="E7:E9"/>
    <mergeCell ref="F7:F9"/>
    <mergeCell ref="S8:S9"/>
    <mergeCell ref="T8:U8"/>
    <mergeCell ref="V8:V9"/>
    <mergeCell ref="Y8:Y9"/>
    <mergeCell ref="Z8:AB8"/>
    <mergeCell ref="A10:AB10"/>
    <mergeCell ref="S7:V7"/>
    <mergeCell ref="W7:W9"/>
    <mergeCell ref="X7:X9"/>
    <mergeCell ref="Y7:AB7"/>
    <mergeCell ref="K8:K9"/>
    <mergeCell ref="L8:M8"/>
    <mergeCell ref="N8:N9"/>
    <mergeCell ref="O8:O9"/>
    <mergeCell ref="P8:Q8"/>
    <mergeCell ref="R8:R9"/>
    <mergeCell ref="G7:G9"/>
    <mergeCell ref="H7:H9"/>
    <mergeCell ref="I7:I9"/>
    <mergeCell ref="J7:J9"/>
    <mergeCell ref="K7:N7"/>
    <mergeCell ref="O7:R7"/>
    <mergeCell ref="A11:AB11"/>
    <mergeCell ref="B12:AB12"/>
    <mergeCell ref="C13:AB13"/>
    <mergeCell ref="A14:A20"/>
    <mergeCell ref="B14:B20"/>
    <mergeCell ref="C14:C20"/>
    <mergeCell ref="D14:D20"/>
    <mergeCell ref="E14:E20"/>
    <mergeCell ref="F14:F20"/>
    <mergeCell ref="G14:G20"/>
    <mergeCell ref="Y23:AB23"/>
    <mergeCell ref="A24:Z24"/>
    <mergeCell ref="A25:Z25"/>
    <mergeCell ref="A26:N26"/>
    <mergeCell ref="A27:J27"/>
    <mergeCell ref="K27:N27"/>
    <mergeCell ref="O27:R27"/>
    <mergeCell ref="S27:V27"/>
    <mergeCell ref="H14:H20"/>
    <mergeCell ref="I14:I16"/>
    <mergeCell ref="Y14:Y15"/>
    <mergeCell ref="C21:J21"/>
    <mergeCell ref="B22:J22"/>
    <mergeCell ref="Y22:AB22"/>
    <mergeCell ref="A28:J28"/>
    <mergeCell ref="K28:N28"/>
    <mergeCell ref="O28:R28"/>
    <mergeCell ref="S28:V28"/>
    <mergeCell ref="A29:J29"/>
    <mergeCell ref="K29:N29"/>
    <mergeCell ref="O29:R29"/>
    <mergeCell ref="S29:V29"/>
    <mergeCell ref="B23:J23"/>
    <mergeCell ref="A32:J32"/>
    <mergeCell ref="K32:N32"/>
    <mergeCell ref="O32:R32"/>
    <mergeCell ref="S32:V32"/>
    <mergeCell ref="A33:J33"/>
    <mergeCell ref="K33:N33"/>
    <mergeCell ref="O33:R33"/>
    <mergeCell ref="S33:V33"/>
    <mergeCell ref="A30:J30"/>
    <mergeCell ref="K30:N30"/>
    <mergeCell ref="O30:R30"/>
    <mergeCell ref="S30:V30"/>
    <mergeCell ref="A31:J31"/>
    <mergeCell ref="K31:N31"/>
    <mergeCell ref="O31:R31"/>
    <mergeCell ref="S31:V31"/>
    <mergeCell ref="A36:J36"/>
    <mergeCell ref="K36:N36"/>
    <mergeCell ref="O36:R36"/>
    <mergeCell ref="S36:V36"/>
    <mergeCell ref="A37:J37"/>
    <mergeCell ref="K37:N37"/>
    <mergeCell ref="O37:R37"/>
    <mergeCell ref="S37:V37"/>
    <mergeCell ref="A34:J34"/>
    <mergeCell ref="K34:N34"/>
    <mergeCell ref="O34:R34"/>
    <mergeCell ref="S34:V34"/>
    <mergeCell ref="A35:J35"/>
    <mergeCell ref="K35:N35"/>
    <mergeCell ref="O35:R35"/>
    <mergeCell ref="S35:V35"/>
    <mergeCell ref="A40:J40"/>
    <mergeCell ref="K40:N40"/>
    <mergeCell ref="O40:R40"/>
    <mergeCell ref="S40:V40"/>
    <mergeCell ref="A38:J38"/>
    <mergeCell ref="K38:N38"/>
    <mergeCell ref="O38:R38"/>
    <mergeCell ref="S38:V38"/>
    <mergeCell ref="A39:J39"/>
    <mergeCell ref="K39:N39"/>
    <mergeCell ref="O39:R39"/>
    <mergeCell ref="S39:V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8</vt:i4>
      </vt:variant>
    </vt:vector>
  </HeadingPairs>
  <TitlesOfParts>
    <vt:vector size="14" baseType="lpstr">
      <vt:lpstr>Lyginamasis variantas </vt:lpstr>
      <vt:lpstr>7 programa</vt:lpstr>
      <vt:lpstr>aiškinamoji lentelė</vt:lpstr>
      <vt:lpstr>lyginamasis variantas</vt:lpstr>
      <vt:lpstr>2015 m. 7 pr.</vt:lpstr>
      <vt:lpstr>Viešoji tvarka</vt:lpstr>
      <vt:lpstr>'2015 m. 7 pr.'!Print_Area</vt:lpstr>
      <vt:lpstr>'7 programa'!Print_Area</vt:lpstr>
      <vt:lpstr>'aiškinamoji lentelė'!Print_Area</vt:lpstr>
      <vt:lpstr>'Lyginamasis variantas '!Print_Area</vt:lpstr>
      <vt:lpstr>'2015 m. 7 pr.'!Print_Titles</vt:lpstr>
      <vt:lpstr>'7 programa'!Print_Titles</vt:lpstr>
      <vt:lpstr>'aiškinamoji lentelė'!Print_Titles</vt:lpstr>
      <vt:lpstr>'Lyginamasis variantas '!Print_Titles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2016-12-22T08:33:09Z</cp:lastPrinted>
  <dcterms:created xsi:type="dcterms:W3CDTF">2007-07-27T10:32:34Z</dcterms:created>
  <dcterms:modified xsi:type="dcterms:W3CDTF">2016-12-27T07:06:51Z</dcterms:modified>
</cp:coreProperties>
</file>