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72F" lockStructure="1"/>
  <bookViews>
    <workbookView xWindow="10305" yWindow="-15" windowWidth="10230" windowHeight="8115" tabRatio="631" firstSheet="3" activeTab="3"/>
  </bookViews>
  <sheets>
    <sheet name="Params" sheetId="19" state="hidden" r:id="rId1"/>
    <sheet name="errors" sheetId="21" state="hidden" r:id="rId2"/>
    <sheet name="gen_params" sheetId="20" state="hidden" r:id="rId3"/>
    <sheet name="salaries" sheetId="14" r:id="rId4"/>
    <sheet name="WP1" sheetId="1" r:id="rId5"/>
    <sheet name="WP2" sheetId="2" r:id="rId6"/>
    <sheet name="WP3" sheetId="10" r:id="rId7"/>
    <sheet name="WP4" sheetId="18" r:id="rId8"/>
    <sheet name="WP5" sheetId="8" r:id="rId9"/>
    <sheet name="WP6" sheetId="9" r:id="rId10"/>
    <sheet name="WP7" sheetId="15" r:id="rId11"/>
    <sheet name="WP8" sheetId="11" r:id="rId12"/>
    <sheet name="Summary 1" sheetId="7" r:id="rId13"/>
    <sheet name="Summary 2" sheetId="6" r:id="rId14"/>
    <sheet name="Summary 3" sheetId="16" r:id="rId15"/>
    <sheet name="Summary 4" sheetId="22" r:id="rId16"/>
    <sheet name="WPs" sheetId="17" state="hidden" r:id="rId17"/>
  </sheets>
  <externalReferences>
    <externalReference r:id="rId18"/>
  </externalReferences>
  <definedNames>
    <definedName name="_xlnm._FilterDatabase" localSheetId="2" hidden="1">gen_params!$A$2:$A$31</definedName>
    <definedName name="AB1_employees">[1]salaries!$C$10:$C$14</definedName>
    <definedName name="AB10_employees">[1]salaries!$C$57:$C$61</definedName>
    <definedName name="AB11_employees">[1]salaries!$C$62:$C$66</definedName>
    <definedName name="AB2_employees">[1]salaries!$C$15:$C$20</definedName>
    <definedName name="AB3_employees">[1]salaries!$C$21:$C$24</definedName>
    <definedName name="AB4_employees">[1]salaries!$C$25:$C$30</definedName>
    <definedName name="AB5_employees">[1]salaries!$C$31:$C$35</definedName>
    <definedName name="AB6_employees">[1]salaries!$C$36:$C$40</definedName>
    <definedName name="AB7_employees">[1]salaries!$C$41:$C$45</definedName>
    <definedName name="AB8_employees">[1]salaries!$C$46:$C$50</definedName>
    <definedName name="AB9_employees">[1]salaries!$C$51:$C$56</definedName>
    <definedName name="CB_employees">[1]salaries!$C$3:$C$9</definedName>
    <definedName name="CO_employees">salaries!$C$3:$C$7</definedName>
    <definedName name="gen_parm_partners">gen_params!$A$1</definedName>
    <definedName name="P10_employees">salaries!$C$42:$C$46</definedName>
    <definedName name="P11_employees">salaries!$C$47:$C$50</definedName>
    <definedName name="P12_employees">salaries!$C$51:$C$54</definedName>
    <definedName name="P13_employees">salaries!$C$55:$C$58</definedName>
    <definedName name="P14_employees">salaries!$C$59:$C$62</definedName>
    <definedName name="P15_employees">salaries!$C$63:$C$66</definedName>
    <definedName name="P16_employees">salaries!$C$67:$C$71</definedName>
    <definedName name="P17_employees">salaries!$C$72:$C$75</definedName>
    <definedName name="P18_employees">salaries!$C$76:$C$80</definedName>
    <definedName name="P19_employees">salaries!$C$81:$C$84</definedName>
    <definedName name="P2_employees">salaries!$C$8:$C$11</definedName>
    <definedName name="P20_employees">salaries!$C$85:$C$88</definedName>
    <definedName name="P21_employees">salaries!$C$89:$C$92</definedName>
    <definedName name="P22_employees">salaries!$C$93:$C$96</definedName>
    <definedName name="P23_employees">salaries!$C$97:$C$100</definedName>
    <definedName name="P24_employees">salaries!$C$101:$C$104</definedName>
    <definedName name="P25_employees">salaries!$C$105:$C$108</definedName>
    <definedName name="P26_employees">salaries!$C$109:$C$112</definedName>
    <definedName name="P27_employees">salaries!$C$113:$C$115</definedName>
    <definedName name="P3_employees">salaries!$C$12:$C$15</definedName>
    <definedName name="P4_employees">salaries!$C$16:$C$19</definedName>
    <definedName name="P5_employees">salaries!$C$20:$C$24</definedName>
    <definedName name="P6_employees">salaries!$C$25:$C$28</definedName>
    <definedName name="P7_employees">salaries!$C$29:$C$33</definedName>
    <definedName name="P8_employees">salaries!$C$34:$C$37</definedName>
    <definedName name="P9_employees">salaries!$C$38:$C$41</definedName>
    <definedName name="Params_WP_Count">Params!$B$1</definedName>
    <definedName name="Params_WP_Sections">Params!$A$1</definedName>
    <definedName name="partners_list" localSheetId="15">[1]gen_params!$A$2:$A$16</definedName>
    <definedName name="partners_list">gen_params!$A$2:$A$28</definedName>
    <definedName name="_xlnm.Print_Area" localSheetId="13">'Summary 2'!$O$4:$P$39</definedName>
    <definedName name="_xlnm.Print_Area" localSheetId="4">'WP1'!$A$1:$H$308</definedName>
    <definedName name="_xlnm.Print_Area" localSheetId="5">'WP2'!$A$1:$H$298</definedName>
    <definedName name="_xlnm.Print_Area" localSheetId="6">'WP3'!$A$1:$H$337</definedName>
    <definedName name="_xlnm.Print_Area" localSheetId="7">'WP4'!$A$1:$H$289</definedName>
    <definedName name="_xlnm.Print_Area" localSheetId="8">'WP5'!$A$1:$H$327</definedName>
    <definedName name="_xlnm.Print_Area" localSheetId="9">'WP6'!$A$1:$H$229</definedName>
    <definedName name="_xlnm.Print_Area" localSheetId="10">'WP7'!$A$1:$H$155</definedName>
    <definedName name="_xlnm.Print_Area" localSheetId="11">'WP8'!$A$1:$H$29</definedName>
    <definedName name="WP1_SEC1__total">'WP1'!$H$5</definedName>
    <definedName name="WP1_SEC1_AB1_total">[1]WP1!$J$16</definedName>
    <definedName name="WP1_SEC1_AB10_total">[1]WP1!$J$41</definedName>
    <definedName name="WP1_SEC1_AB11_total">[1]WP1!$J$43</definedName>
    <definedName name="WP1_SEC1_AB2_total">[1]WP1!$J$21</definedName>
    <definedName name="WP1_SEC1_AB3_total">[1]WP1!$J$24</definedName>
    <definedName name="WP1_SEC1_AB4_total">[1]WP1!$J$27</definedName>
    <definedName name="WP1_SEC1_AB5_total">[1]WP1!$J$29</definedName>
    <definedName name="WP1_SEC1_AB6_total">[1]WP1!$J$31</definedName>
    <definedName name="WP1_SEC1_AB7_total">[1]WP1!$J$33</definedName>
    <definedName name="WP1_SEC1_AB8_total">[1]WP1!$J$35</definedName>
    <definedName name="WP1_SEC1_AB9_total">[1]WP1!$J$38</definedName>
    <definedName name="WP1_SEC1_CB_total">[1]WP1!$J$11</definedName>
    <definedName name="WP1_SEC1_CO_total">'WP1'!$H$28</definedName>
    <definedName name="WP1_SEC1_P10_total">'WP1'!$H$122</definedName>
    <definedName name="WP1_SEC1_P11_total">'WP1'!$H$133</definedName>
    <definedName name="WP1_SEC1_P12_total">'WP1'!$H$144</definedName>
    <definedName name="WP1_SEC1_P13_total">'WP1'!$H$155</definedName>
    <definedName name="WP1_SEC1_P14_total">'WP1'!$H$164</definedName>
    <definedName name="WP1_SEC1_P15_total">'WP1'!$H$173</definedName>
    <definedName name="WP1_SEC1_P16_total">'WP1'!$H$182</definedName>
    <definedName name="WP1_SEC1_P17_total">'WP1'!$H$186</definedName>
    <definedName name="WP1_SEC1_P18_total">'WP1'!$H$190</definedName>
    <definedName name="WP1_SEC1_P19_total">'WP1'!$H$194</definedName>
    <definedName name="WP1_SEC1_P2_total">'WP1'!$H$38</definedName>
    <definedName name="WP1_SEC1_P20_total">'WP1'!$H$198</definedName>
    <definedName name="WP1_SEC1_P21_total">'WP1'!$H$202</definedName>
    <definedName name="WP1_SEC1_P22_total">'WP1'!$H$204</definedName>
    <definedName name="WP1_SEC1_P23_total">'WP1'!$H$208</definedName>
    <definedName name="WP1_SEC1_P24_total">'WP1'!$H$212</definedName>
    <definedName name="WP1_SEC1_P25_total">'WP1'!$H$216</definedName>
    <definedName name="WP1_SEC1_P26_total">'WP1'!$H$218</definedName>
    <definedName name="WP1_SEC1_P27_total">'WP1'!$H$222</definedName>
    <definedName name="WP1_SEC1_P3_total">'WP1'!$H$48</definedName>
    <definedName name="WP1_SEC1_P4_total">'WP1'!$H$58</definedName>
    <definedName name="WP1_SEC1_P5_total">'WP1'!$H$68</definedName>
    <definedName name="WP1_SEC1_P6_total">'WP1'!$H$78</definedName>
    <definedName name="WP1_SEC1_P7_total">'WP1'!$H$89</definedName>
    <definedName name="WP1_SEC1_P8_total">'WP1'!$H$100</definedName>
    <definedName name="WP1_SEC1_P9_total">'WP1'!$H$111</definedName>
    <definedName name="WP1_SEC1_subtotal">'WP1'!$H$223</definedName>
    <definedName name="WP1_SEC2__total">'WP1'!$H$227</definedName>
    <definedName name="WP1_SEC2_AB1_total">[1]WP1!$J$51</definedName>
    <definedName name="WP1_SEC2_AB2_total">[1]WP1!$J$54</definedName>
    <definedName name="WP1_SEC2_CB_total">[1]WP1!$J$48</definedName>
    <definedName name="WP1_SEC2_subtotal">'WP1'!$H$228</definedName>
    <definedName name="WP1_SEC3__total">'WP1'!$H$229</definedName>
    <definedName name="WP1_SEC3_AB1_total">[1]WP1!$J$65</definedName>
    <definedName name="WP1_SEC3_AB10_total">[1]WP1!$J$87</definedName>
    <definedName name="WP1_SEC3_AB11_total">[1]WP1!$J$89</definedName>
    <definedName name="WP1_SEC3_AB2_total">[1]WP1!$J$69</definedName>
    <definedName name="WP1_SEC3_AB3_total">[1]WP1!$J$73</definedName>
    <definedName name="WP1_SEC3_AB4_total">[1]WP1!$J$75</definedName>
    <definedName name="WP1_SEC3_AB5_total">[1]WP1!$J$77</definedName>
    <definedName name="WP1_SEC3_AB6_total">[1]WP1!$J$79</definedName>
    <definedName name="WP1_SEC3_AB7_total">[1]WP1!$J$81</definedName>
    <definedName name="WP1_SEC3_AB8_total">[1]WP1!$J$83</definedName>
    <definedName name="WP1_SEC3_AB9_total">[1]WP1!$J$85</definedName>
    <definedName name="WP1_SEC3_CB_total">[1]WP1!$J$61</definedName>
    <definedName name="WP1_SEC3_CO_total">'WP1'!$H$234</definedName>
    <definedName name="WP1_SEC3_P10_total">'WP1'!$H$252</definedName>
    <definedName name="WP1_SEC3_P11_total">'WP1'!$H$254</definedName>
    <definedName name="WP1_SEC3_P12_total">'WP1'!$H$256</definedName>
    <definedName name="WP1_SEC3_P13_total">'WP1'!$H$258</definedName>
    <definedName name="WP1_SEC3_P14_total">'WP1'!$H$260</definedName>
    <definedName name="WP1_SEC3_P15_total">'WP1'!$H$262</definedName>
    <definedName name="WP1_SEC3_P16_total">'WP1'!$H$264</definedName>
    <definedName name="WP1_SEC3_P17_total">'WP1'!$H$266</definedName>
    <definedName name="WP1_SEC3_P18_total">'WP1'!$H$268</definedName>
    <definedName name="WP1_SEC3_P19_total">'WP1'!$H$270</definedName>
    <definedName name="WP1_SEC3_P2_total">'WP1'!$H$236</definedName>
    <definedName name="WP1_SEC3_P20_total">'WP1'!$H$272</definedName>
    <definedName name="WP1_SEC3_P21_total">'WP1'!$H$274</definedName>
    <definedName name="WP1_SEC3_P22_total">'WP1'!$H$276</definedName>
    <definedName name="WP1_SEC3_P23_total">'WP1'!$H$278</definedName>
    <definedName name="WP1_SEC3_P24_total">'WP1'!$H$280</definedName>
    <definedName name="WP1_SEC3_P25_total">'WP1'!$H$282</definedName>
    <definedName name="WP1_SEC3_P26_total">'WP1'!$H$284</definedName>
    <definedName name="WP1_SEC3_P27_total">'WP1'!$H$286</definedName>
    <definedName name="WP1_SEC3_P3_total">'WP1'!$H$238</definedName>
    <definedName name="WP1_SEC3_P4_total">'WP1'!$H$240</definedName>
    <definedName name="WP1_SEC3_P5_total">'WP1'!$H$242</definedName>
    <definedName name="WP1_SEC3_P6_total">'WP1'!$H$244</definedName>
    <definedName name="WP1_SEC3_P7_total">'WP1'!$H$246</definedName>
    <definedName name="WP1_SEC3_P8_total">'WP1'!$H$248</definedName>
    <definedName name="WP1_SEC3_P9_total">'WP1'!$H$250</definedName>
    <definedName name="WP1_SEC3_subtotal">'WP1'!$H$287</definedName>
    <definedName name="WP1_SEC4__total">'WP1'!$H$291</definedName>
    <definedName name="WP1_SEC4_subtotal">'WP1'!$H$292</definedName>
    <definedName name="WP1_SEC5__total">'WP1'!$H$293</definedName>
    <definedName name="WP1_SEC5_AB1_total">[1]WP1!$J$98</definedName>
    <definedName name="WP1_SEC5_AB2_total">[1]WP1!$J$99</definedName>
    <definedName name="WP1_SEC5_CB_total">[1]WP1!$J$97</definedName>
    <definedName name="WP1_SEC5_CO_total">'WP1'!$H$299</definedName>
    <definedName name="WP1_SEC5_P5_total">'WP1'!$H$301</definedName>
    <definedName name="WP1_SEC5_P6_total">'WP1'!$H$303</definedName>
    <definedName name="WP1_SEC5_subtotal">'WP1'!$H$304</definedName>
    <definedName name="WP2_SEC1__total">'WP2'!$H$5</definedName>
    <definedName name="WP2_SEC1_AB1_total">[1]WP2!$J$17</definedName>
    <definedName name="WP2_SEC1_AB10_total">[1]WP2!$J$42</definedName>
    <definedName name="WP2_SEC1_AB11_total">[1]WP2!$J$44</definedName>
    <definedName name="WP2_SEC1_AB2_total">[1]WP2!$J$22</definedName>
    <definedName name="WP2_SEC1_AB3_total">[1]WP2!$J$25</definedName>
    <definedName name="WP2_SEC1_AB4_total">[1]WP2!$J$28</definedName>
    <definedName name="WP2_SEC1_AB5_total">[1]WP2!$J$30</definedName>
    <definedName name="WP2_SEC1_AB6_total">[1]WP2!$J$32</definedName>
    <definedName name="WP2_SEC1_AB7_total">[1]WP2!$J$34</definedName>
    <definedName name="WP2_SEC1_AB8_total">[1]WP2!$J$36</definedName>
    <definedName name="WP2_SEC1_AB9_total">[1]WP2!$J$39</definedName>
    <definedName name="WP2_SEC1_CB_total">[1]WP2!$J$12</definedName>
    <definedName name="WP2_SEC1_CO_total">'WP2'!$H$16</definedName>
    <definedName name="WP2_SEC1_P10_total">'WP2'!$H$100</definedName>
    <definedName name="WP2_SEC1_P11_total">'WP2'!$H$108</definedName>
    <definedName name="WP2_SEC1_P12_total">'WP2'!$H$111</definedName>
    <definedName name="WP2_SEC1_P13_total">'WP2'!$H$119</definedName>
    <definedName name="WP2_SEC1_P14_total">'WP2'!$H$122</definedName>
    <definedName name="WP2_SEC1_P15_total">'WP2'!$H$125</definedName>
    <definedName name="WP2_SEC1_P16_total">'WP2'!$H$128</definedName>
    <definedName name="WP2_SEC1_P17_total">'WP2'!$H$131</definedName>
    <definedName name="WP2_SEC1_P18_total">'WP2'!$H$134</definedName>
    <definedName name="WP2_SEC1_P19_total">'WP2'!$H$147</definedName>
    <definedName name="WP2_SEC1_P2_total">'WP2'!$H$24</definedName>
    <definedName name="WP2_SEC1_P20_total">'WP2'!$H$150</definedName>
    <definedName name="WP2_SEC1_P21_total">'WP2'!$H$153</definedName>
    <definedName name="WP2_SEC1_P22_total">'WP2'!$H$156</definedName>
    <definedName name="WP2_SEC1_P23_total">'WP2'!$H$159</definedName>
    <definedName name="WP2_SEC1_P24_total">'WP2'!$H$162</definedName>
    <definedName name="WP2_SEC1_P25_total">'WP2'!$H$165</definedName>
    <definedName name="WP2_SEC1_P26_total">'WP2'!$H$168</definedName>
    <definedName name="WP2_SEC1_P27_total">'WP2'!$H$171</definedName>
    <definedName name="WP2_SEC1_P3_total">'WP2'!$H$34</definedName>
    <definedName name="WP2_SEC1_P4_total">'WP2'!$H$42</definedName>
    <definedName name="WP2_SEC1_P5_total">'WP2'!$H$57</definedName>
    <definedName name="WP2_SEC1_P6_total">'WP2'!$H$65</definedName>
    <definedName name="WP2_SEC1_P7_total">'WP2'!$H$73</definedName>
    <definedName name="WP2_SEC1_P8_total">'WP2'!$H$84</definedName>
    <definedName name="WP2_SEC1_P9_total">'WP2'!$H$92</definedName>
    <definedName name="WP2_SEC1_subtotal">'WP2'!$H$172</definedName>
    <definedName name="WP2_SEC2__total">'WP2'!$H$173</definedName>
    <definedName name="WP2_SEC2_AB1_total">[1]WP2!$J$52</definedName>
    <definedName name="WP2_SEC2_AB2_total">[1]WP2!$J$55</definedName>
    <definedName name="WP2_SEC2_CB_total">[1]WP2!$J$49</definedName>
    <definedName name="WP2_SEC2_P10_total">'WP2'!$H$178</definedName>
    <definedName name="WP2_SEC2_P11_total">'WP2'!$H$180</definedName>
    <definedName name="WP2_SEC2_P13_total">'WP2'!$H$182</definedName>
    <definedName name="WP2_SEC2_P19_total">'WP2'!$H$181</definedName>
    <definedName name="WP2_SEC2_P5_total">'WP2'!$H$174</definedName>
    <definedName name="WP2_SEC2_P7_total">'WP2'!$H$175</definedName>
    <definedName name="WP2_SEC2_P8_total">'WP2'!$H$176</definedName>
    <definedName name="WP2_SEC2_P9_total">'WP2'!$H$177</definedName>
    <definedName name="WP2_SEC2_subtotal">'WP2'!$H$183</definedName>
    <definedName name="WP2_SEC3__total">'WP2'!$H$184</definedName>
    <definedName name="WP2_SEC3_AB1_total">[1]WP2!$J$66</definedName>
    <definedName name="WP2_SEC3_AB10_total">[1]WP2!$J$88</definedName>
    <definedName name="WP2_SEC3_AB11_total">[1]WP2!$J$90</definedName>
    <definedName name="WP2_SEC3_AB2_total">[1]WP2!$J$70</definedName>
    <definedName name="WP2_SEC3_AB3_total">[1]WP2!$J$74</definedName>
    <definedName name="WP2_SEC3_AB4_total">[1]WP2!$J$76</definedName>
    <definedName name="WP2_SEC3_AB5_total">[1]WP2!$J$78</definedName>
    <definedName name="WP2_SEC3_AB6_total">[1]WP2!$J$80</definedName>
    <definedName name="WP2_SEC3_AB7_total">[1]WP2!$J$82</definedName>
    <definedName name="WP2_SEC3_AB8_total">[1]WP2!$J$84</definedName>
    <definedName name="WP2_SEC3_AB9_total">[1]WP2!$J$86</definedName>
    <definedName name="WP2_SEC3_CB_total">[1]WP2!$J$62</definedName>
    <definedName name="WP2_SEC3_CO_total">'WP2'!$H$186</definedName>
    <definedName name="WP2_SEC3_P10_total">'WP2'!$H$208</definedName>
    <definedName name="WP2_SEC3_P11_total">'WP2'!$H$211</definedName>
    <definedName name="WP2_SEC3_P12_total">'WP2'!$H$214</definedName>
    <definedName name="WP2_SEC3_P13_total">'WP2'!$H$217</definedName>
    <definedName name="WP2_SEC3_P14_total">'WP2'!$H$220</definedName>
    <definedName name="WP2_SEC3_P15_total">'WP2'!$H$223</definedName>
    <definedName name="WP2_SEC3_P16_total">'WP2'!$H$226</definedName>
    <definedName name="WP2_SEC3_P17_total">'WP2'!$H$229</definedName>
    <definedName name="WP2_SEC3_P18_total">'WP2'!$H$232</definedName>
    <definedName name="WP2_SEC3_P19_total">'WP2'!$H$235</definedName>
    <definedName name="WP2_SEC3_P2_total">'WP2'!$H$188</definedName>
    <definedName name="WP2_SEC3_P20_total">'WP2'!$H$238</definedName>
    <definedName name="WP2_SEC3_P21_total">'WP2'!$H$241</definedName>
    <definedName name="WP2_SEC3_P22_total">'WP2'!$H$244</definedName>
    <definedName name="WP2_SEC3_P23_total">'WP2'!$H$247</definedName>
    <definedName name="WP2_SEC3_P24_total">'WP2'!$H$250</definedName>
    <definedName name="WP2_SEC3_P25_total">'WP2'!$H$253</definedName>
    <definedName name="WP2_SEC3_P26_total">'WP2'!$H$256</definedName>
    <definedName name="WP2_SEC3_P27_total">'WP2'!$H$259</definedName>
    <definedName name="WP2_SEC3_P3_total">'WP2'!$H$190</definedName>
    <definedName name="WP2_SEC3_P4_total">'WP2'!$H$192</definedName>
    <definedName name="WP2_SEC3_P5_total">'WP2'!$H$194</definedName>
    <definedName name="WP2_SEC3_P6_total">'WP2'!$H$196</definedName>
    <definedName name="WP2_SEC3_P7_total">'WP2'!$H$199</definedName>
    <definedName name="WP2_SEC3_P8_total">'WP2'!$H$202</definedName>
    <definedName name="WP2_SEC3_P9_total">'WP2'!$H$205</definedName>
    <definedName name="WP2_SEC3_subtotal">'WP2'!$H$260</definedName>
    <definedName name="WP2_SEC4__total">'WP2'!$H$262</definedName>
    <definedName name="WP2_SEC4_subtotal">'WP2'!$H$263</definedName>
    <definedName name="WP2_SEC5__total">'WP2'!$H$264</definedName>
    <definedName name="WP2_SEC5_AB1_total">[1]WP2!$J$99</definedName>
    <definedName name="WP2_SEC5_AB2_total">[1]WP2!$J$100</definedName>
    <definedName name="WP2_SEC5_CB_total">[1]WP2!$J$98</definedName>
    <definedName name="WP2_SEC5_P10_total">'WP2'!$H$281</definedName>
    <definedName name="WP2_SEC5_P11_total">'WP2'!$H$284</definedName>
    <definedName name="WP2_SEC5_P13_total">'WP2'!$H$291</definedName>
    <definedName name="WP2_SEC5_P16_total">'WP2'!$H$294</definedName>
    <definedName name="WP2_SEC5_P19_total">'WP2'!$H$288</definedName>
    <definedName name="WP2_SEC5_P5_total">'WP2'!$H$269</definedName>
    <definedName name="WP2_SEC5_P7_total">'WP2'!$H$272</definedName>
    <definedName name="WP2_SEC5_P8_total">'WP2'!$H$275</definedName>
    <definedName name="WP2_SEC5_P9_total">'WP2'!$H$278</definedName>
    <definedName name="WP2_SEC5_subtotal">'WP2'!$H$295</definedName>
    <definedName name="WP3_SEC1__total">'WP3'!$H$5</definedName>
    <definedName name="WP3_SEC1_AB1_total">[1]WP3!$J$17</definedName>
    <definedName name="WP3_SEC1_AB10_total">[1]WP3!$J$42</definedName>
    <definedName name="WP3_SEC1_AB11_total">[1]WP3!$J$44</definedName>
    <definedName name="WP3_SEC1_AB2_total">[1]WP3!$J$22</definedName>
    <definedName name="WP3_SEC1_AB3_total">[1]WP3!$J$25</definedName>
    <definedName name="WP3_SEC1_AB4_total">[1]WP3!$J$28</definedName>
    <definedName name="WP3_SEC1_AB5_total">[1]WP3!$J$30</definedName>
    <definedName name="WP3_SEC1_AB6_total">[1]WP3!$J$32</definedName>
    <definedName name="WP3_SEC1_AB7_total">[1]WP3!$J$34</definedName>
    <definedName name="WP3_SEC1_AB8_total">[1]WP3!$J$36</definedName>
    <definedName name="WP3_SEC1_AB9_total">[1]WP3!$J$39</definedName>
    <definedName name="WP3_SEC1_CB_total">[1]WP3!$J$12</definedName>
    <definedName name="WP3_SEC1_CO_total">'WP3'!$H$16</definedName>
    <definedName name="WP3_SEC1_P10_total">'WP3'!$H$114</definedName>
    <definedName name="WP3_SEC1_P11_total">'WP3'!$H$121</definedName>
    <definedName name="WP3_SEC1_P12_total">'WP3'!$H$124</definedName>
    <definedName name="WP3_SEC1_P13_total">'WP3'!$H$131</definedName>
    <definedName name="WP3_SEC1_P14_total">'WP3'!$H$139</definedName>
    <definedName name="WP3_SEC1_P15_total">'WP3'!$H$142</definedName>
    <definedName name="WP3_SEC1_P16_total">'WP3'!$H$150</definedName>
    <definedName name="WP3_SEC1_P17_total">'WP3'!$H$158</definedName>
    <definedName name="WP3_SEC1_P18_total">'WP3'!$H$162</definedName>
    <definedName name="WP3_SEC1_P19_total">'WP3'!$H$170</definedName>
    <definedName name="WP3_SEC1_P2_total">'WP3'!$H$26</definedName>
    <definedName name="WP3_SEC1_P20_total">'WP3'!$H$178</definedName>
    <definedName name="WP3_SEC1_P21_total">'WP3'!$H$181</definedName>
    <definedName name="WP3_SEC1_P22_total">'WP3'!$H$186</definedName>
    <definedName name="WP3_SEC1_P23_total">'WP3'!$H$194</definedName>
    <definedName name="WP3_SEC1_P24_total">'WP3'!$H$197</definedName>
    <definedName name="WP3_SEC1_P25_total">'WP3'!$H$200</definedName>
    <definedName name="WP3_SEC1_P26_total">'WP3'!$H$206</definedName>
    <definedName name="WP3_SEC1_P27_total">'WP3'!$H$209</definedName>
    <definedName name="WP3_SEC1_P3_total">'WP3'!$H$39</definedName>
    <definedName name="WP3_SEC1_P4_total">'WP3'!$H$55</definedName>
    <definedName name="WP3_SEC1_P5_total">'WP3'!$H$70</definedName>
    <definedName name="WP3_SEC1_P6_total">'WP3'!$H$87</definedName>
    <definedName name="WP3_SEC1_P7_total">'WP3'!$H$94</definedName>
    <definedName name="WP3_SEC1_P8_total">'WP3'!$H$108</definedName>
    <definedName name="WP3_SEC1_P9_total">'WP3'!$H$111</definedName>
    <definedName name="WP3_SEC1_subtotal">'WP3'!$H$210</definedName>
    <definedName name="WP3_SEC2__total">'WP3'!$H$211</definedName>
    <definedName name="WP3_SEC2_AB1_total">[1]WP3!$J$52</definedName>
    <definedName name="WP3_SEC2_AB2_total">[1]WP3!$J$55</definedName>
    <definedName name="WP3_SEC2_CB_total">[1]WP3!$J$49</definedName>
    <definedName name="WP3_SEC2_P4_total">'WP3'!$H$212</definedName>
    <definedName name="WP3_SEC2_subtotal">'WP3'!$H$213</definedName>
    <definedName name="WP3_SEC3__total">'WP3'!$H$214</definedName>
    <definedName name="WP3_SEC3_AB1_total">[1]WP3!$J$66</definedName>
    <definedName name="WP3_SEC3_AB10_total">[1]WP3!$J$88</definedName>
    <definedName name="WP3_SEC3_AB11_total">[1]WP3!$J$90</definedName>
    <definedName name="WP3_SEC3_AB2_total">[1]WP3!$J$70</definedName>
    <definedName name="WP3_SEC3_AB3_total">[1]WP3!$J$74</definedName>
    <definedName name="WP3_SEC3_AB4_total">[1]WP3!$J$76</definedName>
    <definedName name="WP3_SEC3_AB5_total">[1]WP3!$J$78</definedName>
    <definedName name="WP3_SEC3_AB6_total">[1]WP3!$J$80</definedName>
    <definedName name="WP3_SEC3_AB7_total">[1]WP3!$J$82</definedName>
    <definedName name="WP3_SEC3_AB8_total">[1]WP3!$J$84</definedName>
    <definedName name="WP3_SEC3_AB9_total">[1]WP3!$J$86</definedName>
    <definedName name="WP3_SEC3_CB_total">[1]WP3!$J$62</definedName>
    <definedName name="WP3_SEC3_CO_total">'WP3'!$H$218</definedName>
    <definedName name="WP3_SEC3_P10_total">'WP3'!$H$251</definedName>
    <definedName name="WP3_SEC3_P11_total">'WP3'!$H$253</definedName>
    <definedName name="WP3_SEC3_P12_total">'WP3'!$H$255</definedName>
    <definedName name="WP3_SEC3_P13_total">'WP3'!$H$257</definedName>
    <definedName name="WP3_SEC3_P14_total">'WP3'!$H$261</definedName>
    <definedName name="WP3_SEC3_P15_total">'WP3'!$H$263</definedName>
    <definedName name="WP3_SEC3_P16_total">'WP3'!$H$267</definedName>
    <definedName name="WP3_SEC3_P17_total">'WP3'!$H$271</definedName>
    <definedName name="WP3_SEC3_P18_total">'WP3'!$H$273</definedName>
    <definedName name="WP3_SEC3_P19_total">'WP3'!$H$277</definedName>
    <definedName name="WP3_SEC3_P2_total">'WP3'!$H$223</definedName>
    <definedName name="WP3_SEC3_P20_total">'WP3'!$H$281</definedName>
    <definedName name="WP3_SEC3_P21_total">'WP3'!$H$283</definedName>
    <definedName name="WP3_SEC3_P22_total">'WP3'!$H$287</definedName>
    <definedName name="WP3_SEC3_P23_total">'WP3'!$H$291</definedName>
    <definedName name="WP3_SEC3_P24_total">'WP3'!$H$293</definedName>
    <definedName name="WP3_SEC3_P25_total">'WP3'!$H$295</definedName>
    <definedName name="WP3_SEC3_P26_total">'WP3'!$H$299</definedName>
    <definedName name="WP3_SEC3_P27_total">'WP3'!$H$301</definedName>
    <definedName name="WP3_SEC3_P3_total">'WP3'!$H$226</definedName>
    <definedName name="WP3_SEC3_P4_total">'WP3'!$H$231</definedName>
    <definedName name="WP3_SEC3_P5_total">'WP3'!$H$236</definedName>
    <definedName name="WP3_SEC3_P6_total">'WP3'!$H$241</definedName>
    <definedName name="WP3_SEC3_P7_total">'WP3'!$H$243</definedName>
    <definedName name="WP3_SEC3_P8_total">'WP3'!$H$247</definedName>
    <definedName name="WP3_SEC3_P9_total">'WP3'!$H$249</definedName>
    <definedName name="WP3_SEC3_subtotal">'WP3'!$H$302</definedName>
    <definedName name="WP3_SEC4__total">'WP3'!$H$305</definedName>
    <definedName name="WP3_SEC4_subtotal">'WP3'!$H$306</definedName>
    <definedName name="WP3_SEC5__total">'WP3'!$H$307</definedName>
    <definedName name="WP3_SEC5_AB1_total">[1]WP3!$J$99</definedName>
    <definedName name="WP3_SEC5_AB2_total">[1]WP3!$J$100</definedName>
    <definedName name="WP3_SEC5_CB_total">[1]WP3!$J$98</definedName>
    <definedName name="WP3_SEC5_P11_total">'WP3'!$H$316</definedName>
    <definedName name="WP3_SEC5_P12_total">'WP3'!$H$321</definedName>
    <definedName name="WP3_SEC5_P13_total">'WP3'!$H$310</definedName>
    <definedName name="WP3_SEC5_P14_total">'WP3'!$H$325</definedName>
    <definedName name="WP3_SEC5_P15_total">'WP3'!$H$329</definedName>
    <definedName name="WP3_SEC5_P22_total">'WP3'!$H$333</definedName>
    <definedName name="WP3_SEC5_P26_total">'WP3'!$H$325</definedName>
    <definedName name="WP3_SEC5_P3_total">'WP3'!$H$325</definedName>
    <definedName name="WP3_SEC5_P4_total">'WP3'!$H$321</definedName>
    <definedName name="WP3_SEC5_P5_total">'WP3'!$H$329</definedName>
    <definedName name="WP3_SEC5_P6_total">'WP3'!$H$333</definedName>
    <definedName name="WP3_SEC5_P8_total">'WP3'!$H$313</definedName>
    <definedName name="WP3_SEC5_subtotal">'WP3'!$H$334</definedName>
    <definedName name="WP4_SEC1__total">'WP4'!$H$5</definedName>
    <definedName name="WP4_SEC1_AB1_total">[1]WP4!$J$17</definedName>
    <definedName name="WP4_SEC1_AB10_total">[1]WP4!$J$42</definedName>
    <definedName name="WP4_SEC1_AB11_total">[1]WP4!$J$44</definedName>
    <definedName name="WP4_SEC1_AB2_total">[1]WP4!$J$22</definedName>
    <definedName name="WP4_SEC1_AB3_total">[1]WP4!$J$25</definedName>
    <definedName name="WP4_SEC1_AB4_total">[1]WP4!$J$28</definedName>
    <definedName name="WP4_SEC1_AB5_total">[1]WP4!$J$30</definedName>
    <definedName name="WP4_SEC1_AB6_total">[1]WP4!$J$32</definedName>
    <definedName name="WP4_SEC1_AB7_total">[1]WP4!$J$34</definedName>
    <definedName name="WP4_SEC1_AB8_total">[1]WP4!$J$36</definedName>
    <definedName name="WP4_SEC1_AB9_total">[1]WP4!$J$39</definedName>
    <definedName name="WP4_SEC1_CB_total">[1]WP4!$J$12</definedName>
    <definedName name="WP4_SEC1_CO_total">'WP4'!$H$14</definedName>
    <definedName name="WP4_SEC1_P10_total">'WP4'!$H$77</definedName>
    <definedName name="WP4_SEC1_P11_total">'WP4'!$H$80</definedName>
    <definedName name="WP4_SEC1_P12_total">'WP4'!$H$83</definedName>
    <definedName name="WP4_SEC1_P13_total">'WP4'!$H$86</definedName>
    <definedName name="WP4_SEC1_P14_total">'WP4'!$H$96</definedName>
    <definedName name="WP4_SEC1_P15_total">'WP4'!$H$99</definedName>
    <definedName name="WP4_SEC1_P16_total">'WP4'!$H$109</definedName>
    <definedName name="WP4_SEC1_P17_total">'WP4'!$H$119</definedName>
    <definedName name="WP4_SEC1_P18_total">'WP4'!$H$122</definedName>
    <definedName name="WP4_SEC1_P19_total">'WP4'!$H$132</definedName>
    <definedName name="WP4_SEC1_P2_total">'WP4'!$H$30</definedName>
    <definedName name="WP4_SEC1_P20_total">'WP4'!$H$142</definedName>
    <definedName name="WP4_SEC1_P21_total">'WP4'!$H$145</definedName>
    <definedName name="WP4_SEC1_P22_total">'WP4'!$H$148</definedName>
    <definedName name="WP4_SEC1_P23_total">'WP4'!$H$158</definedName>
    <definedName name="WP4_SEC1_P24_total">'WP4'!$H$161</definedName>
    <definedName name="WP4_SEC1_P25_total">'WP4'!$H$164</definedName>
    <definedName name="WP4_SEC1_P26_total">'WP4'!$H$167</definedName>
    <definedName name="WP4_SEC1_P27_total">'WP4'!$H$170</definedName>
    <definedName name="WP4_SEC1_P3_total">'WP4'!$H$26</definedName>
    <definedName name="WP4_SEC1_P4_total">'WP4'!$H$34</definedName>
    <definedName name="WP4_SEC1_P5_total">'WP4'!$H$44</definedName>
    <definedName name="WP4_SEC1_P6_total">'WP4'!$H$48</definedName>
    <definedName name="WP4_SEC1_P7_total">'WP4'!$H$56</definedName>
    <definedName name="WP4_SEC1_P8_total">'WP4'!$H$71</definedName>
    <definedName name="WP4_SEC1_P9_total">'WP4'!$H$74</definedName>
    <definedName name="WP4_SEC1_subtotal">'WP4'!$H$171</definedName>
    <definedName name="WP4_SEC2__total">'WP4'!$H$172</definedName>
    <definedName name="WP4_SEC2_AB1_total">[1]WP4!$J$52</definedName>
    <definedName name="WP4_SEC2_AB2_total">[1]WP4!$J$55</definedName>
    <definedName name="WP4_SEC2_CB_total">[1]WP4!$J$49</definedName>
    <definedName name="WP4_SEC2_P14_total">'WP4'!$H$174</definedName>
    <definedName name="WP4_SEC2_P16_total">'WP4'!$H$175</definedName>
    <definedName name="WP4_SEC2_P17_total">'WP4'!$H$176</definedName>
    <definedName name="WP4_SEC2_P19_total">'WP4'!$H$177</definedName>
    <definedName name="WP4_SEC2_P20_total">'WP4'!$H$178</definedName>
    <definedName name="WP4_SEC2_P23_total">'WP4'!$H$179</definedName>
    <definedName name="WP4_SEC2_P8_total">'WP4'!$H$173</definedName>
    <definedName name="WP4_SEC2_subtotal">'WP4'!$H$180</definedName>
    <definedName name="WP4_SEC3__total">'WP4'!$H$181</definedName>
    <definedName name="WP4_SEC3_AB1_total">[1]WP4!$J$66</definedName>
    <definedName name="WP4_SEC3_AB10_total">[1]WP4!$J$88</definedName>
    <definedName name="WP4_SEC3_AB11_total">[1]WP4!$J$90</definedName>
    <definedName name="WP4_SEC3_AB2_total">[1]WP4!$J$70</definedName>
    <definedName name="WP4_SEC3_AB3_total">[1]WP4!$J$74</definedName>
    <definedName name="WP4_SEC3_AB4_total">[1]WP4!$J$76</definedName>
    <definedName name="WP4_SEC3_AB5_total">[1]WP4!$J$78</definedName>
    <definedName name="WP4_SEC3_AB6_total">[1]WP4!$J$80</definedName>
    <definedName name="WP4_SEC3_AB7_total">[1]WP4!$J$82</definedName>
    <definedName name="WP4_SEC3_AB8_total">[1]WP4!$J$84</definedName>
    <definedName name="WP4_SEC3_AB9_total">[1]WP4!$J$86</definedName>
    <definedName name="WP4_SEC3_CB_total">[1]WP4!$J$62</definedName>
    <definedName name="WP4_SEC3_CO_total">'WP4'!$H$183</definedName>
    <definedName name="WP4_SEC3_P10_total">'WP4'!$H$240</definedName>
    <definedName name="WP4_SEC3_P11_total">'WP4'!$H$241</definedName>
    <definedName name="WP4_SEC3_P12_total">'WP4'!$H$242</definedName>
    <definedName name="WP4_SEC3_P13_total">'WP4'!$H$202</definedName>
    <definedName name="WP4_SEC3_P14_total">'WP4'!$H$208</definedName>
    <definedName name="WP4_SEC3_P15_total">'WP4'!$H$211</definedName>
    <definedName name="WP4_SEC3_P16_total">'WP4'!$H$214</definedName>
    <definedName name="WP4_SEC3_P17_total">'WP4'!$H$217</definedName>
    <definedName name="WP4_SEC3_P18_total">'WP4'!$H$220</definedName>
    <definedName name="WP4_SEC3_P19_total">'WP4'!$H$223</definedName>
    <definedName name="WP4_SEC3_P2_total">'WP4'!$H$187</definedName>
    <definedName name="WP4_SEC3_P20_total">'WP4'!$H$226</definedName>
    <definedName name="WP4_SEC3_P21_total">'WP4'!$H$229</definedName>
    <definedName name="WP4_SEC3_P22_total">'WP4'!$H$232</definedName>
    <definedName name="WP4_SEC3_P23_total">'WP4'!$H$235</definedName>
    <definedName name="WP4_SEC3_P24_total">'WP4'!$H$238</definedName>
    <definedName name="WP4_SEC3_P25_total">'WP4'!$H$245</definedName>
    <definedName name="WP4_SEC3_P27_total">'WP4'!$H$248</definedName>
    <definedName name="WP4_SEC3_P3_total">'WP4'!$H$194</definedName>
    <definedName name="WP4_SEC3_P4_total">'WP4'!$H$223</definedName>
    <definedName name="WP4_SEC3_P5_total">'WP4'!$H$190</definedName>
    <definedName name="WP4_SEC3_P6_total">'WP4'!$H$185</definedName>
    <definedName name="WP4_SEC3_P7_total">'WP4'!$H$199</definedName>
    <definedName name="WP4_SEC3_P8_total">'WP4'!$H$205</definedName>
    <definedName name="WP4_SEC3_P9_total">'WP4'!$H$239</definedName>
    <definedName name="WP4_SEC3_subtotal">'WP4'!$H$249</definedName>
    <definedName name="WP4_SEC4__total">'WP4'!$H$252</definedName>
    <definedName name="WP4_SEC4_subtotal">'WP4'!$H$253</definedName>
    <definedName name="WP4_SEC5__total">'WP4'!$H$254</definedName>
    <definedName name="WP4_SEC5_AB1_total">[1]WP4!$J$99</definedName>
    <definedName name="WP4_SEC5_AB2_total">[1]WP4!$J$100</definedName>
    <definedName name="WP4_SEC5_CB_total">[1]WP4!$J$98</definedName>
    <definedName name="WP4_SEC5_P14_total">'WP4'!$H$270</definedName>
    <definedName name="WP4_SEC5_P16_total">'WP4'!$H$273</definedName>
    <definedName name="WP4_SEC5_P17_total">'WP4'!$H$276</definedName>
    <definedName name="WP4_SEC5_P19_total">'WP4'!$H$279</definedName>
    <definedName name="WP4_SEC5_P2_total">'WP4'!$H$263</definedName>
    <definedName name="WP4_SEC5_P20_total">'WP4'!$H$282</definedName>
    <definedName name="WP4_SEC5_P23_total">'WP4'!$H$285</definedName>
    <definedName name="WP4_SEC5_P3_total">'WP4'!$H$258</definedName>
    <definedName name="WP4_SEC5_P6_total">'WP4'!$H$261</definedName>
    <definedName name="WP4_SEC5_P8_total">'WP4'!$H$267</definedName>
    <definedName name="WP4_SEC5_subtotal">'WP4'!$H$286</definedName>
    <definedName name="WP5_SEC1__total">'WP5'!$H$5</definedName>
    <definedName name="WP5_SEC1_AB1_total">[1]WP5!$J$17</definedName>
    <definedName name="WP5_SEC1_AB10_total">[1]WP5!$J$42</definedName>
    <definedName name="WP5_SEC1_AB11_total">[1]WP5!$J$44</definedName>
    <definedName name="WP5_SEC1_AB2_total">[1]WP5!$J$22</definedName>
    <definedName name="WP5_SEC1_AB3_total">[1]WP5!$J$25</definedName>
    <definedName name="WP5_SEC1_AB4_total">[1]WP5!$J$28</definedName>
    <definedName name="WP5_SEC1_AB5_total">[1]WP5!$J$30</definedName>
    <definedName name="WP5_SEC1_AB6_total">[1]WP5!$J$32</definedName>
    <definedName name="WP5_SEC1_AB7_total">[1]WP5!$J$34</definedName>
    <definedName name="WP5_SEC1_AB8_total">[1]WP5!$J$36</definedName>
    <definedName name="WP5_SEC1_AB9_total">[1]WP5!$J$39</definedName>
    <definedName name="WP5_SEC1_CB_total">[1]WP5!$J$12</definedName>
    <definedName name="WP5_SEC1_CO_total">'WP5'!$H$15</definedName>
    <definedName name="WP5_SEC1_P10_total">'WP5'!$H$120</definedName>
    <definedName name="WP5_SEC1_P11_total">'WP5'!$H$129</definedName>
    <definedName name="WP5_SEC1_P12_total">'WP5'!$H$33</definedName>
    <definedName name="WP5_SEC1_P13_total">'WP5'!$H$139</definedName>
    <definedName name="WP5_SEC1_P14_total">'WP5'!$H$142</definedName>
    <definedName name="WP5_SEC1_P15_total">'WP5'!$H$149</definedName>
    <definedName name="WP5_SEC1_P16_total">'WP5'!$H$155</definedName>
    <definedName name="WP5_SEC1_P17_total">'WP5'!$H$158</definedName>
    <definedName name="WP5_SEC1_P18_total">'WP5'!$H$165</definedName>
    <definedName name="WP5_SEC1_P19_total">'WP5'!$H$168</definedName>
    <definedName name="WP5_SEC1_P2_total">'WP5'!$H$50</definedName>
    <definedName name="WP5_SEC1_P20_total">'WP5'!$H$171</definedName>
    <definedName name="WP5_SEC1_P21_total">'WP5'!$H$178</definedName>
    <definedName name="WP5_SEC1_P22_total">'WP5'!$H$182</definedName>
    <definedName name="WP5_SEC1_P23_total">'WP5'!$H$185</definedName>
    <definedName name="WP5_SEC1_P24_total">'WP5'!$H$192</definedName>
    <definedName name="WP5_SEC1_P25_total">'WP5'!$H$199</definedName>
    <definedName name="WP5_SEC1_P26_total">'WP5'!$H$203</definedName>
    <definedName name="WP5_SEC1_P27_total">'WP5'!$H$210</definedName>
    <definedName name="WP5_SEC1_P3_total">'WP5'!$H$56</definedName>
    <definedName name="WP5_SEC1_P4_total">'WP5'!$H$59</definedName>
    <definedName name="WP5_SEC1_P5_total">'WP5'!$H$65</definedName>
    <definedName name="WP5_SEC1_P6_total">'WP5'!$H$76</definedName>
    <definedName name="WP5_SEC1_P7_total">'WP5'!$H$85</definedName>
    <definedName name="WP5_SEC1_P8_total">'WP5'!$H$102</definedName>
    <definedName name="WP5_SEC1_P9_total">'WP5'!$H$111</definedName>
    <definedName name="WP5_SEC1_subtotal">'WP5'!$H$211</definedName>
    <definedName name="WP5_SEC2__total">'WP5'!$H$212</definedName>
    <definedName name="WP5_SEC2_AB1_total">[1]WP5!$J$52</definedName>
    <definedName name="WP5_SEC2_AB2_total">[1]WP5!$J$55</definedName>
    <definedName name="WP5_SEC2_AB3_total">#REF!</definedName>
    <definedName name="WP5_SEC2_CB_total">[1]WP5!$J$49</definedName>
    <definedName name="WP5_SEC2_P10_total">'WP5'!$H$219</definedName>
    <definedName name="WP5_SEC2_P11_total">'WP5'!$H$214</definedName>
    <definedName name="WP5_SEC2_P15_total">'WP5'!$H$215</definedName>
    <definedName name="WP5_SEC2_P16_total">'WP5'!$H$218</definedName>
    <definedName name="WP5_SEC2_P18_total">'WP5'!$H$216</definedName>
    <definedName name="WP5_SEC2_P2_total">'WP5'!#REF!</definedName>
    <definedName name="WP5_SEC2_P21_total">'WP5'!$H$217</definedName>
    <definedName name="WP5_SEC2_P22_total">'WP5'!$H$218</definedName>
    <definedName name="WP5_SEC2_P24_total">'WP5'!$H$219</definedName>
    <definedName name="WP5_SEC2_P25_total">'WP5'!$H$218</definedName>
    <definedName name="WP5_SEC2_P27_total">'WP5'!$H$220</definedName>
    <definedName name="WP5_SEC2_P3_total">'WP5'!$H$215</definedName>
    <definedName name="WP5_SEC2_P4_total">'WP5'!#REF!</definedName>
    <definedName name="WP5_SEC2_P6_total">'WP5'!$H$217</definedName>
    <definedName name="WP5_SEC2_P7_total">'WP5'!#REF!</definedName>
    <definedName name="WP5_SEC2_P8_total">'WP5'!$H$213</definedName>
    <definedName name="WP5_SEC2_P9_total">'WP5'!#REF!</definedName>
    <definedName name="WP5_SEC2_subtotal">'WP5'!$H$221</definedName>
    <definedName name="WP5_SEC3__total">'WP5'!$H$222</definedName>
    <definedName name="WP5_SEC3_AB1_total">[1]WP5!$J$66</definedName>
    <definedName name="WP5_SEC3_AB10_total">[1]WP5!$J$88</definedName>
    <definedName name="WP5_SEC3_AB11_total">[1]WP5!$J$90</definedName>
    <definedName name="WP5_SEC3_AB2_total">[1]WP5!$J$70</definedName>
    <definedName name="WP5_SEC3_AB3_total">[1]WP5!$J$74</definedName>
    <definedName name="WP5_SEC3_AB4_total">[1]WP5!$J$76</definedName>
    <definedName name="WP5_SEC3_AB5_total">[1]WP5!$J$78</definedName>
    <definedName name="WP5_SEC3_AB6_total">[1]WP5!$J$80</definedName>
    <definedName name="WP5_SEC3_AB7_total">[1]WP5!$J$82</definedName>
    <definedName name="WP5_SEC3_AB8_total">[1]WP5!$J$84</definedName>
    <definedName name="WP5_SEC3_AB9_total">[1]WP5!$J$86</definedName>
    <definedName name="WP5_SEC3_CB_total">[1]WP5!$J$62</definedName>
    <definedName name="WP5_SEC3_CO_total">'WP5'!$H$224</definedName>
    <definedName name="WP5_SEC3_P10_total">'WP5'!$H$248</definedName>
    <definedName name="WP5_SEC3_P11_total">'WP5'!$H$251</definedName>
    <definedName name="WP5_SEC3_P12_total">'WP5'!$H$254</definedName>
    <definedName name="WP5_SEC3_P13_total">'WP5'!$H$257</definedName>
    <definedName name="WP5_SEC3_P14_total">'WP5'!$H$260</definedName>
    <definedName name="WP5_SEC3_P15_total">'WP5'!$H$263</definedName>
    <definedName name="WP5_SEC3_P16_total">'WP5'!$H$266</definedName>
    <definedName name="WP5_SEC3_P17_total">'WP5'!$H$269</definedName>
    <definedName name="WP5_SEC3_P18_total">'WP5'!$H$272</definedName>
    <definedName name="WP5_SEC3_P19_total">'WP5'!$H$275</definedName>
    <definedName name="WP5_SEC3_P2_total">'WP5'!$H$228</definedName>
    <definedName name="WP5_SEC3_P20_total">'WP5'!$H$278</definedName>
    <definedName name="WP5_SEC3_P21_total">'WP5'!$H$281</definedName>
    <definedName name="WP5_SEC3_P22_total">'WP5'!$H$284</definedName>
    <definedName name="WP5_SEC3_P23_total">'WP5'!$H$287</definedName>
    <definedName name="WP5_SEC3_P24_total">'WP5'!$H$290</definedName>
    <definedName name="WP5_SEC3_P25_total">'WP5'!$H$293</definedName>
    <definedName name="WP5_SEC3_P26_total">'WP5'!$H$296</definedName>
    <definedName name="WP5_SEC3_P27_total">'WP5'!$H$299</definedName>
    <definedName name="WP5_SEC3_P3_total">'WP5'!$H$230</definedName>
    <definedName name="WP5_SEC3_P4_total">'WP5'!$H$232</definedName>
    <definedName name="WP5_SEC3_P5_total">'WP5'!$H$234</definedName>
    <definedName name="WP5_SEC3_P6_total">'WP5'!$H$236</definedName>
    <definedName name="WP5_SEC3_P7_total">'WP5'!$H$239</definedName>
    <definedName name="WP5_SEC3_P8_total">'WP5'!$H$242</definedName>
    <definedName name="WP5_SEC3_P9_total">'WP5'!$H$245</definedName>
    <definedName name="WP5_SEC3_subtotal">'WP5'!$H$300</definedName>
    <definedName name="WP5_SEC4__total">'WP5'!$H$302</definedName>
    <definedName name="WP5_SEC4_subtotal">'WP5'!$H$303</definedName>
    <definedName name="WP5_SEC5__total">'WP5'!$H$304</definedName>
    <definedName name="WP5_SEC5_AB1_total">[1]WP5!$J$99</definedName>
    <definedName name="WP5_SEC5_AB2_total">[1]WP5!$J$100</definedName>
    <definedName name="WP5_SEC5_AB3_total">#REF!</definedName>
    <definedName name="WP5_SEC5_CB_total">[1]WP5!$J$98</definedName>
    <definedName name="WP5_SEC5_P12_total">'WP5'!$H$307</definedName>
    <definedName name="WP5_SEC5_P15_total">'WP5'!$H$309</definedName>
    <definedName name="WP5_SEC5_P16_total">'WP5'!$H$316</definedName>
    <definedName name="WP5_SEC5_P18_total">'WP5'!$H$311</definedName>
    <definedName name="WP5_SEC5_P21_total">'WP5'!$H$313</definedName>
    <definedName name="WP5_SEC5_P22_total">'WP5'!$H$316</definedName>
    <definedName name="WP5_SEC5_P24_total">'WP5'!$H$318</definedName>
    <definedName name="WP5_SEC5_P25_total">'WP5'!$H$316</definedName>
    <definedName name="WP5_SEC5_P27_total">'WP5'!$H$320</definedName>
    <definedName name="WP5_SEC5_P8_total">'WP5'!$H$322</definedName>
    <definedName name="WP5_SEC5_subtotal">'WP5'!$H$323</definedName>
    <definedName name="WP6_SEC1__total">'WP6'!$H$5</definedName>
    <definedName name="WP6_SEC1_AB1_total">[1]WP6!$J$17</definedName>
    <definedName name="WP6_SEC1_AB10_total">[1]WP6!$J$42</definedName>
    <definedName name="WP6_SEC1_AB11_total">[1]WP6!$J$44</definedName>
    <definedName name="WP6_SEC1_AB2_total">[1]WP6!$J$22</definedName>
    <definedName name="WP6_SEC1_AB3_total">[1]WP6!$J$25</definedName>
    <definedName name="WP6_SEC1_AB4_total">[1]WP6!$J$28</definedName>
    <definedName name="WP6_SEC1_AB5_total">[1]WP6!$J$30</definedName>
    <definedName name="WP6_SEC1_AB6_total">[1]WP6!$J$32</definedName>
    <definedName name="WP6_SEC1_AB7_total">[1]WP6!$J$34</definedName>
    <definedName name="WP6_SEC1_AB8_total">[1]WP6!$J$36</definedName>
    <definedName name="WP6_SEC1_AB9_total">[1]WP6!$J$39</definedName>
    <definedName name="WP6_SEC1_CB_total">[1]WP6!$J$12</definedName>
    <definedName name="WP6_SEC1_CO_total">'WP6'!$H$16</definedName>
    <definedName name="WP6_SEC1_P10_total">'WP6'!$H$94</definedName>
    <definedName name="WP6_SEC1_P11_total">'WP6'!$H$97</definedName>
    <definedName name="WP6_SEC1_P12_total">'WP6'!$H$100</definedName>
    <definedName name="WP6_SEC1_P13_total">'WP6'!$H$103</definedName>
    <definedName name="WP6_SEC1_P14_total">'WP6'!$H$106</definedName>
    <definedName name="WP6_SEC1_P15_total">'WP6'!$H$109</definedName>
    <definedName name="WP6_SEC1_P16_total">'WP6'!$H$112</definedName>
    <definedName name="WP6_SEC1_P17_total">'WP6'!$H$115</definedName>
    <definedName name="WP6_SEC1_P18_total">'WP6'!$H$118</definedName>
    <definedName name="WP6_SEC1_P19_total">'WP6'!$H$121</definedName>
    <definedName name="WP6_SEC1_P2_total">'WP6'!$H$44</definedName>
    <definedName name="WP6_SEC1_P20_total">'WP6'!$H$124</definedName>
    <definedName name="WP6_SEC1_P21_total">'WP6'!$H$127</definedName>
    <definedName name="WP6_SEC1_P22_total">'WP6'!$H$130</definedName>
    <definedName name="WP6_SEC1_P23_total">'WP6'!$H$133</definedName>
    <definedName name="WP6_SEC1_P24_total">'WP6'!$H$136</definedName>
    <definedName name="WP6_SEC1_P25_total">'WP6'!$H$139</definedName>
    <definedName name="WP6_SEC1_P26_total">'WP6'!$H$142</definedName>
    <definedName name="WP6_SEC1_P27_total">'WP6'!$H$145</definedName>
    <definedName name="WP6_SEC1_P3_total">'WP6'!$H$50</definedName>
    <definedName name="WP6_SEC1_P4_total">'WP6'!$H$53</definedName>
    <definedName name="WP6_SEC1_P5_total">'WP6'!$H$62</definedName>
    <definedName name="WP6_SEC1_P6_total">'WP6'!$H$37</definedName>
    <definedName name="WP6_SEC1_P7_total">'WP6'!$H$65</definedName>
    <definedName name="WP6_SEC1_P8_total">'WP6'!$H$70</definedName>
    <definedName name="WP6_SEC1_P9_total">'WP6'!$H$84</definedName>
    <definedName name="WP6_SEC1_subtotal">'WP6'!$H$146</definedName>
    <definedName name="WP6_SEC2__total">'WP6'!$H$147</definedName>
    <definedName name="WP6_SEC2_AB1_total">[1]WP6!$J$52</definedName>
    <definedName name="WP6_SEC2_AB2_total">[1]WP6!$J$55</definedName>
    <definedName name="WP6_SEC2_AB4_total">[1]WP1!#REF!</definedName>
    <definedName name="WP6_SEC2_CB_total">[1]WP6!$J$49</definedName>
    <definedName name="WP6_SEC2_P6_total">'WP6'!$H$148</definedName>
    <definedName name="WP6_SEC2_subtotal">'WP6'!$H$149</definedName>
    <definedName name="WP6_SEC3__total">'WP6'!$H$150</definedName>
    <definedName name="WP6_SEC3_AB1_total">[1]WP6!$J$66</definedName>
    <definedName name="WP6_SEC3_AB10_total">[1]WP6!$J$88</definedName>
    <definedName name="WP6_SEC3_AB11_total">[1]WP6!$J$90</definedName>
    <definedName name="WP6_SEC3_AB2_total">[1]WP6!$J$70</definedName>
    <definedName name="WP6_SEC3_AB3_total">[1]WP6!$J$74</definedName>
    <definedName name="WP6_SEC3_AB4_total">[1]WP6!$J$76</definedName>
    <definedName name="WP6_SEC3_AB5_total">[1]WP6!$J$78</definedName>
    <definedName name="WP6_SEC3_AB6_total">[1]WP6!$J$80</definedName>
    <definedName name="WP6_SEC3_AB7_total">[1]WP6!$J$82</definedName>
    <definedName name="WP6_SEC3_AB8_total">[1]WP6!$J$84</definedName>
    <definedName name="WP6_SEC3_AB9_total">[1]WP6!$J$86</definedName>
    <definedName name="WP6_SEC3_CB_total">[1]WP6!$J$62</definedName>
    <definedName name="WP6_SEC3_CO_total">'WP6'!$H$154</definedName>
    <definedName name="WP6_SEC3_P10_total">'WP6'!$H$178</definedName>
    <definedName name="WP6_SEC3_P11_total">'WP6'!$H$180</definedName>
    <definedName name="WP6_SEC3_P12_total">'WP6'!$H$182</definedName>
    <definedName name="WP6_SEC3_P13_total">'WP6'!$H$184</definedName>
    <definedName name="WP6_SEC3_P14_total">'WP6'!$H$186</definedName>
    <definedName name="WP6_SEC3_P15_total">'WP6'!$H$188</definedName>
    <definedName name="WP6_SEC3_P16_total">'WP6'!$H$190</definedName>
    <definedName name="WP6_SEC3_P17_total">'WP6'!$H$192</definedName>
    <definedName name="WP6_SEC3_P18_total">'WP6'!$H$194</definedName>
    <definedName name="WP6_SEC3_P19_total">'WP6'!$H$196</definedName>
    <definedName name="WP6_SEC3_P2_total">'WP6'!$H$156</definedName>
    <definedName name="WP6_SEC3_P20_total">'WP6'!$H$198</definedName>
    <definedName name="WP6_SEC3_P21_total">'WP6'!$H$200</definedName>
    <definedName name="WP6_SEC3_P22_total">'WP6'!$H$202</definedName>
    <definedName name="WP6_SEC3_P23_total">'WP6'!$H$204</definedName>
    <definedName name="WP6_SEC3_P24_total">'WP6'!$H$206</definedName>
    <definedName name="WP6_SEC3_P25_total">'WP6'!$H$208</definedName>
    <definedName name="WP6_SEC3_P26_total">'WP6'!$H$210</definedName>
    <definedName name="WP6_SEC3_P27_total">'WP6'!$H$212</definedName>
    <definedName name="WP6_SEC3_P3_total">'WP6'!$H$160</definedName>
    <definedName name="WP6_SEC3_P4_total">'WP6'!$H$162</definedName>
    <definedName name="WP6_SEC3_P5_total">'WP6'!$H$164</definedName>
    <definedName name="WP6_SEC3_P6_total">'WP6'!$H$168</definedName>
    <definedName name="WP6_SEC3_P7_total">'WP6'!$H$170</definedName>
    <definedName name="WP6_SEC3_P8_total">'WP6'!$H$172</definedName>
    <definedName name="WP6_SEC3_P9_total">'WP6'!$H$176</definedName>
    <definedName name="WP6_SEC3_subtotal">'WP6'!$H$213</definedName>
    <definedName name="WP6_SEC4__total">'WP6'!$H$215</definedName>
    <definedName name="WP6_SEC4_subtotal">'WP6'!$H$216</definedName>
    <definedName name="WP6_SEC5__total">'WP6'!$H$217</definedName>
    <definedName name="WP6_SEC5_AB1_total">[1]WP6!$J$99</definedName>
    <definedName name="WP6_SEC5_AB2_total">[1]WP6!$J$100</definedName>
    <definedName name="WP6_SEC5_CB_total">[1]WP6!$J$98</definedName>
    <definedName name="WP6_SEC5_CO_total">'WP6'!$H$223</definedName>
    <definedName name="WP6_SEC5_P10_total">'WP6'!$H$221</definedName>
    <definedName name="WP6_SEC5_P16_total">'WP6'!$H$225</definedName>
    <definedName name="WP6_SEC5_subtotal">'WP6'!$H$226</definedName>
    <definedName name="WP7_SEC1__total">'WP7'!$H$5</definedName>
    <definedName name="WP7_SEC1_AB1_total">[1]WP7!$J$17</definedName>
    <definedName name="WP7_SEC1_AB10_total">[1]WP7!$J$42</definedName>
    <definedName name="WP7_SEC1_AB11_total">[1]WP7!$J$44</definedName>
    <definedName name="WP7_SEC1_AB2_total">[1]WP7!$J$22</definedName>
    <definedName name="WP7_SEC1_AB3_total">[1]WP7!$J$25</definedName>
    <definedName name="WP7_SEC1_AB4_total">[1]WP7!$J$28</definedName>
    <definedName name="WP7_SEC1_AB5_total">[1]WP7!$J$30</definedName>
    <definedName name="WP7_SEC1_AB6_total">[1]WP7!$J$32</definedName>
    <definedName name="WP7_SEC1_AB7_total">[1]WP7!$J$34</definedName>
    <definedName name="WP7_SEC1_AB8_total">[1]WP7!$J$36</definedName>
    <definedName name="WP7_SEC1_AB9_total">[1]WP7!$J$39</definedName>
    <definedName name="WP7_SEC1_CB_total">[1]WP7!$J$12</definedName>
    <definedName name="WP7_SEC1_CO_total">'WP7'!$H$20</definedName>
    <definedName name="WP7_SEC1_P10_total">'WP7'!$H$63</definedName>
    <definedName name="WP7_SEC1_P11_total">'WP7'!$H$68</definedName>
    <definedName name="WP7_SEC1_P12_total">'WP7'!$H$73</definedName>
    <definedName name="WP7_SEC1_P13_total">'WP7'!$H$78</definedName>
    <definedName name="WP7_SEC1_P2_total">'WP7'!$H$24</definedName>
    <definedName name="WP7_SEC1_P3_total">'WP7'!$H$28</definedName>
    <definedName name="WP7_SEC1_P4_total">'WP7'!$H$33</definedName>
    <definedName name="WP7_SEC1_P5_total">'WP7'!$H$38</definedName>
    <definedName name="WP7_SEC1_P6_total">'WP7'!$H$43</definedName>
    <definedName name="WP7_SEC1_P7_total">'WP7'!$H$48</definedName>
    <definedName name="WP7_SEC1_P8_total">'WP7'!$H$53</definedName>
    <definedName name="WP7_SEC1_P9_total">'WP7'!$H$58</definedName>
    <definedName name="WP7_SEC1_subtotal">'WP7'!$H$79</definedName>
    <definedName name="WP7_SEC2__total">'WP7'!$H$80</definedName>
    <definedName name="WP7_SEC2_AB1_total">[1]WP7!$J$52</definedName>
    <definedName name="WP7_SEC2_AB2_total">[1]WP7!$J$55</definedName>
    <definedName name="WP7_SEC2_AB3_total">[1]WP2!#REF!</definedName>
    <definedName name="WP7_SEC2_AB5_total">[1]WP2!#REF!</definedName>
    <definedName name="WP7_SEC2_CB_total">[1]WP7!$J$49</definedName>
    <definedName name="WP7_SEC2_CO_total">'WP7'!$H$82</definedName>
    <definedName name="WP7_SEC2_subtotal">'WP7'!$H$83</definedName>
    <definedName name="WP7_SEC3__total">'WP7'!$H$84</definedName>
    <definedName name="WP7_SEC3_AB1_total">[1]WP7!$J$66</definedName>
    <definedName name="WP7_SEC3_AB10_total">[1]WP7!$J$88</definedName>
    <definedName name="WP7_SEC3_AB11_total">[1]WP7!$J$90</definedName>
    <definedName name="WP7_SEC3_AB2_total">[1]WP7!$J$70</definedName>
    <definedName name="WP7_SEC3_AB3_total">[1]WP7!$J$74</definedName>
    <definedName name="WP7_SEC3_AB4_total">[1]WP7!$J$76</definedName>
    <definedName name="WP7_SEC3_AB5_total">[1]WP7!$J$78</definedName>
    <definedName name="WP7_SEC3_AB6_total">[1]WP7!$J$80</definedName>
    <definedName name="WP7_SEC3_AB7_total">[1]WP7!$J$82</definedName>
    <definedName name="WP7_SEC3_AB8_total">[1]WP7!$J$84</definedName>
    <definedName name="WP7_SEC3_AB9_total">[1]WP7!$J$86</definedName>
    <definedName name="WP7_SEC3_CB_total">[1]WP7!$J$62</definedName>
    <definedName name="WP7_SEC3_CO_total">'WP7'!$H$86</definedName>
    <definedName name="WP7_SEC3_P10_total">'WP7'!$H$104</definedName>
    <definedName name="WP7_SEC3_P11_total">'WP7'!$H$106</definedName>
    <definedName name="WP7_SEC3_P12_total">'WP7'!$H$108</definedName>
    <definedName name="WP7_SEC3_P13_total">'WP7'!$H$110</definedName>
    <definedName name="WP7_SEC3_P2_total">'WP7'!$H$88</definedName>
    <definedName name="WP7_SEC3_P3_total">'WP7'!$H$90</definedName>
    <definedName name="WP7_SEC3_P4_total">'WP7'!$H$92</definedName>
    <definedName name="WP7_SEC3_P5_total">'WP7'!$H$94</definedName>
    <definedName name="WP7_SEC3_P6_total">'WP7'!$H$96</definedName>
    <definedName name="WP7_SEC3_P7_total">'WP7'!$H$98</definedName>
    <definedName name="WP7_SEC3_P8_total">'WP7'!$H$100</definedName>
    <definedName name="WP7_SEC3_P9_total">'WP7'!$H$102</definedName>
    <definedName name="WP7_SEC3_subtotal">'WP7'!$H$111</definedName>
    <definedName name="WP7_SEC4__total">'WP7'!$H$113</definedName>
    <definedName name="WP7_SEC4_AB1_total">[1]WP2!#REF!</definedName>
    <definedName name="WP7_SEC4_AB2_total">[1]WP2!#REF!</definedName>
    <definedName name="WP7_SEC4_AB5_total">[1]WP2!#REF!</definedName>
    <definedName name="WP7_SEC4_CB_total">[1]WP2!#REF!</definedName>
    <definedName name="WP7_SEC4_subtotal">'WP7'!$H$114</definedName>
    <definedName name="WP7_SEC5__total">'WP7'!$H$115</definedName>
    <definedName name="WP7_SEC5_AB1_total">[1]WP7!$J$99</definedName>
    <definedName name="WP7_SEC5_AB2_total">[1]WP7!$J$100</definedName>
    <definedName name="WP7_SEC5_AB5_total">[1]WP2!#REF!</definedName>
    <definedName name="WP7_SEC5_CB_total">[1]WP7!$J$98</definedName>
    <definedName name="WP7_SEC5_CO_total">'WP7'!$H$119</definedName>
    <definedName name="WP7_SEC5_P10_total">'WP7'!$H$138</definedName>
    <definedName name="WP7_SEC5_P11_total">'WP7'!$H$142</definedName>
    <definedName name="WP7_SEC5_P12_total">'WP7'!$H$146</definedName>
    <definedName name="WP7_SEC5_P13_total">'WP7'!$H$150</definedName>
    <definedName name="WP7_SEC5_P2_total">'WP7'!$H$119</definedName>
    <definedName name="WP7_SEC5_P5_total">'WP7'!$H$122</definedName>
    <definedName name="WP7_SEC5_P7_total">'WP7'!$H$126</definedName>
    <definedName name="WP7_SEC5_P8_total">'WP7'!$H$130</definedName>
    <definedName name="WP7_SEC5_P9_total">'WP7'!$H$134</definedName>
    <definedName name="WP7_SEC5_subtotal">'WP7'!$H$151</definedName>
    <definedName name="WP7_SEC6_AB2_total">[1]WP2!#REF!</definedName>
    <definedName name="WP7_SEC6_AB5_total">[1]WP2!#REF!</definedName>
    <definedName name="WP7_SEC6_CB_total">[1]WP2!#REF!</definedName>
    <definedName name="WP8_SEC1__total">'WP8'!$H$5</definedName>
    <definedName name="WP8_SEC1_AB1_total">[1]WP8!$J$17</definedName>
    <definedName name="WP8_SEC1_AB10_total">[1]WP8!$J$42</definedName>
    <definedName name="WP8_SEC1_AB11_total">[1]WP8!$J$44</definedName>
    <definedName name="WP8_SEC1_AB2_total">[1]WP8!$J$22</definedName>
    <definedName name="WP8_SEC1_AB3_total">[1]WP8!$J$25</definedName>
    <definedName name="WP8_SEC1_AB4_total">[1]WP8!$J$28</definedName>
    <definedName name="WP8_SEC1_AB5_total">[1]WP8!$J$30</definedName>
    <definedName name="WP8_SEC1_AB6_total">[1]WP8!$J$32</definedName>
    <definedName name="WP8_SEC1_AB7_total">[1]WP8!$J$34</definedName>
    <definedName name="WP8_SEC1_AB8_total">[1]WP8!$J$36</definedName>
    <definedName name="WP8_SEC1_AB9_total">[1]WP8!$J$39</definedName>
    <definedName name="WP8_SEC1_CB_total">[1]WP8!$J$12</definedName>
    <definedName name="WP8_SEC1_CO_total">'WP8'!$H$9</definedName>
    <definedName name="WP8_SEC1_subtotal">'WP8'!$H$10</definedName>
    <definedName name="WP8_SEC2__total">'WP8'!$H$13</definedName>
    <definedName name="WP8_SEC2_AB1_total">[1]WP8!$J$52</definedName>
    <definedName name="WP8_SEC2_AB2_total">[1]WP8!$J$55</definedName>
    <definedName name="WP8_SEC2_AB3_total">[1]WP3!#REF!</definedName>
    <definedName name="WP8_SEC2_CB_total">[1]WP8!$J$49</definedName>
    <definedName name="WP8_SEC2_subtotal">'WP8'!$H$14</definedName>
    <definedName name="WP8_SEC3__total">'WP8'!$H$15</definedName>
    <definedName name="WP8_SEC3_AB1_total">[1]WP8!$J$66</definedName>
    <definedName name="WP8_SEC3_AB10_total">[1]WP8!$J$88</definedName>
    <definedName name="WP8_SEC3_AB11_total">[1]WP8!$J$90</definedName>
    <definedName name="WP8_SEC3_AB2_total">[1]WP8!$J$70</definedName>
    <definedName name="WP8_SEC3_AB3_total">[1]WP8!$J$74</definedName>
    <definedName name="WP8_SEC3_AB4_total">[1]WP8!$J$76</definedName>
    <definedName name="WP8_SEC3_AB5_total">[1]WP8!$J$78</definedName>
    <definedName name="WP8_SEC3_AB6_total">[1]WP8!$J$80</definedName>
    <definedName name="WP8_SEC3_AB7_total">[1]WP8!$J$82</definedName>
    <definedName name="WP8_SEC3_AB8_total">[1]WP8!$J$84</definedName>
    <definedName name="WP8_SEC3_AB9_total">[1]WP8!$J$86</definedName>
    <definedName name="WP8_SEC3_CB_total">[1]WP8!$J$62</definedName>
    <definedName name="WP8_SEC3_CO_total">'WP8'!$H$17</definedName>
    <definedName name="WP8_SEC3_subtotal">'WP8'!$H$18</definedName>
    <definedName name="WP8_SEC4__total">'WP8'!$H$21</definedName>
    <definedName name="WP8_SEC4_subtotal">'WP8'!$H$22</definedName>
    <definedName name="WP8_SEC5__total">'WP8'!$H$25</definedName>
    <definedName name="WP8_SEC5_AB1_total">[1]WP8!$J$99</definedName>
    <definedName name="WP8_SEC5_AB2_total">[1]WP8!$J$100</definedName>
    <definedName name="WP8_SEC5_AB3_total">[1]WP3!#REF!</definedName>
    <definedName name="WP8_SEC5_CB_total">[1]WP8!$J$98</definedName>
    <definedName name="WP8_SEC5_subtotal">'WP8'!$H$26</definedName>
    <definedName name="WP9_SEC1_AB1_total">[1]WP9!$J$10</definedName>
    <definedName name="WP9_SEC1_AB10_total">[1]WP9!$J$15</definedName>
    <definedName name="WP9_SEC1_AB2_total">[1]WP9!$J$13</definedName>
    <definedName name="WP9_SEC1_AB4_total">[1]WP4!#REF!</definedName>
    <definedName name="WP9_SEC1_AB5_total">[1]WP4!#REF!</definedName>
    <definedName name="WP9_SEC1_CB_total">[1]WP9!$J$7</definedName>
    <definedName name="WP9_SEC2_AB1_total">[1]WP9!$J$20</definedName>
    <definedName name="WP9_SEC2_AB10_total">[1]WP9!$J$22</definedName>
    <definedName name="WP9_SEC2_AB2_total">[1]WP9!$J$24</definedName>
    <definedName name="WP9_SEC2_AB5_total">[1]WP4!#REF!</definedName>
    <definedName name="WP9_SEC3_AB3_total">[1]WP4!#REF!</definedName>
    <definedName name="WP9_SEC3_AB4_total">[1]WP4!#REF!</definedName>
    <definedName name="WP9_SEC3_AB5_total">[1]WP4!#REF!</definedName>
    <definedName name="WP9_SEC6_AB3_total">[1]WP4!#REF!</definedName>
    <definedName name="WP9_SEC6_subtotal">[1]WP9!$J$44</definedName>
  </definedNames>
  <calcPr calcId="145621"/>
</workbook>
</file>

<file path=xl/calcChain.xml><?xml version="1.0" encoding="utf-8"?>
<calcChain xmlns="http://schemas.openxmlformats.org/spreadsheetml/2006/main">
  <c r="G129" i="22" l="1"/>
  <c r="G125" i="22"/>
  <c r="G121" i="22"/>
  <c r="E105" i="22"/>
  <c r="E101" i="22"/>
  <c r="E89" i="22"/>
  <c r="E79" i="22"/>
  <c r="E76" i="22"/>
  <c r="F11" i="7"/>
  <c r="F10" i="7"/>
  <c r="F7" i="7"/>
  <c r="D19" i="6"/>
  <c r="H182" i="2"/>
  <c r="D15" i="6"/>
  <c r="H177" i="2"/>
  <c r="H176" i="2"/>
  <c r="H175" i="2"/>
  <c r="D13" i="6" s="1"/>
  <c r="G229" i="18"/>
  <c r="G226" i="18"/>
  <c r="G223" i="18"/>
  <c r="G220" i="18"/>
  <c r="G217" i="18"/>
  <c r="G214" i="18"/>
  <c r="F150" i="8"/>
  <c r="F153" i="8"/>
  <c r="E153" i="8"/>
  <c r="G293" i="2"/>
  <c r="G292" i="2"/>
  <c r="H294" i="2" s="1"/>
  <c r="G224" i="9"/>
  <c r="H225" i="9" s="1"/>
  <c r="F217" i="1"/>
  <c r="G153" i="8" l="1"/>
  <c r="E71" i="9"/>
  <c r="G248" i="18"/>
  <c r="G247" i="18"/>
  <c r="G246" i="18"/>
  <c r="H248" i="18" s="1"/>
  <c r="G244" i="18"/>
  <c r="G245" i="18"/>
  <c r="G243" i="18"/>
  <c r="F162" i="18"/>
  <c r="F168" i="18"/>
  <c r="F165" i="18"/>
  <c r="E168" i="18"/>
  <c r="E165" i="18"/>
  <c r="E162" i="18"/>
  <c r="G297" i="10"/>
  <c r="G298" i="10"/>
  <c r="G301" i="10"/>
  <c r="G300" i="10"/>
  <c r="H301" i="10" s="1"/>
  <c r="G299" i="10"/>
  <c r="G296" i="10"/>
  <c r="H299" i="10" s="1"/>
  <c r="G295" i="10"/>
  <c r="G294" i="10"/>
  <c r="H295" i="10" s="1"/>
  <c r="E201" i="10"/>
  <c r="E204" i="10"/>
  <c r="E112" i="22" s="1"/>
  <c r="F204" i="10"/>
  <c r="F198" i="10"/>
  <c r="F201" i="10"/>
  <c r="F207" i="10"/>
  <c r="E207" i="10"/>
  <c r="E198" i="10"/>
  <c r="E106" i="22" s="1"/>
  <c r="G212" i="9"/>
  <c r="G211" i="9"/>
  <c r="H212" i="9" s="1"/>
  <c r="G210" i="9"/>
  <c r="G209" i="9"/>
  <c r="H210" i="9" s="1"/>
  <c r="G208" i="9"/>
  <c r="G207" i="9"/>
  <c r="H208" i="9" s="1"/>
  <c r="F196" i="8"/>
  <c r="F193" i="8"/>
  <c r="F163" i="2"/>
  <c r="F137" i="9"/>
  <c r="F140" i="9"/>
  <c r="F143" i="9"/>
  <c r="G143" i="9" s="1"/>
  <c r="H145" i="9" s="1"/>
  <c r="E143" i="9"/>
  <c r="E140" i="9"/>
  <c r="E137" i="9"/>
  <c r="E200" i="8"/>
  <c r="F200" i="8"/>
  <c r="F207" i="8"/>
  <c r="F204" i="8"/>
  <c r="E207" i="8"/>
  <c r="E204" i="8"/>
  <c r="E196" i="8"/>
  <c r="E109" i="22" s="1"/>
  <c r="E193" i="8"/>
  <c r="G299" i="8"/>
  <c r="G298" i="8"/>
  <c r="G297" i="8"/>
  <c r="H299" i="8" s="1"/>
  <c r="G296" i="8"/>
  <c r="G295" i="8"/>
  <c r="G294" i="8"/>
  <c r="G293" i="8"/>
  <c r="G292" i="8"/>
  <c r="G291" i="8"/>
  <c r="H293" i="8" s="1"/>
  <c r="G322" i="8"/>
  <c r="G321" i="8"/>
  <c r="H322" i="8" s="1"/>
  <c r="G320" i="8"/>
  <c r="G319" i="8"/>
  <c r="H320" i="8" s="1"/>
  <c r="G33" i="6" s="1"/>
  <c r="G220" i="8"/>
  <c r="H220" i="8" s="1"/>
  <c r="D33" i="6" s="1"/>
  <c r="G259" i="2"/>
  <c r="G258" i="2"/>
  <c r="G257" i="2"/>
  <c r="H259" i="2" s="1"/>
  <c r="G256" i="2"/>
  <c r="G255" i="2"/>
  <c r="G254" i="2"/>
  <c r="G253" i="2"/>
  <c r="G252" i="2"/>
  <c r="G251" i="2"/>
  <c r="H253" i="2" s="1"/>
  <c r="F169" i="2"/>
  <c r="F166" i="2"/>
  <c r="E169" i="2"/>
  <c r="E114" i="22" s="1"/>
  <c r="E166" i="2"/>
  <c r="E110" i="22" s="1"/>
  <c r="G113" i="22" s="1"/>
  <c r="E163" i="2"/>
  <c r="E107" i="22" s="1"/>
  <c r="G286" i="1"/>
  <c r="G285" i="1"/>
  <c r="H286" i="1" s="1"/>
  <c r="E33" i="6" s="1"/>
  <c r="G284" i="1"/>
  <c r="G283" i="1"/>
  <c r="H284" i="1" s="1"/>
  <c r="G282" i="1"/>
  <c r="G281" i="1"/>
  <c r="H282" i="1" s="1"/>
  <c r="F221" i="1"/>
  <c r="G221" i="1" s="1"/>
  <c r="F219" i="1"/>
  <c r="G219" i="1" s="1"/>
  <c r="G217" i="1"/>
  <c r="H218" i="1" s="1"/>
  <c r="F215" i="1"/>
  <c r="G215" i="1" s="1"/>
  <c r="F213" i="1"/>
  <c r="G213" i="1" s="1"/>
  <c r="H216" i="1" l="1"/>
  <c r="G163" i="2"/>
  <c r="H165" i="2" s="1"/>
  <c r="G204" i="10"/>
  <c r="G162" i="18"/>
  <c r="H164" i="18" s="1"/>
  <c r="H256" i="2"/>
  <c r="E32" i="6" s="1"/>
  <c r="H296" i="8"/>
  <c r="G137" i="9"/>
  <c r="H139" i="9" s="1"/>
  <c r="E108" i="22"/>
  <c r="G109" i="22" s="1"/>
  <c r="E116" i="22"/>
  <c r="G117" i="22" s="1"/>
  <c r="H245" i="18"/>
  <c r="E31" i="6" s="1"/>
  <c r="H222" i="1"/>
  <c r="G207" i="10"/>
  <c r="H209" i="10" s="1"/>
  <c r="G169" i="2"/>
  <c r="H171" i="2" s="1"/>
  <c r="G168" i="18"/>
  <c r="H170" i="18" s="1"/>
  <c r="G204" i="8"/>
  <c r="G196" i="8"/>
  <c r="G207" i="8"/>
  <c r="G166" i="2"/>
  <c r="H168" i="2" s="1"/>
  <c r="G165" i="18"/>
  <c r="H167" i="18" s="1"/>
  <c r="G198" i="10"/>
  <c r="H200" i="10" s="1"/>
  <c r="G201" i="10"/>
  <c r="H206" i="10" s="1"/>
  <c r="G140" i="9"/>
  <c r="H142" i="9" s="1"/>
  <c r="G200" i="8"/>
  <c r="H203" i="8" s="1"/>
  <c r="G193" i="8"/>
  <c r="H199" i="8" s="1"/>
  <c r="E179" i="8"/>
  <c r="E184" i="10"/>
  <c r="E182" i="10" s="1"/>
  <c r="G285" i="10"/>
  <c r="G286" i="10"/>
  <c r="F146" i="18"/>
  <c r="F154" i="2"/>
  <c r="F203" i="1"/>
  <c r="E20" i="8"/>
  <c r="E17" i="8"/>
  <c r="F109" i="2"/>
  <c r="B31" i="6" l="1"/>
  <c r="B32" i="6"/>
  <c r="H210" i="8"/>
  <c r="B33" i="6" s="1"/>
  <c r="F93" i="14"/>
  <c r="E179" i="1" l="1"/>
  <c r="E70" i="22" s="1"/>
  <c r="F126" i="2"/>
  <c r="H25" i="11"/>
  <c r="H26" i="11" s="1"/>
  <c r="G13" i="7" s="1"/>
  <c r="H115" i="15"/>
  <c r="H217" i="9"/>
  <c r="H304" i="8"/>
  <c r="H254" i="18"/>
  <c r="H307" i="10"/>
  <c r="H264" i="2"/>
  <c r="H293" i="1"/>
  <c r="H21" i="11"/>
  <c r="H22" i="11" s="1"/>
  <c r="F13" i="7" s="1"/>
  <c r="H302" i="8"/>
  <c r="H252" i="18"/>
  <c r="H253" i="18" s="1"/>
  <c r="F9" i="7" s="1"/>
  <c r="H305" i="10"/>
  <c r="H306" i="10" s="1"/>
  <c r="F8" i="7" s="1"/>
  <c r="H15" i="11"/>
  <c r="H84" i="15"/>
  <c r="H150" i="9"/>
  <c r="H222" i="8"/>
  <c r="H181" i="18"/>
  <c r="H214" i="10"/>
  <c r="H184" i="2"/>
  <c r="H229" i="1"/>
  <c r="H80" i="15"/>
  <c r="H147" i="9"/>
  <c r="H212" i="8"/>
  <c r="H172" i="18"/>
  <c r="H211" i="10"/>
  <c r="H173" i="2"/>
  <c r="H5" i="11"/>
  <c r="H5" i="15"/>
  <c r="H5" i="9"/>
  <c r="H5" i="8"/>
  <c r="H5" i="18"/>
  <c r="H5" i="10"/>
  <c r="H5" i="2"/>
  <c r="H5" i="1"/>
  <c r="F106" i="14"/>
  <c r="G106" i="14" s="1"/>
  <c r="F107" i="14"/>
  <c r="G107" i="14" s="1"/>
  <c r="F108" i="14"/>
  <c r="G108" i="14" s="1"/>
  <c r="F105" i="14"/>
  <c r="G105" i="14" s="1"/>
  <c r="F111" i="14"/>
  <c r="G111" i="14" s="1"/>
  <c r="F109" i="14"/>
  <c r="G109" i="14" s="1"/>
  <c r="G93" i="14"/>
  <c r="E42" i="18" l="1"/>
  <c r="E40" i="18"/>
  <c r="E35" i="18"/>
  <c r="E38" i="18"/>
  <c r="F40" i="18"/>
  <c r="F38" i="18"/>
  <c r="G189" i="18"/>
  <c r="G40" i="18" l="1"/>
  <c r="G314" i="8" l="1"/>
  <c r="F18" i="14"/>
  <c r="F17" i="14"/>
  <c r="F16" i="14"/>
  <c r="F6" i="9" l="1"/>
  <c r="F11" i="9"/>
  <c r="F13" i="9"/>
  <c r="F15" i="9"/>
  <c r="F16" i="15"/>
  <c r="F6" i="15"/>
  <c r="F7" i="11"/>
  <c r="F6" i="11"/>
  <c r="G214" i="8" l="1"/>
  <c r="H214" i="8" s="1"/>
  <c r="G181" i="2"/>
  <c r="H181" i="2" s="1"/>
  <c r="G180" i="2"/>
  <c r="G179" i="2"/>
  <c r="H180" i="2" s="1"/>
  <c r="D17" i="6" s="1"/>
  <c r="G178" i="2"/>
  <c r="H178" i="2" s="1"/>
  <c r="D16" i="6" s="1"/>
  <c r="E82" i="9"/>
  <c r="E72" i="18"/>
  <c r="F72" i="18"/>
  <c r="E165" i="1" l="1"/>
  <c r="F162" i="1"/>
  <c r="H79" i="22"/>
  <c r="F79" i="22"/>
  <c r="F116" i="9"/>
  <c r="F162" i="8"/>
  <c r="F159" i="8"/>
  <c r="F120" i="18"/>
  <c r="F159" i="10"/>
  <c r="F132" i="2"/>
  <c r="F189" i="1"/>
  <c r="F187" i="1"/>
  <c r="F78" i="14"/>
  <c r="G78" i="14" s="1"/>
  <c r="G302" i="1"/>
  <c r="H303" i="1" s="1"/>
  <c r="F34" i="15"/>
  <c r="E155" i="18"/>
  <c r="E149" i="18"/>
  <c r="E129" i="18"/>
  <c r="E68" i="18"/>
  <c r="E87" i="18"/>
  <c r="E93" i="18"/>
  <c r="E100" i="18"/>
  <c r="E106" i="18"/>
  <c r="E72" i="8"/>
  <c r="E69" i="8"/>
  <c r="F72" i="8"/>
  <c r="F69" i="8"/>
  <c r="G239" i="10"/>
  <c r="G240" i="10"/>
  <c r="G234" i="10"/>
  <c r="G235" i="10"/>
  <c r="G222" i="10"/>
  <c r="G221" i="10"/>
  <c r="G230" i="10"/>
  <c r="G229" i="10"/>
  <c r="E100" i="10"/>
  <c r="F100" i="10"/>
  <c r="E159" i="10"/>
  <c r="E115" i="10"/>
  <c r="E119" i="10"/>
  <c r="F119" i="10"/>
  <c r="E82" i="10"/>
  <c r="F82" i="10"/>
  <c r="F86" i="1"/>
  <c r="G314" i="10"/>
  <c r="H316" i="10" s="1"/>
  <c r="G311" i="10"/>
  <c r="H313" i="10" s="1"/>
  <c r="E65" i="10"/>
  <c r="F65" i="10"/>
  <c r="G65" i="10" s="1"/>
  <c r="E85" i="10"/>
  <c r="E49" i="10"/>
  <c r="F32" i="15"/>
  <c r="F29" i="15"/>
  <c r="F17" i="9"/>
  <c r="F28" i="9"/>
  <c r="F34" i="9"/>
  <c r="F63" i="9"/>
  <c r="E66" i="9"/>
  <c r="E68" i="9"/>
  <c r="F68" i="9"/>
  <c r="F101" i="9"/>
  <c r="F98" i="9"/>
  <c r="E98" i="1"/>
  <c r="E66" i="18"/>
  <c r="F68" i="18"/>
  <c r="F66" i="18"/>
  <c r="E96" i="8"/>
  <c r="F96" i="8"/>
  <c r="F136" i="8"/>
  <c r="F130" i="8"/>
  <c r="E79" i="2"/>
  <c r="F79" i="2"/>
  <c r="E103" i="10"/>
  <c r="F103" i="10"/>
  <c r="G213" i="8"/>
  <c r="H213" i="8" s="1"/>
  <c r="E93" i="8"/>
  <c r="E92" i="8" s="1"/>
  <c r="F92" i="8"/>
  <c r="F82" i="8"/>
  <c r="F77" i="8"/>
  <c r="F74" i="8"/>
  <c r="F66" i="8"/>
  <c r="F60" i="8"/>
  <c r="F63" i="8"/>
  <c r="F57" i="8"/>
  <c r="F29" i="8"/>
  <c r="F24" i="8"/>
  <c r="F16" i="8"/>
  <c r="E63" i="18"/>
  <c r="F63" i="18"/>
  <c r="F33" i="18"/>
  <c r="F31" i="18"/>
  <c r="F42" i="18"/>
  <c r="F35" i="18"/>
  <c r="F47" i="18"/>
  <c r="F45" i="18"/>
  <c r="F84" i="18"/>
  <c r="F81" i="18"/>
  <c r="F82" i="2"/>
  <c r="F106" i="10"/>
  <c r="F129" i="10"/>
  <c r="F125" i="10"/>
  <c r="F122" i="10"/>
  <c r="F117" i="2"/>
  <c r="F112" i="2"/>
  <c r="F145" i="1"/>
  <c r="F141" i="1"/>
  <c r="F134" i="1"/>
  <c r="F78" i="18"/>
  <c r="F57" i="18"/>
  <c r="F54" i="18"/>
  <c r="F49" i="18"/>
  <c r="F50" i="10"/>
  <c r="F46" i="10"/>
  <c r="F40" i="10"/>
  <c r="F92" i="10"/>
  <c r="F88" i="10"/>
  <c r="F85" i="10"/>
  <c r="F76" i="10"/>
  <c r="F71" i="10"/>
  <c r="F60" i="10"/>
  <c r="F74" i="2"/>
  <c r="F71" i="2"/>
  <c r="F66" i="2"/>
  <c r="F62" i="2"/>
  <c r="F58" i="2"/>
  <c r="F54" i="2"/>
  <c r="F50" i="2"/>
  <c r="F39" i="2"/>
  <c r="F35" i="2"/>
  <c r="F97" i="1"/>
  <c r="F90" i="1"/>
  <c r="F130" i="1"/>
  <c r="F123" i="1"/>
  <c r="F211" i="1"/>
  <c r="F209" i="1"/>
  <c r="F65" i="1"/>
  <c r="F59" i="1"/>
  <c r="F49" i="1"/>
  <c r="F55" i="1"/>
  <c r="F21" i="14"/>
  <c r="F22" i="14"/>
  <c r="F23" i="14"/>
  <c r="F24" i="14"/>
  <c r="F20" i="14"/>
  <c r="F79" i="1"/>
  <c r="F75" i="1"/>
  <c r="F69" i="1"/>
  <c r="G103" i="10" l="1"/>
  <c r="G119" i="10"/>
  <c r="G100" i="10"/>
  <c r="G82" i="10"/>
  <c r="G69" i="8"/>
  <c r="G68" i="9"/>
  <c r="G72" i="8"/>
  <c r="G79" i="2"/>
  <c r="G96" i="8"/>
  <c r="G66" i="18"/>
  <c r="G63" i="18"/>
  <c r="G92" i="8"/>
  <c r="E48" i="8"/>
  <c r="F59" i="15"/>
  <c r="F47" i="15"/>
  <c r="F85" i="9"/>
  <c r="F112" i="8"/>
  <c r="F93" i="2"/>
  <c r="F119" i="1"/>
  <c r="F179" i="1"/>
  <c r="F148" i="2"/>
  <c r="F135" i="2"/>
  <c r="E116" i="18"/>
  <c r="E75" i="22" s="1"/>
  <c r="E110" i="18"/>
  <c r="E123" i="18"/>
  <c r="E139" i="18"/>
  <c r="E133" i="18"/>
  <c r="F169" i="8"/>
  <c r="G207" i="18" l="1"/>
  <c r="G283" i="8"/>
  <c r="G280" i="8"/>
  <c r="G277" i="8"/>
  <c r="G274" i="8"/>
  <c r="G271" i="8"/>
  <c r="G268" i="8"/>
  <c r="G265" i="8"/>
  <c r="G262" i="8"/>
  <c r="G259" i="8"/>
  <c r="G253" i="8"/>
  <c r="G250" i="8"/>
  <c r="G247" i="8"/>
  <c r="G244" i="8"/>
  <c r="G241" i="8"/>
  <c r="G238" i="8"/>
  <c r="G289" i="8"/>
  <c r="G286" i="8"/>
  <c r="G256" i="8"/>
  <c r="G318" i="8"/>
  <c r="G316" i="8"/>
  <c r="H316" i="8" s="1"/>
  <c r="G313" i="8"/>
  <c r="G311" i="8"/>
  <c r="G309" i="8"/>
  <c r="G210" i="18"/>
  <c r="G204" i="18"/>
  <c r="G201" i="18"/>
  <c r="G198" i="18"/>
  <c r="G231" i="18"/>
  <c r="G232" i="18"/>
  <c r="G234" i="18"/>
  <c r="G235" i="18"/>
  <c r="G237" i="18"/>
  <c r="G238" i="18"/>
  <c r="G249" i="2"/>
  <c r="G250" i="2"/>
  <c r="G246" i="2"/>
  <c r="G247" i="2"/>
  <c r="G243" i="2"/>
  <c r="G244" i="2"/>
  <c r="G240" i="2"/>
  <c r="G241" i="2"/>
  <c r="G237" i="2"/>
  <c r="G238" i="2"/>
  <c r="G234" i="2"/>
  <c r="G235" i="2"/>
  <c r="G231" i="2"/>
  <c r="G232" i="2"/>
  <c r="G228" i="2"/>
  <c r="G229" i="2"/>
  <c r="G225" i="2"/>
  <c r="G226" i="2"/>
  <c r="G222" i="2"/>
  <c r="G223" i="2"/>
  <c r="G219" i="2"/>
  <c r="G220" i="2"/>
  <c r="G216" i="2"/>
  <c r="G217" i="2"/>
  <c r="G213" i="2"/>
  <c r="G214" i="2"/>
  <c r="G210" i="2"/>
  <c r="G211" i="2"/>
  <c r="G207" i="2"/>
  <c r="G208" i="2"/>
  <c r="G204" i="2"/>
  <c r="G205" i="2"/>
  <c r="G201" i="2"/>
  <c r="G202" i="2"/>
  <c r="G198" i="2"/>
  <c r="G199" i="2"/>
  <c r="I9" i="22"/>
  <c r="I10" i="22"/>
  <c r="I11" i="22"/>
  <c r="I13" i="22"/>
  <c r="I14" i="22"/>
  <c r="I15" i="22"/>
  <c r="I17" i="22"/>
  <c r="I18" i="22"/>
  <c r="I19" i="22"/>
  <c r="I21" i="22"/>
  <c r="I22" i="22"/>
  <c r="I23" i="22"/>
  <c r="I24" i="22"/>
  <c r="I26" i="22"/>
  <c r="I27" i="22"/>
  <c r="I28" i="22"/>
  <c r="I30" i="22"/>
  <c r="I31" i="22"/>
  <c r="I32" i="22"/>
  <c r="I33" i="22"/>
  <c r="I35" i="22"/>
  <c r="I36" i="22"/>
  <c r="I37" i="22"/>
  <c r="I39" i="22"/>
  <c r="I40" i="22"/>
  <c r="I41" i="22"/>
  <c r="I43" i="22"/>
  <c r="I44" i="22"/>
  <c r="I45" i="22"/>
  <c r="I46" i="22"/>
  <c r="I48" i="22"/>
  <c r="I49" i="22"/>
  <c r="I50" i="22"/>
  <c r="I52" i="22"/>
  <c r="I53" i="22"/>
  <c r="I54" i="22"/>
  <c r="I56" i="22"/>
  <c r="I57" i="22"/>
  <c r="I58" i="22"/>
  <c r="I60" i="22"/>
  <c r="I61" i="22"/>
  <c r="I62" i="22"/>
  <c r="I64" i="22"/>
  <c r="I65" i="22"/>
  <c r="I66" i="22"/>
  <c r="I68" i="22"/>
  <c r="I69" i="22"/>
  <c r="I70" i="22"/>
  <c r="I71" i="22"/>
  <c r="I73" i="22"/>
  <c r="I74" i="22"/>
  <c r="I75" i="22"/>
  <c r="I77" i="22"/>
  <c r="I78" i="22"/>
  <c r="I80" i="22"/>
  <c r="I82" i="22"/>
  <c r="I83" i="22"/>
  <c r="I84" i="22"/>
  <c r="I86" i="22"/>
  <c r="I87" i="22"/>
  <c r="I88" i="22"/>
  <c r="I90" i="22"/>
  <c r="I91" i="22"/>
  <c r="I92" i="22"/>
  <c r="I94" i="22"/>
  <c r="I95" i="22"/>
  <c r="I96" i="22"/>
  <c r="I98" i="22"/>
  <c r="I99" i="22"/>
  <c r="I100" i="22"/>
  <c r="I102" i="22"/>
  <c r="I103" i="22"/>
  <c r="I104" i="22"/>
  <c r="I106" i="22"/>
  <c r="I107" i="22"/>
  <c r="I108" i="22"/>
  <c r="I110" i="22"/>
  <c r="I111" i="22"/>
  <c r="I112" i="22"/>
  <c r="I114" i="22"/>
  <c r="I115" i="22"/>
  <c r="I116" i="22"/>
  <c r="I118" i="22"/>
  <c r="I119" i="22"/>
  <c r="I120" i="22"/>
  <c r="I122" i="22"/>
  <c r="I123" i="22"/>
  <c r="I124" i="22"/>
  <c r="I126" i="22"/>
  <c r="I127" i="22"/>
  <c r="I128" i="22"/>
  <c r="I129" i="22"/>
  <c r="I125" i="22"/>
  <c r="I121" i="22"/>
  <c r="I117" i="22"/>
  <c r="I113" i="22"/>
  <c r="I109" i="22"/>
  <c r="H105" i="22"/>
  <c r="F101" i="22"/>
  <c r="F97" i="22"/>
  <c r="H76" i="22"/>
  <c r="F75" i="22"/>
  <c r="H11" i="22"/>
  <c r="H59" i="22"/>
  <c r="H61" i="22"/>
  <c r="H66" i="22"/>
  <c r="H67" i="22"/>
  <c r="H72" i="22"/>
  <c r="H75" i="22"/>
  <c r="H80" i="22"/>
  <c r="H83" i="22"/>
  <c r="H85" i="22"/>
  <c r="H87" i="22"/>
  <c r="H89" i="22"/>
  <c r="H91" i="22"/>
  <c r="H92" i="22"/>
  <c r="H97" i="22"/>
  <c r="H99"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F11" i="22"/>
  <c r="F59" i="22"/>
  <c r="F61" i="22"/>
  <c r="F66" i="22"/>
  <c r="F67" i="22"/>
  <c r="F72" i="22"/>
  <c r="F80" i="22"/>
  <c r="F83" i="22"/>
  <c r="F85" i="22"/>
  <c r="F87" i="22"/>
  <c r="F89" i="22"/>
  <c r="F91" i="22"/>
  <c r="F92" i="22"/>
  <c r="F99"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76" i="22" l="1"/>
  <c r="H101" i="22"/>
  <c r="F41" i="15"/>
  <c r="F75" i="18"/>
  <c r="F98" i="2"/>
  <c r="F117" i="8"/>
  <c r="F54" i="8"/>
  <c r="F51" i="8"/>
  <c r="F112" i="10"/>
  <c r="F112" i="1"/>
  <c r="F125" i="9" l="1"/>
  <c r="F119" i="9"/>
  <c r="F166" i="8"/>
  <c r="F175" i="8"/>
  <c r="F172" i="8"/>
  <c r="F129" i="18"/>
  <c r="F143" i="18"/>
  <c r="F168" i="10"/>
  <c r="F163" i="10"/>
  <c r="F179" i="10"/>
  <c r="E143" i="2"/>
  <c r="F143" i="2"/>
  <c r="F151" i="2"/>
  <c r="F193" i="1"/>
  <c r="F191" i="1"/>
  <c r="F201" i="1"/>
  <c r="F199" i="1"/>
  <c r="F186" i="8"/>
  <c r="F189" i="8"/>
  <c r="F159" i="18"/>
  <c r="F140" i="8"/>
  <c r="E140" i="8"/>
  <c r="F156" i="8"/>
  <c r="E156" i="8"/>
  <c r="E150" i="8"/>
  <c r="E135" i="2"/>
  <c r="G135" i="2" l="1"/>
  <c r="G140" i="8"/>
  <c r="H142" i="8" s="1"/>
  <c r="G156" i="8"/>
  <c r="H158" i="8" s="1"/>
  <c r="G150" i="8"/>
  <c r="H155" i="8" s="1"/>
  <c r="E166" i="8"/>
  <c r="E169" i="8"/>
  <c r="F183" i="8"/>
  <c r="E183" i="8"/>
  <c r="F155" i="18"/>
  <c r="G155" i="18" s="1"/>
  <c r="F149" i="18"/>
  <c r="F139" i="18"/>
  <c r="G139" i="18" s="1"/>
  <c r="F133" i="18"/>
  <c r="F123" i="18"/>
  <c r="G129" i="18"/>
  <c r="F116" i="18"/>
  <c r="G116" i="18" s="1"/>
  <c r="F110" i="18"/>
  <c r="F106" i="18"/>
  <c r="G106" i="18" s="1"/>
  <c r="F100" i="18"/>
  <c r="F93" i="18"/>
  <c r="G93" i="18" s="1"/>
  <c r="F87" i="18"/>
  <c r="E57" i="18"/>
  <c r="G196" i="18"/>
  <c r="G197" i="18"/>
  <c r="G199" i="18"/>
  <c r="G192" i="18"/>
  <c r="G193" i="18"/>
  <c r="G194" i="18"/>
  <c r="E49" i="18"/>
  <c r="E54" i="18"/>
  <c r="F97" i="18"/>
  <c r="E159" i="18"/>
  <c r="E146" i="18"/>
  <c r="E143" i="18"/>
  <c r="E120" i="18"/>
  <c r="E97" i="18"/>
  <c r="E84" i="18"/>
  <c r="E81" i="18"/>
  <c r="E78" i="18"/>
  <c r="E75" i="18"/>
  <c r="F29" i="18"/>
  <c r="F27" i="18"/>
  <c r="E47" i="18"/>
  <c r="E45" i="18"/>
  <c r="E33" i="18"/>
  <c r="E31" i="18"/>
  <c r="E29" i="18"/>
  <c r="E27" i="18"/>
  <c r="E16" i="18"/>
  <c r="E15" i="18" s="1"/>
  <c r="F21" i="18"/>
  <c r="F15" i="18"/>
  <c r="E21" i="18"/>
  <c r="G179" i="18"/>
  <c r="H179" i="18" s="1"/>
  <c r="D29" i="6" s="1"/>
  <c r="G178" i="18"/>
  <c r="H178" i="18" s="1"/>
  <c r="D26" i="6" s="1"/>
  <c r="G177" i="18"/>
  <c r="H177" i="18" s="1"/>
  <c r="D25" i="6" s="1"/>
  <c r="G176" i="18"/>
  <c r="H176" i="18" s="1"/>
  <c r="D23" i="6" s="1"/>
  <c r="G175" i="18"/>
  <c r="H175" i="18" s="1"/>
  <c r="G174" i="18"/>
  <c r="H174" i="18" s="1"/>
  <c r="D20" i="6" s="1"/>
  <c r="G173" i="18"/>
  <c r="H173" i="18" s="1"/>
  <c r="H180" i="18" l="1"/>
  <c r="D9" i="7" s="1"/>
  <c r="D14" i="6"/>
  <c r="G166" i="8"/>
  <c r="H168" i="8" s="1"/>
  <c r="G143" i="18"/>
  <c r="H145" i="18" s="1"/>
  <c r="G54" i="18"/>
  <c r="H95" i="22"/>
  <c r="F95" i="22"/>
  <c r="G169" i="8"/>
  <c r="H171" i="8" s="1"/>
  <c r="G183" i="8"/>
  <c r="H185" i="8" s="1"/>
  <c r="G68" i="18"/>
  <c r="G27" i="18"/>
  <c r="G45" i="18"/>
  <c r="G120" i="18"/>
  <c r="H122" i="18" s="1"/>
  <c r="G35" i="18"/>
  <c r="G75" i="18"/>
  <c r="H77" i="18" s="1"/>
  <c r="G47" i="18"/>
  <c r="G149" i="18"/>
  <c r="H158" i="18" s="1"/>
  <c r="G33" i="18"/>
  <c r="G81" i="18"/>
  <c r="H83" i="18" s="1"/>
  <c r="G87" i="18"/>
  <c r="H96" i="18" s="1"/>
  <c r="G49" i="18"/>
  <c r="H56" i="18" s="1"/>
  <c r="G72" i="18"/>
  <c r="H74" i="18" s="1"/>
  <c r="G110" i="18"/>
  <c r="H119" i="18" s="1"/>
  <c r="G123" i="18"/>
  <c r="H132" i="18" s="1"/>
  <c r="G78" i="18"/>
  <c r="H80" i="18" s="1"/>
  <c r="G84" i="18"/>
  <c r="H86" i="18" s="1"/>
  <c r="G57" i="18"/>
  <c r="G100" i="18"/>
  <c r="H109" i="18" s="1"/>
  <c r="G133" i="18"/>
  <c r="H142" i="18" s="1"/>
  <c r="G97" i="18"/>
  <c r="H99" i="18" s="1"/>
  <c r="G146" i="18"/>
  <c r="H148" i="18" s="1"/>
  <c r="G159" i="18"/>
  <c r="H161" i="18" s="1"/>
  <c r="G42" i="18"/>
  <c r="G31" i="18"/>
  <c r="H34" i="18" s="1"/>
  <c r="G29" i="18"/>
  <c r="G21" i="18"/>
  <c r="G15" i="18"/>
  <c r="G191" i="18"/>
  <c r="H194" i="18" s="1"/>
  <c r="G190" i="18"/>
  <c r="G188" i="18"/>
  <c r="H190" i="18" s="1"/>
  <c r="G187" i="18"/>
  <c r="G186" i="18"/>
  <c r="H187" i="18" s="1"/>
  <c r="G185" i="18"/>
  <c r="G184" i="18"/>
  <c r="H185" i="18" s="1"/>
  <c r="G195" i="18"/>
  <c r="H199" i="18" s="1"/>
  <c r="G202" i="18"/>
  <c r="G200" i="18"/>
  <c r="G183" i="18"/>
  <c r="G205" i="18"/>
  <c r="G203" i="18"/>
  <c r="H205" i="18" s="1"/>
  <c r="G236" i="18"/>
  <c r="H238" i="18" s="1"/>
  <c r="G233" i="18"/>
  <c r="H235" i="18" s="1"/>
  <c r="G230" i="18"/>
  <c r="H232" i="18" s="1"/>
  <c r="G227" i="18"/>
  <c r="H229" i="18" s="1"/>
  <c r="G224" i="18"/>
  <c r="H226" i="18" s="1"/>
  <c r="G221" i="18"/>
  <c r="H223" i="18" s="1"/>
  <c r="G218" i="18"/>
  <c r="H220" i="18" s="1"/>
  <c r="G215" i="18"/>
  <c r="H217" i="18" s="1"/>
  <c r="G212" i="18"/>
  <c r="H214" i="18" s="1"/>
  <c r="G211" i="18"/>
  <c r="G209" i="18"/>
  <c r="G208" i="18"/>
  <c r="G206" i="18"/>
  <c r="G242" i="18"/>
  <c r="H242" i="18" s="1"/>
  <c r="G241" i="18"/>
  <c r="H241" i="18" s="1"/>
  <c r="G240" i="18"/>
  <c r="H240" i="18" s="1"/>
  <c r="G239" i="18"/>
  <c r="H239" i="18" s="1"/>
  <c r="G284" i="18"/>
  <c r="G285" i="18"/>
  <c r="G281" i="18"/>
  <c r="G282" i="18"/>
  <c r="G278" i="18"/>
  <c r="G279" i="18"/>
  <c r="G275" i="18"/>
  <c r="G276" i="18"/>
  <c r="G272" i="18"/>
  <c r="G273" i="18"/>
  <c r="G269" i="18"/>
  <c r="G270" i="18"/>
  <c r="G265" i="18"/>
  <c r="G266" i="18"/>
  <c r="G267" i="18"/>
  <c r="G263" i="18"/>
  <c r="G262" i="18"/>
  <c r="H263" i="18" s="1"/>
  <c r="G261" i="18"/>
  <c r="G259" i="18"/>
  <c r="H261" i="18" s="1"/>
  <c r="G12" i="6" s="1"/>
  <c r="G258" i="18"/>
  <c r="G255" i="18"/>
  <c r="H258" i="18" s="1"/>
  <c r="G264" i="18"/>
  <c r="G268" i="18"/>
  <c r="H270" i="18" s="1"/>
  <c r="G20" i="6" s="1"/>
  <c r="G274" i="18"/>
  <c r="G271" i="18"/>
  <c r="H273" i="18" s="1"/>
  <c r="G22" i="6" s="1"/>
  <c r="G280" i="18"/>
  <c r="H282" i="18" s="1"/>
  <c r="G26" i="6" s="1"/>
  <c r="G277" i="18"/>
  <c r="H279" i="18" s="1"/>
  <c r="G283" i="18"/>
  <c r="H285" i="18" s="1"/>
  <c r="G29" i="6" s="1"/>
  <c r="E143" i="10"/>
  <c r="E148" i="10"/>
  <c r="E151" i="10"/>
  <c r="E156" i="10"/>
  <c r="E74" i="22" s="1"/>
  <c r="E163" i="10"/>
  <c r="E168" i="10"/>
  <c r="E84" i="22" s="1"/>
  <c r="E171" i="10"/>
  <c r="E176" i="10"/>
  <c r="E88" i="22" s="1"/>
  <c r="E187" i="10"/>
  <c r="E192" i="10"/>
  <c r="E100" i="22" s="1"/>
  <c r="F148" i="10"/>
  <c r="G148" i="10" s="1"/>
  <c r="F192" i="10"/>
  <c r="F187" i="10"/>
  <c r="F176" i="10"/>
  <c r="F171" i="10"/>
  <c r="F156" i="10"/>
  <c r="G156" i="10" s="1"/>
  <c r="F151" i="10"/>
  <c r="F140" i="10"/>
  <c r="E132" i="10"/>
  <c r="E137" i="10"/>
  <c r="E62" i="22" s="1"/>
  <c r="F137" i="10"/>
  <c r="E88" i="10"/>
  <c r="E92" i="10"/>
  <c r="E129" i="10"/>
  <c r="F115" i="10"/>
  <c r="F109" i="10"/>
  <c r="E106" i="10"/>
  <c r="G106" i="10" s="1"/>
  <c r="E95" i="10"/>
  <c r="F95" i="10"/>
  <c r="G212" i="10"/>
  <c r="H212" i="10" s="1"/>
  <c r="H213" i="10" l="1"/>
  <c r="D8" i="7" s="1"/>
  <c r="D10" i="6"/>
  <c r="H276" i="18"/>
  <c r="G23" i="6" s="1"/>
  <c r="H267" i="18"/>
  <c r="H208" i="18"/>
  <c r="H211" i="18"/>
  <c r="H202" i="18"/>
  <c r="H71" i="18"/>
  <c r="H286" i="18"/>
  <c r="G9" i="7" s="1"/>
  <c r="G9" i="6"/>
  <c r="H48" i="18"/>
  <c r="H26" i="18"/>
  <c r="H30" i="18"/>
  <c r="G192" i="10"/>
  <c r="H74" i="22"/>
  <c r="F74" i="22"/>
  <c r="G176" i="10"/>
  <c r="H100" i="22"/>
  <c r="F100" i="22"/>
  <c r="G168" i="10"/>
  <c r="F62" i="22"/>
  <c r="H62" i="22"/>
  <c r="H88" i="22"/>
  <c r="F88" i="22"/>
  <c r="G137" i="10"/>
  <c r="G129" i="10"/>
  <c r="G92" i="10"/>
  <c r="E76" i="10"/>
  <c r="E56" i="10"/>
  <c r="E60" i="10"/>
  <c r="E67" i="10"/>
  <c r="E41" i="10"/>
  <c r="E40" i="10" s="1"/>
  <c r="E46" i="10"/>
  <c r="E50" i="10"/>
  <c r="E17" i="10"/>
  <c r="F195" i="10"/>
  <c r="G187" i="10"/>
  <c r="H194" i="10" s="1"/>
  <c r="F182" i="10"/>
  <c r="G163" i="10"/>
  <c r="H170" i="10" s="1"/>
  <c r="F143" i="10"/>
  <c r="F132" i="10"/>
  <c r="E195" i="10"/>
  <c r="E179" i="10"/>
  <c r="E140" i="10"/>
  <c r="E125" i="10"/>
  <c r="E122" i="10"/>
  <c r="E112" i="10"/>
  <c r="E109" i="10"/>
  <c r="E71" i="10"/>
  <c r="F67" i="10"/>
  <c r="F56" i="10"/>
  <c r="F34" i="10"/>
  <c r="E34" i="10"/>
  <c r="F32" i="10"/>
  <c r="E32" i="10"/>
  <c r="F27" i="10"/>
  <c r="E27" i="10"/>
  <c r="F22" i="10"/>
  <c r="E22" i="10"/>
  <c r="F17" i="10"/>
  <c r="G265" i="10"/>
  <c r="G266" i="10"/>
  <c r="G269" i="10"/>
  <c r="G270" i="10"/>
  <c r="G275" i="10"/>
  <c r="G276" i="10"/>
  <c r="G279" i="10"/>
  <c r="G280" i="10"/>
  <c r="G289" i="10"/>
  <c r="G290" i="10"/>
  <c r="G259" i="10"/>
  <c r="G260" i="10"/>
  <c r="G245" i="10"/>
  <c r="G246" i="10"/>
  <c r="G238" i="10"/>
  <c r="G233" i="10"/>
  <c r="G228" i="10"/>
  <c r="G225" i="10"/>
  <c r="G220" i="10"/>
  <c r="G308" i="10"/>
  <c r="H310" i="10" s="1"/>
  <c r="G293" i="10"/>
  <c r="G292" i="10"/>
  <c r="H293" i="10" s="1"/>
  <c r="G291" i="10"/>
  <c r="G288" i="10"/>
  <c r="H291" i="10" s="1"/>
  <c r="G287" i="10"/>
  <c r="G284" i="10"/>
  <c r="H287" i="10" s="1"/>
  <c r="G283" i="10"/>
  <c r="G282" i="10"/>
  <c r="H283" i="10" s="1"/>
  <c r="G281" i="10"/>
  <c r="G278" i="10"/>
  <c r="H281" i="10" s="1"/>
  <c r="G277" i="10"/>
  <c r="G274" i="10"/>
  <c r="H277" i="10" s="1"/>
  <c r="G273" i="10"/>
  <c r="G272" i="10"/>
  <c r="H273" i="10" s="1"/>
  <c r="G271" i="10"/>
  <c r="G268" i="10"/>
  <c r="H271" i="10" s="1"/>
  <c r="G267" i="10"/>
  <c r="G264" i="10"/>
  <c r="H267" i="10" s="1"/>
  <c r="G263" i="10"/>
  <c r="G262" i="10"/>
  <c r="H263" i="10" s="1"/>
  <c r="G261" i="10"/>
  <c r="G258" i="10"/>
  <c r="H261" i="10" s="1"/>
  <c r="G257" i="10"/>
  <c r="G256" i="10"/>
  <c r="H257" i="10" s="1"/>
  <c r="G255" i="10"/>
  <c r="G254" i="10"/>
  <c r="H255" i="10" s="1"/>
  <c r="G253" i="10"/>
  <c r="G252" i="10"/>
  <c r="H253" i="10" s="1"/>
  <c r="G251" i="10"/>
  <c r="G250" i="10"/>
  <c r="H251" i="10" s="1"/>
  <c r="G249" i="10"/>
  <c r="G248" i="10"/>
  <c r="H249" i="10" s="1"/>
  <c r="G247" i="10"/>
  <c r="G244" i="10"/>
  <c r="H247" i="10" s="1"/>
  <c r="G243" i="10"/>
  <c r="G242" i="10"/>
  <c r="H243" i="10" s="1"/>
  <c r="G241" i="10"/>
  <c r="G237" i="10"/>
  <c r="H241" i="10" s="1"/>
  <c r="G236" i="10"/>
  <c r="G232" i="10"/>
  <c r="H236" i="10" s="1"/>
  <c r="G231" i="10"/>
  <c r="G227" i="10"/>
  <c r="H231" i="10" s="1"/>
  <c r="G226" i="10"/>
  <c r="G224" i="10"/>
  <c r="H226" i="10" s="1"/>
  <c r="G223" i="10"/>
  <c r="G219" i="10"/>
  <c r="H223" i="10" s="1"/>
  <c r="G321" i="10"/>
  <c r="G325" i="10"/>
  <c r="G333" i="10"/>
  <c r="G329" i="10"/>
  <c r="G320" i="10"/>
  <c r="G226" i="8"/>
  <c r="G227" i="8"/>
  <c r="G290" i="8"/>
  <c r="G288" i="8"/>
  <c r="G287" i="8"/>
  <c r="G285" i="8"/>
  <c r="G284" i="8"/>
  <c r="G282" i="8"/>
  <c r="G281" i="8"/>
  <c r="G279" i="8"/>
  <c r="G278" i="8"/>
  <c r="G276" i="8"/>
  <c r="G275" i="8"/>
  <c r="G273" i="8"/>
  <c r="G272" i="8"/>
  <c r="G270" i="8"/>
  <c r="G269" i="8"/>
  <c r="G267" i="8"/>
  <c r="G266" i="8"/>
  <c r="G264" i="8"/>
  <c r="G263" i="8"/>
  <c r="G261" i="8"/>
  <c r="G260" i="8"/>
  <c r="G258" i="8"/>
  <c r="G257" i="8"/>
  <c r="G255" i="8"/>
  <c r="G254" i="8"/>
  <c r="G252" i="8"/>
  <c r="G251" i="8"/>
  <c r="G249" i="8"/>
  <c r="G248" i="8"/>
  <c r="G246" i="8"/>
  <c r="G245" i="8"/>
  <c r="G243" i="8"/>
  <c r="G242" i="8"/>
  <c r="G240" i="8"/>
  <c r="G239" i="8"/>
  <c r="G237" i="8"/>
  <c r="G236" i="8"/>
  <c r="G235" i="8"/>
  <c r="G234" i="8"/>
  <c r="G233" i="8"/>
  <c r="G232" i="8"/>
  <c r="G231" i="8"/>
  <c r="G230" i="8"/>
  <c r="G229" i="8"/>
  <c r="G228" i="8"/>
  <c r="G225" i="8"/>
  <c r="G224" i="8"/>
  <c r="G223" i="8"/>
  <c r="G317" i="8"/>
  <c r="H318" i="8" s="1"/>
  <c r="G30" i="6" s="1"/>
  <c r="G312" i="8"/>
  <c r="H313" i="8" s="1"/>
  <c r="G27" i="6" s="1"/>
  <c r="G310" i="8"/>
  <c r="H311" i="8" s="1"/>
  <c r="G24" i="6" s="1"/>
  <c r="G308" i="8"/>
  <c r="H309" i="8" s="1"/>
  <c r="G21" i="6" s="1"/>
  <c r="G219" i="8"/>
  <c r="H219" i="8" s="1"/>
  <c r="D30" i="6" s="1"/>
  <c r="G218" i="8"/>
  <c r="H218" i="8" s="1"/>
  <c r="D22" i="6" s="1"/>
  <c r="G217" i="8"/>
  <c r="H217" i="8" s="1"/>
  <c r="D27" i="6" s="1"/>
  <c r="G216" i="8"/>
  <c r="H216" i="8" s="1"/>
  <c r="D24" i="6" s="1"/>
  <c r="G215" i="8"/>
  <c r="H215" i="8" s="1"/>
  <c r="F179" i="8"/>
  <c r="E186" i="8"/>
  <c r="E103" i="22" s="1"/>
  <c r="E189" i="8"/>
  <c r="E104" i="22" s="1"/>
  <c r="E172" i="8"/>
  <c r="E175" i="8"/>
  <c r="E93" i="22" s="1"/>
  <c r="E159" i="8"/>
  <c r="E78" i="22" s="1"/>
  <c r="E162" i="8"/>
  <c r="E144" i="8"/>
  <c r="E143" i="8" s="1"/>
  <c r="E146" i="8"/>
  <c r="E65" i="22" s="1"/>
  <c r="F146" i="8"/>
  <c r="F143" i="8"/>
  <c r="E130" i="8"/>
  <c r="E136" i="8"/>
  <c r="E126" i="8"/>
  <c r="E121" i="8"/>
  <c r="F126" i="8"/>
  <c r="F121" i="8"/>
  <c r="E117" i="8"/>
  <c r="E112" i="8"/>
  <c r="F108" i="8"/>
  <c r="G108" i="8" s="1"/>
  <c r="F103" i="8"/>
  <c r="F99" i="8"/>
  <c r="F86" i="8"/>
  <c r="E99" i="8"/>
  <c r="E38" i="22" s="1"/>
  <c r="E86" i="8"/>
  <c r="E77" i="8"/>
  <c r="E82" i="8"/>
  <c r="E74" i="8"/>
  <c r="E66" i="8"/>
  <c r="E63" i="8"/>
  <c r="E60" i="8"/>
  <c r="E57" i="8"/>
  <c r="E45" i="8"/>
  <c r="E42" i="8"/>
  <c r="E35" i="8"/>
  <c r="E34" i="8" s="1"/>
  <c r="E238" i="1"/>
  <c r="E12" i="8"/>
  <c r="E29" i="8"/>
  <c r="E24" i="8"/>
  <c r="E54" i="8"/>
  <c r="E51" i="8"/>
  <c r="F45" i="8"/>
  <c r="F42" i="8"/>
  <c r="F34" i="8"/>
  <c r="G174" i="9"/>
  <c r="G175" i="9"/>
  <c r="G166" i="9"/>
  <c r="G167" i="9"/>
  <c r="G158" i="9"/>
  <c r="G159" i="9"/>
  <c r="G152" i="9"/>
  <c r="G153" i="9"/>
  <c r="G206" i="9"/>
  <c r="G205" i="9"/>
  <c r="H206" i="9" s="1"/>
  <c r="G204" i="9"/>
  <c r="G203" i="9"/>
  <c r="H204" i="9" s="1"/>
  <c r="G202" i="9"/>
  <c r="G201" i="9"/>
  <c r="H202" i="9" s="1"/>
  <c r="G200" i="9"/>
  <c r="G199" i="9"/>
  <c r="H200" i="9" s="1"/>
  <c r="G198" i="9"/>
  <c r="G197" i="9"/>
  <c r="H198" i="9" s="1"/>
  <c r="G196" i="9"/>
  <c r="G195" i="9"/>
  <c r="H196" i="9" s="1"/>
  <c r="G194" i="9"/>
  <c r="G193" i="9"/>
  <c r="H194" i="9" s="1"/>
  <c r="G192" i="9"/>
  <c r="G191" i="9"/>
  <c r="H192" i="9" s="1"/>
  <c r="G190" i="9"/>
  <c r="G189" i="9"/>
  <c r="H190" i="9" s="1"/>
  <c r="G188" i="9"/>
  <c r="G187" i="9"/>
  <c r="H188" i="9" s="1"/>
  <c r="G186" i="9"/>
  <c r="G185" i="9"/>
  <c r="H186" i="9" s="1"/>
  <c r="G184" i="9"/>
  <c r="G183" i="9"/>
  <c r="H184" i="9" s="1"/>
  <c r="G182" i="9"/>
  <c r="G181" i="9"/>
  <c r="H182" i="9" s="1"/>
  <c r="G180" i="9"/>
  <c r="G179" i="9"/>
  <c r="H180" i="9" s="1"/>
  <c r="G178" i="9"/>
  <c r="G177" i="9"/>
  <c r="H178" i="9" s="1"/>
  <c r="G176" i="9"/>
  <c r="G173" i="9"/>
  <c r="H176" i="9" s="1"/>
  <c r="G172" i="9"/>
  <c r="G171" i="9"/>
  <c r="H172" i="9" s="1"/>
  <c r="G170" i="9"/>
  <c r="G169" i="9"/>
  <c r="H170" i="9" s="1"/>
  <c r="G168" i="9"/>
  <c r="G165" i="9"/>
  <c r="H168" i="9" s="1"/>
  <c r="G164" i="9"/>
  <c r="G163" i="9"/>
  <c r="H164" i="9" s="1"/>
  <c r="G162" i="9"/>
  <c r="G161" i="9"/>
  <c r="H162" i="9" s="1"/>
  <c r="G160" i="9"/>
  <c r="G157" i="9"/>
  <c r="H160" i="9" s="1"/>
  <c r="G156" i="9"/>
  <c r="G155" i="9"/>
  <c r="H156" i="9" s="1"/>
  <c r="G154" i="9"/>
  <c r="G151" i="9"/>
  <c r="H154" i="9" s="1"/>
  <c r="H213" i="9" s="1"/>
  <c r="E11" i="7" s="1"/>
  <c r="G222" i="9"/>
  <c r="H223" i="9" s="1"/>
  <c r="G148" i="9"/>
  <c r="H148" i="9" s="1"/>
  <c r="F160" i="2"/>
  <c r="F157" i="2"/>
  <c r="F129" i="2"/>
  <c r="F123" i="2"/>
  <c r="F120" i="2"/>
  <c r="E112" i="2"/>
  <c r="E117" i="2"/>
  <c r="E57" i="22" s="1"/>
  <c r="E160" i="2"/>
  <c r="E157" i="2"/>
  <c r="E154" i="2"/>
  <c r="E151" i="2"/>
  <c r="E148" i="2"/>
  <c r="E132" i="2"/>
  <c r="E81" i="22" s="1"/>
  <c r="E129" i="2"/>
  <c r="E126" i="2"/>
  <c r="E123" i="2"/>
  <c r="E120" i="2"/>
  <c r="E109" i="2"/>
  <c r="E54" i="22" s="1"/>
  <c r="E45" i="9"/>
  <c r="E38" i="9"/>
  <c r="E41" i="9"/>
  <c r="E43" i="9"/>
  <c r="F43" i="9"/>
  <c r="F41" i="9"/>
  <c r="F38" i="9"/>
  <c r="F45" i="9"/>
  <c r="F48" i="9"/>
  <c r="E48" i="9"/>
  <c r="E51" i="9"/>
  <c r="F51" i="9"/>
  <c r="E61" i="9"/>
  <c r="E59" i="9"/>
  <c r="E57" i="9"/>
  <c r="E54" i="9"/>
  <c r="F61" i="9"/>
  <c r="F59" i="9"/>
  <c r="F57" i="9"/>
  <c r="F54" i="9"/>
  <c r="F134" i="9"/>
  <c r="F131" i="9"/>
  <c r="F128" i="9"/>
  <c r="F122" i="9"/>
  <c r="F113" i="9"/>
  <c r="F110" i="9"/>
  <c r="F107" i="9"/>
  <c r="F104" i="9"/>
  <c r="E95" i="9"/>
  <c r="F95" i="9"/>
  <c r="E85" i="9"/>
  <c r="E91" i="9"/>
  <c r="E89" i="9"/>
  <c r="F91" i="9"/>
  <c r="F89" i="9"/>
  <c r="F93" i="9"/>
  <c r="F66" i="9"/>
  <c r="F71" i="9"/>
  <c r="F79" i="9"/>
  <c r="F82" i="9"/>
  <c r="E63" i="9"/>
  <c r="E79" i="9"/>
  <c r="E40" i="22" s="1"/>
  <c r="E93" i="9"/>
  <c r="E101" i="9"/>
  <c r="E119" i="9"/>
  <c r="E82" i="22" s="1"/>
  <c r="G85" i="22" s="1"/>
  <c r="E98" i="9"/>
  <c r="E104" i="9"/>
  <c r="E107" i="9"/>
  <c r="E110" i="9"/>
  <c r="E113" i="9"/>
  <c r="E116" i="9"/>
  <c r="E77" i="22" s="1"/>
  <c r="G81" i="22" s="1"/>
  <c r="E122" i="9"/>
  <c r="E125" i="9"/>
  <c r="E128" i="9"/>
  <c r="E131" i="9"/>
  <c r="E134" i="9"/>
  <c r="E17" i="9"/>
  <c r="E34" i="9"/>
  <c r="E13" i="1"/>
  <c r="E14" i="1"/>
  <c r="E28" i="9"/>
  <c r="G290" i="2"/>
  <c r="G286" i="2"/>
  <c r="G283" i="2"/>
  <c r="G280" i="2"/>
  <c r="G277" i="2"/>
  <c r="G274" i="2"/>
  <c r="G271" i="2"/>
  <c r="G278" i="2"/>
  <c r="G269" i="2"/>
  <c r="G248" i="2"/>
  <c r="H250" i="2" s="1"/>
  <c r="G245" i="2"/>
  <c r="H247" i="2" s="1"/>
  <c r="G242" i="2"/>
  <c r="H244" i="2" s="1"/>
  <c r="G239" i="2"/>
  <c r="H241" i="2" s="1"/>
  <c r="G236" i="2"/>
  <c r="H238" i="2" s="1"/>
  <c r="G233" i="2"/>
  <c r="H235" i="2" s="1"/>
  <c r="G230" i="2"/>
  <c r="H232" i="2" s="1"/>
  <c r="G227" i="2"/>
  <c r="H229" i="2" s="1"/>
  <c r="G224" i="2"/>
  <c r="H226" i="2" s="1"/>
  <c r="G221" i="2"/>
  <c r="H223" i="2" s="1"/>
  <c r="G218" i="2"/>
  <c r="H220" i="2" s="1"/>
  <c r="G215" i="2"/>
  <c r="H217" i="2" s="1"/>
  <c r="G212" i="2"/>
  <c r="H214" i="2" s="1"/>
  <c r="G209" i="2"/>
  <c r="H211" i="2" s="1"/>
  <c r="G206" i="2"/>
  <c r="H208" i="2" s="1"/>
  <c r="G203" i="2"/>
  <c r="H205" i="2" s="1"/>
  <c r="G200" i="2"/>
  <c r="H202" i="2" s="1"/>
  <c r="G197" i="2"/>
  <c r="H199" i="2" s="1"/>
  <c r="G196" i="2"/>
  <c r="G195" i="2"/>
  <c r="H196" i="2" s="1"/>
  <c r="G194" i="2"/>
  <c r="G193" i="2"/>
  <c r="H194" i="2" s="1"/>
  <c r="G192" i="2"/>
  <c r="G191" i="2"/>
  <c r="H192" i="2" s="1"/>
  <c r="G190" i="2"/>
  <c r="G189" i="2"/>
  <c r="H190" i="2" s="1"/>
  <c r="G188" i="2"/>
  <c r="G187" i="2"/>
  <c r="H188" i="2" s="1"/>
  <c r="G186" i="2"/>
  <c r="G185" i="2"/>
  <c r="H186" i="2" s="1"/>
  <c r="H260" i="2" s="1"/>
  <c r="E7" i="7" s="1"/>
  <c r="F106" i="2"/>
  <c r="F101" i="2"/>
  <c r="F90" i="2"/>
  <c r="F85" i="2"/>
  <c r="G174" i="2"/>
  <c r="H174" i="2" s="1"/>
  <c r="E50" i="2"/>
  <c r="E22" i="22" s="1"/>
  <c r="E44" i="2"/>
  <c r="E43" i="2" s="1"/>
  <c r="E39" i="2"/>
  <c r="E35" i="2"/>
  <c r="F43" i="2"/>
  <c r="E21" i="2"/>
  <c r="E17" i="2"/>
  <c r="E10" i="22" s="1"/>
  <c r="E29" i="2"/>
  <c r="E14" i="22" s="1"/>
  <c r="F29" i="2"/>
  <c r="F31" i="2"/>
  <c r="F25" i="2"/>
  <c r="F21" i="2"/>
  <c r="F17" i="2"/>
  <c r="E106" i="2"/>
  <c r="E98" i="2"/>
  <c r="E44" i="22" s="1"/>
  <c r="E90" i="2"/>
  <c r="E82" i="2"/>
  <c r="E71" i="2"/>
  <c r="E32" i="22" s="1"/>
  <c r="E62" i="2"/>
  <c r="E27" i="22" s="1"/>
  <c r="E58" i="2"/>
  <c r="E54" i="2"/>
  <c r="E24" i="22" s="1"/>
  <c r="E31" i="2"/>
  <c r="E25" i="2"/>
  <c r="E64" i="22" l="1"/>
  <c r="G67" i="22" s="1"/>
  <c r="E73" i="22"/>
  <c r="G76" i="22" s="1"/>
  <c r="E86" i="22"/>
  <c r="G89" i="22" s="1"/>
  <c r="E94" i="22"/>
  <c r="G97" i="22" s="1"/>
  <c r="E102" i="22"/>
  <c r="G105" i="22" s="1"/>
  <c r="H149" i="9"/>
  <c r="D11" i="7" s="1"/>
  <c r="D12" i="6"/>
  <c r="D21" i="6"/>
  <c r="H221" i="8"/>
  <c r="D10" i="7" s="1"/>
  <c r="H183" i="2"/>
  <c r="D7" i="7" s="1"/>
  <c r="D11" i="6"/>
  <c r="E69" i="22"/>
  <c r="F69" i="22" s="1"/>
  <c r="E90" i="22"/>
  <c r="G93" i="22" s="1"/>
  <c r="E98" i="22"/>
  <c r="G101" i="22" s="1"/>
  <c r="H224" i="8"/>
  <c r="H228" i="8"/>
  <c r="H230" i="8"/>
  <c r="H232" i="8"/>
  <c r="H234" i="8"/>
  <c r="H236" i="8"/>
  <c r="H239" i="8"/>
  <c r="H242" i="8"/>
  <c r="H245" i="8"/>
  <c r="H248" i="8"/>
  <c r="H251" i="8"/>
  <c r="H254" i="8"/>
  <c r="H257" i="8"/>
  <c r="H260" i="8"/>
  <c r="H263" i="8"/>
  <c r="H266" i="8"/>
  <c r="H269" i="8"/>
  <c r="H272" i="8"/>
  <c r="H275" i="8"/>
  <c r="H278" i="8"/>
  <c r="H281" i="8"/>
  <c r="H284" i="8"/>
  <c r="H287" i="8"/>
  <c r="H290" i="8"/>
  <c r="I89" i="22"/>
  <c r="H69" i="22"/>
  <c r="I105" i="22"/>
  <c r="G148" i="2"/>
  <c r="H150" i="2" s="1"/>
  <c r="H81" i="22"/>
  <c r="F81" i="22"/>
  <c r="G112" i="10"/>
  <c r="H114" i="10" s="1"/>
  <c r="H38" i="22"/>
  <c r="H22" i="22"/>
  <c r="I85" i="22"/>
  <c r="F82" i="22"/>
  <c r="H82" i="22"/>
  <c r="H14" i="22"/>
  <c r="F14" i="22"/>
  <c r="F102" i="22"/>
  <c r="H102" i="22"/>
  <c r="G126" i="2"/>
  <c r="H128" i="2" s="1"/>
  <c r="H78" i="22"/>
  <c r="F78" i="22"/>
  <c r="H104" i="22"/>
  <c r="F104" i="22"/>
  <c r="F40" i="22"/>
  <c r="H40" i="22"/>
  <c r="F65" i="22"/>
  <c r="H65" i="22"/>
  <c r="H103" i="22"/>
  <c r="F103" i="22"/>
  <c r="F93" i="22"/>
  <c r="H93" i="22"/>
  <c r="H96" i="22"/>
  <c r="F96" i="22"/>
  <c r="H84" i="22"/>
  <c r="F84" i="22"/>
  <c r="G154" i="2"/>
  <c r="H156" i="2" s="1"/>
  <c r="G117" i="2"/>
  <c r="G132" i="2"/>
  <c r="H134" i="2" s="1"/>
  <c r="G160" i="2"/>
  <c r="H162" i="2" s="1"/>
  <c r="G85" i="10"/>
  <c r="G143" i="10"/>
  <c r="H150" i="10" s="1"/>
  <c r="G171" i="10"/>
  <c r="H178" i="10" s="1"/>
  <c r="G50" i="10"/>
  <c r="G67" i="10"/>
  <c r="G125" i="10"/>
  <c r="H131" i="10" s="1"/>
  <c r="G151" i="10"/>
  <c r="H158" i="10" s="1"/>
  <c r="G179" i="10"/>
  <c r="H181" i="10" s="1"/>
  <c r="G76" i="10"/>
  <c r="G132" i="10"/>
  <c r="H139" i="10" s="1"/>
  <c r="G159" i="10"/>
  <c r="H162" i="10" s="1"/>
  <c r="G122" i="10"/>
  <c r="H124" i="10" s="1"/>
  <c r="G195" i="10"/>
  <c r="H197" i="10" s="1"/>
  <c r="G109" i="10"/>
  <c r="H111" i="10" s="1"/>
  <c r="G34" i="10"/>
  <c r="G27" i="10"/>
  <c r="H39" i="10" s="1"/>
  <c r="G32" i="10"/>
  <c r="G17" i="10"/>
  <c r="G182" i="10"/>
  <c r="H186" i="10" s="1"/>
  <c r="G88" i="10"/>
  <c r="H94" i="10" s="1"/>
  <c r="G22" i="10"/>
  <c r="G60" i="10"/>
  <c r="G71" i="10"/>
  <c r="G56" i="10"/>
  <c r="H70" i="10" s="1"/>
  <c r="G115" i="10"/>
  <c r="H121" i="10" s="1"/>
  <c r="G140" i="10"/>
  <c r="H142" i="10" s="1"/>
  <c r="G95" i="10"/>
  <c r="H108" i="10" s="1"/>
  <c r="G175" i="8"/>
  <c r="G189" i="8"/>
  <c r="G162" i="8"/>
  <c r="G146" i="8"/>
  <c r="G117" i="8"/>
  <c r="G66" i="8"/>
  <c r="G136" i="8"/>
  <c r="G99" i="8"/>
  <c r="G126" i="8"/>
  <c r="G74" i="8"/>
  <c r="G54" i="8"/>
  <c r="G82" i="8"/>
  <c r="E16" i="8"/>
  <c r="G60" i="8"/>
  <c r="G159" i="8"/>
  <c r="H165" i="8" s="1"/>
  <c r="G179" i="8"/>
  <c r="H182" i="8" s="1"/>
  <c r="G186" i="8"/>
  <c r="H192" i="8" s="1"/>
  <c r="G86" i="8"/>
  <c r="H102" i="8" s="1"/>
  <c r="G112" i="8"/>
  <c r="G63" i="8"/>
  <c r="G77" i="8"/>
  <c r="H85" i="8" s="1"/>
  <c r="G103" i="8"/>
  <c r="H111" i="8" s="1"/>
  <c r="G121" i="8"/>
  <c r="G130" i="8"/>
  <c r="G143" i="8"/>
  <c r="H149" i="8" s="1"/>
  <c r="G172" i="8"/>
  <c r="G51" i="8"/>
  <c r="H56" i="8" s="1"/>
  <c r="G57" i="8"/>
  <c r="H59" i="8" s="1"/>
  <c r="G43" i="9"/>
  <c r="G41" i="9"/>
  <c r="G143" i="2"/>
  <c r="H147" i="2" s="1"/>
  <c r="G120" i="2"/>
  <c r="H122" i="2" s="1"/>
  <c r="G109" i="2"/>
  <c r="H111" i="2" s="1"/>
  <c r="G112" i="2"/>
  <c r="H119" i="2" s="1"/>
  <c r="G123" i="2"/>
  <c r="H125" i="2" s="1"/>
  <c r="G129" i="2"/>
  <c r="H131" i="2" s="1"/>
  <c r="G151" i="2"/>
  <c r="H153" i="2" s="1"/>
  <c r="G157" i="2"/>
  <c r="H159" i="2" s="1"/>
  <c r="G89" i="9"/>
  <c r="G91" i="9"/>
  <c r="G66" i="9"/>
  <c r="H70" i="9" s="1"/>
  <c r="G79" i="9"/>
  <c r="G71" i="9"/>
  <c r="G63" i="9"/>
  <c r="H65" i="9" s="1"/>
  <c r="G82" i="9"/>
  <c r="G93" i="9"/>
  <c r="G113" i="9"/>
  <c r="H115" i="9" s="1"/>
  <c r="G85" i="9"/>
  <c r="G95" i="9"/>
  <c r="H97" i="9" s="1"/>
  <c r="G110" i="9"/>
  <c r="H112" i="9" s="1"/>
  <c r="G104" i="9"/>
  <c r="H106" i="9" s="1"/>
  <c r="G134" i="9"/>
  <c r="H136" i="9" s="1"/>
  <c r="G128" i="9"/>
  <c r="H130" i="9" s="1"/>
  <c r="G122" i="9"/>
  <c r="H124" i="9" s="1"/>
  <c r="G116" i="9"/>
  <c r="H118" i="9" s="1"/>
  <c r="G107" i="9"/>
  <c r="H109" i="9" s="1"/>
  <c r="G98" i="9"/>
  <c r="H100" i="9" s="1"/>
  <c r="G101" i="9"/>
  <c r="H103" i="9" s="1"/>
  <c r="G131" i="9"/>
  <c r="H133" i="9" s="1"/>
  <c r="G125" i="9"/>
  <c r="H127" i="9" s="1"/>
  <c r="G119" i="9"/>
  <c r="H121" i="9" s="1"/>
  <c r="G50" i="2"/>
  <c r="E85" i="2"/>
  <c r="G58" i="2"/>
  <c r="E66" i="2"/>
  <c r="G35" i="2"/>
  <c r="G71" i="2"/>
  <c r="G98" i="2"/>
  <c r="G43" i="2"/>
  <c r="G17" i="2"/>
  <c r="G39" i="2"/>
  <c r="E74" i="2"/>
  <c r="E36" i="22" s="1"/>
  <c r="G82" i="2"/>
  <c r="G90" i="2"/>
  <c r="E93" i="2"/>
  <c r="E101" i="2"/>
  <c r="E49" i="22" s="1"/>
  <c r="G106" i="2"/>
  <c r="G54" i="2"/>
  <c r="G29" i="2"/>
  <c r="G62" i="2"/>
  <c r="G25" i="2"/>
  <c r="G31" i="2"/>
  <c r="G21" i="2"/>
  <c r="G125" i="15"/>
  <c r="G129" i="15"/>
  <c r="G133" i="15"/>
  <c r="G137" i="15"/>
  <c r="G141" i="15"/>
  <c r="G145" i="15"/>
  <c r="G149" i="15"/>
  <c r="G110" i="15"/>
  <c r="G109" i="15"/>
  <c r="H110" i="15" s="1"/>
  <c r="G108" i="15"/>
  <c r="G107" i="15"/>
  <c r="H108" i="15" s="1"/>
  <c r="G106" i="15"/>
  <c r="G105" i="15"/>
  <c r="H106" i="15" s="1"/>
  <c r="G104" i="15"/>
  <c r="G103" i="15"/>
  <c r="H104" i="15" s="1"/>
  <c r="G102" i="15"/>
  <c r="G101" i="15"/>
  <c r="H102" i="15" s="1"/>
  <c r="G100" i="15"/>
  <c r="G99" i="15"/>
  <c r="H100" i="15" s="1"/>
  <c r="G98" i="15"/>
  <c r="G97" i="15"/>
  <c r="H98" i="15" s="1"/>
  <c r="G96" i="15"/>
  <c r="G95" i="15"/>
  <c r="H96" i="15" s="1"/>
  <c r="G94" i="15"/>
  <c r="G93" i="15"/>
  <c r="H94" i="15" s="1"/>
  <c r="G92" i="15"/>
  <c r="G91" i="15"/>
  <c r="H92" i="15" s="1"/>
  <c r="G90" i="15"/>
  <c r="G89" i="15"/>
  <c r="H90" i="15" s="1"/>
  <c r="G88" i="15"/>
  <c r="G87" i="15"/>
  <c r="H88" i="15" s="1"/>
  <c r="G86" i="15"/>
  <c r="G85" i="15"/>
  <c r="H86" i="15" s="1"/>
  <c r="H111" i="15" s="1"/>
  <c r="E12" i="7" s="1"/>
  <c r="G150" i="15"/>
  <c r="G148" i="15"/>
  <c r="G147" i="15"/>
  <c r="G146" i="15"/>
  <c r="G144" i="15"/>
  <c r="G143" i="15"/>
  <c r="H146" i="15" s="1"/>
  <c r="G142" i="15"/>
  <c r="G140" i="15"/>
  <c r="G139" i="15"/>
  <c r="G138" i="15"/>
  <c r="G136" i="15"/>
  <c r="G135" i="15"/>
  <c r="H138" i="15" s="1"/>
  <c r="G134" i="15"/>
  <c r="G132" i="15"/>
  <c r="G131" i="15"/>
  <c r="G130" i="15"/>
  <c r="G128" i="15"/>
  <c r="G127" i="15"/>
  <c r="H130" i="15" s="1"/>
  <c r="G126" i="15"/>
  <c r="G124" i="15"/>
  <c r="G123" i="15"/>
  <c r="G122" i="15"/>
  <c r="G121" i="15"/>
  <c r="G120" i="15"/>
  <c r="H122" i="15" s="1"/>
  <c r="G119" i="15"/>
  <c r="G118" i="15"/>
  <c r="G117" i="15"/>
  <c r="E74" i="15"/>
  <c r="F77" i="15"/>
  <c r="F74" i="15"/>
  <c r="F72" i="15"/>
  <c r="F69" i="15"/>
  <c r="F67" i="15"/>
  <c r="F64" i="15"/>
  <c r="F62" i="15"/>
  <c r="F57" i="15"/>
  <c r="F54" i="15"/>
  <c r="F52" i="15"/>
  <c r="E77" i="15"/>
  <c r="E53" i="22" s="1"/>
  <c r="E54" i="15"/>
  <c r="E57" i="15"/>
  <c r="E42" i="22" s="1"/>
  <c r="F49" i="15"/>
  <c r="F44" i="15"/>
  <c r="F39" i="15"/>
  <c r="F36" i="15"/>
  <c r="F27" i="15"/>
  <c r="F25" i="15"/>
  <c r="F21" i="15"/>
  <c r="F23" i="15"/>
  <c r="E72" i="15"/>
  <c r="E58" i="22" s="1"/>
  <c r="E67" i="15"/>
  <c r="E51" i="22" s="1"/>
  <c r="E62" i="15"/>
  <c r="E47" i="22" s="1"/>
  <c r="E47" i="15"/>
  <c r="E28" i="22" s="1"/>
  <c r="E41" i="15"/>
  <c r="E39" i="15"/>
  <c r="E36" i="15"/>
  <c r="E34" i="15"/>
  <c r="E23" i="22" s="1"/>
  <c r="E32" i="15"/>
  <c r="E20" i="22" s="1"/>
  <c r="E29" i="15"/>
  <c r="E19" i="22" s="1"/>
  <c r="E27" i="15"/>
  <c r="E16" i="22" s="1"/>
  <c r="E25" i="15"/>
  <c r="E23" i="15"/>
  <c r="E21" i="15"/>
  <c r="C36" i="6"/>
  <c r="H36" i="6" s="1"/>
  <c r="C35" i="6"/>
  <c r="H35" i="6" s="1"/>
  <c r="C34" i="6"/>
  <c r="H34" i="6" s="1"/>
  <c r="C33" i="6"/>
  <c r="H33" i="6" s="1"/>
  <c r="C32" i="6"/>
  <c r="C31" i="6"/>
  <c r="H119" i="15" l="1"/>
  <c r="H126" i="15"/>
  <c r="H134" i="15"/>
  <c r="H142" i="15"/>
  <c r="H150" i="15"/>
  <c r="H34" i="2"/>
  <c r="H300" i="8"/>
  <c r="E10" i="7" s="1"/>
  <c r="H178" i="8"/>
  <c r="H129" i="8"/>
  <c r="H120" i="8"/>
  <c r="H26" i="10"/>
  <c r="H139" i="8"/>
  <c r="H87" i="10"/>
  <c r="H94" i="9"/>
  <c r="H57" i="2"/>
  <c r="H84" i="9"/>
  <c r="H24" i="2"/>
  <c r="H42" i="2"/>
  <c r="H65" i="2"/>
  <c r="H65" i="8"/>
  <c r="H76" i="8"/>
  <c r="H53" i="22"/>
  <c r="F53" i="22"/>
  <c r="F58" i="22"/>
  <c r="H58" i="22"/>
  <c r="F86" i="22"/>
  <c r="M33" i="6"/>
  <c r="P33" i="6"/>
  <c r="R33" i="6" s="1"/>
  <c r="J33" i="6"/>
  <c r="L33" i="6"/>
  <c r="H86" i="22"/>
  <c r="H36" i="22"/>
  <c r="F36" i="22"/>
  <c r="H31" i="22"/>
  <c r="F31" i="22"/>
  <c r="F38" i="22"/>
  <c r="F22" i="22"/>
  <c r="H42" i="22"/>
  <c r="F42" i="22"/>
  <c r="H16" i="22"/>
  <c r="F16" i="22"/>
  <c r="H47" i="22"/>
  <c r="F47" i="22"/>
  <c r="F57" i="22"/>
  <c r="H57" i="22"/>
  <c r="F24" i="22"/>
  <c r="H24" i="22"/>
  <c r="F20" i="22"/>
  <c r="H20" i="22"/>
  <c r="H54" i="22"/>
  <c r="F54" i="22"/>
  <c r="F23" i="22"/>
  <c r="H23" i="22"/>
  <c r="I93" i="22"/>
  <c r="F90" i="22"/>
  <c r="H90" i="22"/>
  <c r="F28" i="22"/>
  <c r="H28" i="22"/>
  <c r="F10" i="22"/>
  <c r="H10" i="22"/>
  <c r="H27" i="22"/>
  <c r="F27" i="22"/>
  <c r="F94" i="22"/>
  <c r="H94" i="22"/>
  <c r="I97" i="22"/>
  <c r="H51" i="22"/>
  <c r="F51" i="22"/>
  <c r="F49" i="22"/>
  <c r="H49" i="22"/>
  <c r="I76" i="22"/>
  <c r="F73" i="22"/>
  <c r="H73" i="22"/>
  <c r="F44" i="22"/>
  <c r="H44" i="22"/>
  <c r="F77" i="22"/>
  <c r="H77" i="22"/>
  <c r="I81" i="22"/>
  <c r="I101" i="22"/>
  <c r="F98" i="22"/>
  <c r="H98" i="22"/>
  <c r="G85" i="2"/>
  <c r="H92" i="2" s="1"/>
  <c r="G101" i="2"/>
  <c r="H108" i="2" s="1"/>
  <c r="G93" i="2"/>
  <c r="H100" i="2" s="1"/>
  <c r="G66" i="2"/>
  <c r="H73" i="2" s="1"/>
  <c r="G74" i="2"/>
  <c r="H84" i="2" s="1"/>
  <c r="G77" i="15"/>
  <c r="G32" i="15"/>
  <c r="G52" i="15"/>
  <c r="G62" i="15"/>
  <c r="G23" i="15"/>
  <c r="G39" i="15"/>
  <c r="E69" i="15"/>
  <c r="E64" i="15"/>
  <c r="G36" i="15"/>
  <c r="G25" i="15"/>
  <c r="G34" i="15"/>
  <c r="H38" i="15" s="1"/>
  <c r="G57" i="15"/>
  <c r="G67" i="15"/>
  <c r="G27" i="15"/>
  <c r="E44" i="15"/>
  <c r="G47" i="15"/>
  <c r="E59" i="15"/>
  <c r="E45" i="22" s="1"/>
  <c r="G72" i="15"/>
  <c r="G21" i="15"/>
  <c r="H24" i="15" s="1"/>
  <c r="G29" i="15"/>
  <c r="H33" i="15" s="1"/>
  <c r="G41" i="15"/>
  <c r="H151" i="15" l="1"/>
  <c r="G12" i="7" s="1"/>
  <c r="G8" i="6"/>
  <c r="H43" i="15"/>
  <c r="H28" i="15"/>
  <c r="S33" i="6"/>
  <c r="G64" i="15"/>
  <c r="H68" i="15" s="1"/>
  <c r="G54" i="15"/>
  <c r="H58" i="15" s="1"/>
  <c r="G69" i="15"/>
  <c r="H73" i="15" s="1"/>
  <c r="G44" i="15"/>
  <c r="H48" i="15" s="1"/>
  <c r="G59" i="15"/>
  <c r="H63" i="15" s="1"/>
  <c r="G74" i="15"/>
  <c r="H78" i="15" s="1"/>
  <c r="G49" i="15"/>
  <c r="H53" i="15" s="1"/>
  <c r="G280" i="1"/>
  <c r="G279" i="1"/>
  <c r="H280" i="1" s="1"/>
  <c r="E30" i="6" s="1"/>
  <c r="G278" i="1"/>
  <c r="G277" i="1"/>
  <c r="H278" i="1" s="1"/>
  <c r="E29" i="6" s="1"/>
  <c r="G276" i="1"/>
  <c r="G275" i="1"/>
  <c r="H276" i="1" s="1"/>
  <c r="E28" i="6" s="1"/>
  <c r="G274" i="1"/>
  <c r="G273" i="1"/>
  <c r="H274" i="1" s="1"/>
  <c r="E27" i="6" s="1"/>
  <c r="G272" i="1"/>
  <c r="G271" i="1"/>
  <c r="H272" i="1" s="1"/>
  <c r="E26" i="6" s="1"/>
  <c r="G270" i="1"/>
  <c r="G269" i="1"/>
  <c r="H270" i="1" s="1"/>
  <c r="E25" i="6" s="1"/>
  <c r="G268" i="1"/>
  <c r="G267" i="1"/>
  <c r="H268" i="1" s="1"/>
  <c r="E24" i="6" s="1"/>
  <c r="G266" i="1"/>
  <c r="G265" i="1"/>
  <c r="H266" i="1" s="1"/>
  <c r="E23" i="6" s="1"/>
  <c r="G244" i="1"/>
  <c r="G243" i="1"/>
  <c r="H244" i="1" s="1"/>
  <c r="E12" i="6" s="1"/>
  <c r="E233" i="1"/>
  <c r="E231" i="1"/>
  <c r="G211" i="1"/>
  <c r="F207" i="1"/>
  <c r="G207" i="1" s="1"/>
  <c r="G201" i="1"/>
  <c r="F197" i="1"/>
  <c r="G197" i="1" s="1"/>
  <c r="G193" i="1"/>
  <c r="G191" i="1"/>
  <c r="G189" i="1"/>
  <c r="F185" i="1"/>
  <c r="G185" i="1" s="1"/>
  <c r="F195" i="1"/>
  <c r="G195" i="1" s="1"/>
  <c r="E174" i="1"/>
  <c r="E68" i="22" s="1"/>
  <c r="G72" i="22" s="1"/>
  <c r="F183" i="1"/>
  <c r="F174" i="1"/>
  <c r="G199" i="1"/>
  <c r="G203" i="1"/>
  <c r="H204" i="1" s="1"/>
  <c r="B28" i="6" s="1"/>
  <c r="F205" i="1"/>
  <c r="G205" i="1" s="1"/>
  <c r="G209" i="1"/>
  <c r="H212" i="1" s="1"/>
  <c r="B30" i="6" s="1"/>
  <c r="E163" i="1"/>
  <c r="E162" i="1" s="1"/>
  <c r="E63" i="22" s="1"/>
  <c r="E160" i="1"/>
  <c r="E158" i="1"/>
  <c r="F156" i="1"/>
  <c r="F165" i="1"/>
  <c r="F108" i="1"/>
  <c r="F101" i="1"/>
  <c r="E95" i="1"/>
  <c r="E153" i="1"/>
  <c r="E151" i="1"/>
  <c r="E150" i="1"/>
  <c r="E147" i="1"/>
  <c r="E142" i="1"/>
  <c r="E141" i="1" s="1"/>
  <c r="E55" i="22" s="1"/>
  <c r="E140" i="1"/>
  <c r="E139" i="1"/>
  <c r="E136" i="1"/>
  <c r="E131" i="1"/>
  <c r="E130" i="1" s="1"/>
  <c r="E50" i="22" s="1"/>
  <c r="E129" i="1"/>
  <c r="E128" i="1"/>
  <c r="E125" i="1"/>
  <c r="E120" i="1"/>
  <c r="E119" i="1" s="1"/>
  <c r="E46" i="22" s="1"/>
  <c r="E118" i="1"/>
  <c r="E117" i="1"/>
  <c r="E114" i="1"/>
  <c r="E109" i="1"/>
  <c r="E108" i="1" s="1"/>
  <c r="E41" i="22" s="1"/>
  <c r="E107" i="1"/>
  <c r="E106" i="1"/>
  <c r="E103" i="1"/>
  <c r="E97" i="1"/>
  <c r="E37" i="22" s="1"/>
  <c r="E96" i="1"/>
  <c r="E92" i="1"/>
  <c r="F45" i="1"/>
  <c r="F39" i="1"/>
  <c r="E85" i="1"/>
  <c r="E84" i="1"/>
  <c r="F94" i="14"/>
  <c r="F95" i="14"/>
  <c r="F96" i="14"/>
  <c r="F90" i="14"/>
  <c r="F91" i="14"/>
  <c r="F92" i="14"/>
  <c r="F89" i="14"/>
  <c r="F69" i="14"/>
  <c r="G69" i="14" s="1"/>
  <c r="H208" i="1" l="1"/>
  <c r="B29" i="6" s="1"/>
  <c r="H202" i="1"/>
  <c r="B27" i="6" s="1"/>
  <c r="H194" i="1"/>
  <c r="B25" i="6" s="1"/>
  <c r="H198" i="1"/>
  <c r="B26" i="6" s="1"/>
  <c r="E156" i="1"/>
  <c r="E60" i="22" s="1"/>
  <c r="G63" i="22" s="1"/>
  <c r="C26" i="6"/>
  <c r="C29" i="6"/>
  <c r="C30" i="6"/>
  <c r="C28" i="6"/>
  <c r="G162" i="1"/>
  <c r="I72" i="22"/>
  <c r="F37" i="22"/>
  <c r="H37" i="22"/>
  <c r="F50" i="22"/>
  <c r="H50" i="22"/>
  <c r="H55" i="22"/>
  <c r="F55" i="22"/>
  <c r="I67" i="22"/>
  <c r="F64" i="22"/>
  <c r="H64" i="22"/>
  <c r="F41" i="22"/>
  <c r="H41" i="22"/>
  <c r="F68" i="22"/>
  <c r="H68" i="22"/>
  <c r="G179" i="1"/>
  <c r="E101" i="1"/>
  <c r="E39" i="22" s="1"/>
  <c r="G42" i="22" s="1"/>
  <c r="E145" i="1"/>
  <c r="E56" i="22" s="1"/>
  <c r="G59" i="22" s="1"/>
  <c r="G141" i="1"/>
  <c r="E123" i="1"/>
  <c r="E48" i="22" s="1"/>
  <c r="G51" i="22" s="1"/>
  <c r="E134" i="1"/>
  <c r="E52" i="22" s="1"/>
  <c r="G55" i="22" s="1"/>
  <c r="E112" i="1"/>
  <c r="E43" i="22" s="1"/>
  <c r="G47" i="22" s="1"/>
  <c r="G97" i="1"/>
  <c r="E90" i="1"/>
  <c r="E35" i="22" s="1"/>
  <c r="G38" i="22" s="1"/>
  <c r="G130" i="1"/>
  <c r="G119" i="1"/>
  <c r="F82" i="14"/>
  <c r="F83" i="14"/>
  <c r="F84" i="14"/>
  <c r="F81" i="14"/>
  <c r="F77" i="14"/>
  <c r="F79" i="14"/>
  <c r="F80" i="14"/>
  <c r="F76" i="14"/>
  <c r="F73" i="14"/>
  <c r="F74" i="14"/>
  <c r="F75" i="14"/>
  <c r="F72" i="14"/>
  <c r="F68" i="14"/>
  <c r="F70" i="14"/>
  <c r="F71" i="14"/>
  <c r="F67" i="14"/>
  <c r="F64" i="14"/>
  <c r="F65" i="14"/>
  <c r="F66" i="14"/>
  <c r="F63" i="14"/>
  <c r="F60" i="14"/>
  <c r="G60" i="14" s="1"/>
  <c r="F61" i="14"/>
  <c r="G61" i="14" s="1"/>
  <c r="F62" i="14"/>
  <c r="F59" i="14"/>
  <c r="F56" i="14"/>
  <c r="F57" i="14"/>
  <c r="F58" i="14"/>
  <c r="F55" i="14"/>
  <c r="F52" i="14"/>
  <c r="F53" i="14"/>
  <c r="G53" i="14" s="1"/>
  <c r="F54" i="14"/>
  <c r="F51" i="14"/>
  <c r="G51" i="14" s="1"/>
  <c r="F48" i="14"/>
  <c r="F49" i="14"/>
  <c r="F50" i="14"/>
  <c r="F47" i="14"/>
  <c r="F43" i="14"/>
  <c r="F44" i="14"/>
  <c r="F45" i="14"/>
  <c r="G45" i="14" s="1"/>
  <c r="F46" i="14"/>
  <c r="F42" i="14"/>
  <c r="F39" i="14"/>
  <c r="F40" i="14"/>
  <c r="F41" i="14"/>
  <c r="F38" i="14"/>
  <c r="F35" i="14"/>
  <c r="F36" i="14"/>
  <c r="F37" i="14"/>
  <c r="F34" i="14"/>
  <c r="E87" i="1"/>
  <c r="E86" i="1" s="1"/>
  <c r="E33" i="22" s="1"/>
  <c r="E81" i="1"/>
  <c r="E79" i="1" s="1"/>
  <c r="E30" i="22" s="1"/>
  <c r="E76" i="1"/>
  <c r="E75" i="1" s="1"/>
  <c r="E29" i="22" s="1"/>
  <c r="E71" i="1"/>
  <c r="E69" i="1" s="1"/>
  <c r="E26" i="22" s="1"/>
  <c r="E66" i="1"/>
  <c r="E65" i="1" s="1"/>
  <c r="E25" i="22" s="1"/>
  <c r="E61" i="1"/>
  <c r="E59" i="1" s="1"/>
  <c r="E21" i="22" s="1"/>
  <c r="E56" i="1"/>
  <c r="E55" i="1" s="1"/>
  <c r="E18" i="22" s="1"/>
  <c r="E51" i="1"/>
  <c r="E49" i="1" s="1"/>
  <c r="E17" i="22" s="1"/>
  <c r="G20" i="22" s="1"/>
  <c r="E46" i="1"/>
  <c r="E45" i="1" s="1"/>
  <c r="E15" i="22" s="1"/>
  <c r="E41" i="1"/>
  <c r="E39" i="1" s="1"/>
  <c r="E13" i="22" s="1"/>
  <c r="G16" i="22" s="1"/>
  <c r="E36" i="1"/>
  <c r="E31" i="1"/>
  <c r="E10" i="1"/>
  <c r="E27" i="1"/>
  <c r="E12" i="1"/>
  <c r="E13" i="15"/>
  <c r="E15" i="9"/>
  <c r="E13" i="9"/>
  <c r="E11" i="9"/>
  <c r="E6" i="9"/>
  <c r="E14" i="8"/>
  <c r="F14" i="8"/>
  <c r="E11" i="8"/>
  <c r="E8" i="8"/>
  <c r="F8" i="8"/>
  <c r="E6" i="8"/>
  <c r="F6" i="8"/>
  <c r="E8" i="18"/>
  <c r="E11" i="18"/>
  <c r="E8" i="10"/>
  <c r="E12" i="10"/>
  <c r="E15" i="10"/>
  <c r="E6" i="10"/>
  <c r="F6" i="10"/>
  <c r="G25" i="22" l="1"/>
  <c r="G29" i="22"/>
  <c r="G34" i="22"/>
  <c r="I20" i="22"/>
  <c r="F30" i="22"/>
  <c r="F29" i="22"/>
  <c r="F63" i="22"/>
  <c r="H63" i="22"/>
  <c r="C25" i="6"/>
  <c r="G11" i="9"/>
  <c r="H18" i="22"/>
  <c r="F18" i="22"/>
  <c r="H29" i="6"/>
  <c r="R29" i="6" s="1"/>
  <c r="I25" i="22"/>
  <c r="H21" i="22"/>
  <c r="F21" i="22"/>
  <c r="H46" i="22"/>
  <c r="F46" i="22"/>
  <c r="F15" i="22"/>
  <c r="H15" i="22"/>
  <c r="F25" i="22"/>
  <c r="H25" i="22"/>
  <c r="F60" i="22"/>
  <c r="H60" i="22"/>
  <c r="I63" i="22"/>
  <c r="I59" i="22"/>
  <c r="F56" i="22"/>
  <c r="H56" i="22"/>
  <c r="F45" i="22"/>
  <c r="H45" i="22"/>
  <c r="I16" i="22"/>
  <c r="H13" i="22"/>
  <c r="F13" i="22"/>
  <c r="I47" i="22"/>
  <c r="H43" i="22"/>
  <c r="F43" i="22"/>
  <c r="F17" i="22"/>
  <c r="H17" i="22"/>
  <c r="I38" i="22"/>
  <c r="H35" i="22"/>
  <c r="F35" i="22"/>
  <c r="I55" i="22"/>
  <c r="F52" i="22"/>
  <c r="H52" i="22"/>
  <c r="I42" i="22"/>
  <c r="H39" i="22"/>
  <c r="F39" i="22"/>
  <c r="H71" i="22"/>
  <c r="F71" i="22"/>
  <c r="F19" i="22"/>
  <c r="H19" i="22"/>
  <c r="I51" i="22"/>
  <c r="F48" i="22"/>
  <c r="H48" i="22"/>
  <c r="F70" i="22"/>
  <c r="H70" i="22"/>
  <c r="H30" i="6"/>
  <c r="H26" i="6"/>
  <c r="G14" i="8"/>
  <c r="C27" i="6"/>
  <c r="H27" i="6" s="1"/>
  <c r="G75" i="1"/>
  <c r="G65" i="1"/>
  <c r="G8" i="8"/>
  <c r="G295" i="1"/>
  <c r="G294" i="1"/>
  <c r="E29" i="1"/>
  <c r="E9" i="22" s="1"/>
  <c r="F35" i="1"/>
  <c r="F29" i="1"/>
  <c r="H30" i="22" l="1"/>
  <c r="F26" i="22"/>
  <c r="H26" i="22"/>
  <c r="I34" i="22"/>
  <c r="I29" i="22"/>
  <c r="M30" i="6"/>
  <c r="P30" i="6"/>
  <c r="R30" i="6" s="1"/>
  <c r="M27" i="6"/>
  <c r="P27" i="6"/>
  <c r="R27" i="6" s="1"/>
  <c r="P26" i="6"/>
  <c r="R26" i="6" s="1"/>
  <c r="L27" i="6"/>
  <c r="H29" i="22"/>
  <c r="H34" i="22"/>
  <c r="F34" i="22"/>
  <c r="J29" i="6"/>
  <c r="L29" i="6"/>
  <c r="J26" i="6"/>
  <c r="L26" i="6"/>
  <c r="J27" i="6"/>
  <c r="L30" i="6"/>
  <c r="J30" i="6"/>
  <c r="F33" i="22"/>
  <c r="H33" i="22"/>
  <c r="F9" i="22"/>
  <c r="H9" i="22"/>
  <c r="F32" i="22"/>
  <c r="H32" i="22"/>
  <c r="E35" i="1"/>
  <c r="E12" i="22" s="1"/>
  <c r="G12" i="22" s="1"/>
  <c r="F11" i="8"/>
  <c r="F13" i="18"/>
  <c r="F11" i="18"/>
  <c r="F8" i="18"/>
  <c r="F6" i="18"/>
  <c r="F12" i="10"/>
  <c r="F15" i="10"/>
  <c r="F8" i="10"/>
  <c r="E17" i="15"/>
  <c r="E16" i="15" s="1"/>
  <c r="E9" i="15"/>
  <c r="E6" i="15" s="1"/>
  <c r="E15" i="2"/>
  <c r="E9" i="2"/>
  <c r="E13" i="2"/>
  <c r="F13" i="2"/>
  <c r="F9" i="2"/>
  <c r="E6" i="2"/>
  <c r="F15" i="2"/>
  <c r="F6" i="2"/>
  <c r="E25" i="1"/>
  <c r="E23" i="1"/>
  <c r="E7" i="22" s="1"/>
  <c r="E19" i="1"/>
  <c r="E15" i="1" s="1"/>
  <c r="E8" i="22" s="1"/>
  <c r="E20" i="1"/>
  <c r="E6" i="22" s="1"/>
  <c r="F25" i="1"/>
  <c r="F15" i="1"/>
  <c r="F23" i="1"/>
  <c r="F20" i="1"/>
  <c r="F6" i="1"/>
  <c r="F32" i="14"/>
  <c r="G32" i="14" s="1"/>
  <c r="E5" i="22" l="1"/>
  <c r="F7" i="22"/>
  <c r="S29" i="6"/>
  <c r="S27" i="6"/>
  <c r="S26" i="6"/>
  <c r="S30" i="6"/>
  <c r="I12" i="22"/>
  <c r="F8" i="22"/>
  <c r="H8" i="22"/>
  <c r="H12" i="22"/>
  <c r="G9" i="2"/>
  <c r="G13" i="2"/>
  <c r="G25" i="1"/>
  <c r="F30" i="14"/>
  <c r="F31" i="14"/>
  <c r="F33" i="14"/>
  <c r="F29" i="14"/>
  <c r="F26" i="14"/>
  <c r="F27" i="14"/>
  <c r="F28" i="14"/>
  <c r="F25" i="14"/>
  <c r="F13" i="14"/>
  <c r="F14" i="14"/>
  <c r="F15" i="14"/>
  <c r="F12" i="14"/>
  <c r="G22" i="14"/>
  <c r="G23" i="14"/>
  <c r="G24" i="14"/>
  <c r="F9" i="14"/>
  <c r="F10" i="14"/>
  <c r="F11" i="14"/>
  <c r="F8" i="14"/>
  <c r="F6" i="14"/>
  <c r="F4" i="14"/>
  <c r="F3" i="14"/>
  <c r="G187" i="1"/>
  <c r="H190" i="1" s="1"/>
  <c r="B24" i="6" s="1"/>
  <c r="G64" i="14"/>
  <c r="G65" i="14"/>
  <c r="F12" i="22" l="1"/>
  <c r="H7" i="22"/>
  <c r="H6" i="22"/>
  <c r="F6" i="22"/>
  <c r="F5" i="22"/>
  <c r="H5" i="22"/>
  <c r="C24" i="6"/>
  <c r="H24" i="6" s="1"/>
  <c r="P24" i="6" l="1"/>
  <c r="R24" i="6" s="1"/>
  <c r="M24" i="6"/>
  <c r="L24" i="6"/>
  <c r="J24" i="6"/>
  <c r="G182" i="18"/>
  <c r="H183" i="18" s="1"/>
  <c r="H249" i="18" s="1"/>
  <c r="E9" i="7" s="1"/>
  <c r="G13" i="18"/>
  <c r="G11" i="18"/>
  <c r="G8" i="18"/>
  <c r="G6" i="18"/>
  <c r="H14" i="18" s="1"/>
  <c r="S24" i="6" l="1"/>
  <c r="G48" i="14"/>
  <c r="G43" i="14"/>
  <c r="G15" i="14"/>
  <c r="G7" i="14"/>
  <c r="F115" i="14" l="1"/>
  <c r="G115" i="14" s="1"/>
  <c r="F113" i="14"/>
  <c r="G113" i="14" s="1"/>
  <c r="G98" i="14"/>
  <c r="G96" i="14"/>
  <c r="G95" i="14"/>
  <c r="G94" i="14"/>
  <c r="G92" i="14"/>
  <c r="G91" i="14"/>
  <c r="G90" i="14"/>
  <c r="G89" i="14"/>
  <c r="G88" i="14"/>
  <c r="G87" i="14"/>
  <c r="G86" i="14"/>
  <c r="G85" i="14"/>
  <c r="G84" i="14"/>
  <c r="G83" i="14"/>
  <c r="G82" i="14"/>
  <c r="G81" i="14"/>
  <c r="G80" i="14"/>
  <c r="G79" i="14"/>
  <c r="G77" i="14"/>
  <c r="G76" i="14"/>
  <c r="G75" i="14"/>
  <c r="G74" i="14"/>
  <c r="G73" i="14"/>
  <c r="G72" i="14"/>
  <c r="G71" i="14"/>
  <c r="G70" i="14"/>
  <c r="G68" i="14"/>
  <c r="G67" i="14"/>
  <c r="M14" i="16"/>
  <c r="O14" i="16"/>
  <c r="P14" i="16"/>
  <c r="P15" i="16"/>
  <c r="O15" i="16"/>
  <c r="D10" i="16"/>
  <c r="F24" i="16"/>
  <c r="F26" i="16"/>
  <c r="F25" i="16"/>
  <c r="F23" i="16"/>
  <c r="F22" i="16"/>
  <c r="H9" i="16"/>
  <c r="G9" i="16"/>
  <c r="F9" i="16"/>
  <c r="E9" i="16"/>
  <c r="D9" i="16"/>
  <c r="C9" i="16"/>
  <c r="B9" i="16"/>
  <c r="B12" i="16"/>
  <c r="C7" i="16"/>
  <c r="Q31" i="16"/>
  <c r="B30" i="16"/>
  <c r="C30" i="16"/>
  <c r="D30" i="16"/>
  <c r="E30" i="16"/>
  <c r="F30" i="16"/>
  <c r="G30" i="16"/>
  <c r="H30" i="16"/>
  <c r="I30" i="16"/>
  <c r="J30" i="16"/>
  <c r="K30" i="16"/>
  <c r="L30" i="16"/>
  <c r="B29" i="16"/>
  <c r="C29" i="16"/>
  <c r="D29" i="16"/>
  <c r="E29" i="16"/>
  <c r="F29" i="16"/>
  <c r="G29" i="16"/>
  <c r="H29" i="16"/>
  <c r="I29" i="16"/>
  <c r="J29" i="16"/>
  <c r="K29" i="16"/>
  <c r="L29" i="16"/>
  <c r="M29" i="16"/>
  <c r="B28" i="16"/>
  <c r="Q28" i="16" s="1"/>
  <c r="C28" i="16"/>
  <c r="D28" i="16"/>
  <c r="E28" i="16"/>
  <c r="F28" i="16"/>
  <c r="G28" i="16"/>
  <c r="H28" i="16"/>
  <c r="I28" i="16"/>
  <c r="J28" i="16"/>
  <c r="K28" i="16"/>
  <c r="L28" i="16"/>
  <c r="B27" i="16"/>
  <c r="C27" i="16"/>
  <c r="D27" i="16"/>
  <c r="E27" i="16"/>
  <c r="F27" i="16"/>
  <c r="G27" i="16"/>
  <c r="H27" i="16"/>
  <c r="I27" i="16"/>
  <c r="J27" i="16"/>
  <c r="K27" i="16"/>
  <c r="L27" i="16"/>
  <c r="M27" i="16"/>
  <c r="B26" i="16"/>
  <c r="C26" i="16"/>
  <c r="D26" i="16"/>
  <c r="E26" i="16"/>
  <c r="G26" i="16"/>
  <c r="H26" i="16"/>
  <c r="I26" i="16"/>
  <c r="J26" i="16"/>
  <c r="K26" i="16"/>
  <c r="L26" i="16"/>
  <c r="M26" i="16"/>
  <c r="N26" i="16"/>
  <c r="O26" i="16"/>
  <c r="P26" i="16"/>
  <c r="C25" i="16"/>
  <c r="D25" i="16"/>
  <c r="E25" i="16"/>
  <c r="G25" i="16"/>
  <c r="H25" i="16"/>
  <c r="I25" i="16"/>
  <c r="J25" i="16"/>
  <c r="K25" i="16"/>
  <c r="L25" i="16"/>
  <c r="M25" i="16"/>
  <c r="N25" i="16"/>
  <c r="O25" i="16"/>
  <c r="B24" i="16"/>
  <c r="C24" i="16"/>
  <c r="D24" i="16"/>
  <c r="E24" i="16"/>
  <c r="G24" i="16"/>
  <c r="H24" i="16"/>
  <c r="I24" i="16"/>
  <c r="J24" i="16"/>
  <c r="K24" i="16"/>
  <c r="L24" i="16"/>
  <c r="M24" i="16"/>
  <c r="N24" i="16"/>
  <c r="O24" i="16"/>
  <c r="B23" i="16"/>
  <c r="C23" i="16"/>
  <c r="D23" i="16"/>
  <c r="E23" i="16"/>
  <c r="G23" i="16"/>
  <c r="H23" i="16"/>
  <c r="I23" i="16"/>
  <c r="J23" i="16"/>
  <c r="K23" i="16"/>
  <c r="L23" i="16"/>
  <c r="B22" i="16"/>
  <c r="C22" i="16"/>
  <c r="D22" i="16"/>
  <c r="E22" i="16"/>
  <c r="G22" i="16"/>
  <c r="H22" i="16"/>
  <c r="I22" i="16"/>
  <c r="J22" i="16"/>
  <c r="K22" i="16"/>
  <c r="L22" i="16"/>
  <c r="B21" i="16"/>
  <c r="C21" i="16"/>
  <c r="D21" i="16"/>
  <c r="E21" i="16"/>
  <c r="F21" i="16"/>
  <c r="G21" i="16"/>
  <c r="H21" i="16"/>
  <c r="I21" i="16"/>
  <c r="J21" i="16"/>
  <c r="K21" i="16"/>
  <c r="L21" i="16"/>
  <c r="M21" i="16"/>
  <c r="N21" i="16"/>
  <c r="O21" i="16"/>
  <c r="P21" i="16"/>
  <c r="B20" i="16"/>
  <c r="C20" i="16"/>
  <c r="D20" i="16"/>
  <c r="E20" i="16"/>
  <c r="F20" i="16"/>
  <c r="G20" i="16"/>
  <c r="H20" i="16"/>
  <c r="I20" i="16"/>
  <c r="J20" i="16"/>
  <c r="K20" i="16"/>
  <c r="L20" i="16"/>
  <c r="M20" i="16"/>
  <c r="N20" i="16"/>
  <c r="P20" i="16"/>
  <c r="B19" i="16"/>
  <c r="C19" i="16"/>
  <c r="D19" i="16"/>
  <c r="E19" i="16"/>
  <c r="F19" i="16"/>
  <c r="G19" i="16"/>
  <c r="H19" i="16"/>
  <c r="I19" i="16"/>
  <c r="J19" i="16"/>
  <c r="K19" i="16"/>
  <c r="L19" i="16"/>
  <c r="M19" i="16"/>
  <c r="N19" i="16"/>
  <c r="B18" i="16"/>
  <c r="C18" i="16"/>
  <c r="D18" i="16"/>
  <c r="E18" i="16"/>
  <c r="F18" i="16"/>
  <c r="G18" i="16"/>
  <c r="H18" i="16"/>
  <c r="I18" i="16"/>
  <c r="J18" i="16"/>
  <c r="K18" i="16"/>
  <c r="L18" i="16"/>
  <c r="B17" i="16"/>
  <c r="C17" i="16"/>
  <c r="D17" i="16"/>
  <c r="E17" i="16"/>
  <c r="F17" i="16"/>
  <c r="G17" i="16"/>
  <c r="H17" i="16"/>
  <c r="I17" i="16"/>
  <c r="J17" i="16"/>
  <c r="K17" i="16"/>
  <c r="L17" i="16"/>
  <c r="M17" i="16"/>
  <c r="N17" i="16"/>
  <c r="P17" i="16"/>
  <c r="B16" i="16"/>
  <c r="C16" i="16"/>
  <c r="D16" i="16"/>
  <c r="E16" i="16"/>
  <c r="F16" i="16"/>
  <c r="G16" i="16"/>
  <c r="H16" i="16"/>
  <c r="I16" i="16"/>
  <c r="J16" i="16"/>
  <c r="K16" i="16"/>
  <c r="L16" i="16"/>
  <c r="N16" i="16"/>
  <c r="B15" i="16"/>
  <c r="C15" i="16"/>
  <c r="D15" i="16"/>
  <c r="E15" i="16"/>
  <c r="F15" i="16"/>
  <c r="G15" i="16"/>
  <c r="H15" i="16"/>
  <c r="I15" i="16"/>
  <c r="J15" i="16"/>
  <c r="K15" i="16"/>
  <c r="L15" i="16"/>
  <c r="B14" i="16"/>
  <c r="D14" i="16"/>
  <c r="F14" i="16"/>
  <c r="I14" i="16"/>
  <c r="J14" i="16"/>
  <c r="B13" i="16"/>
  <c r="C13" i="16"/>
  <c r="D13" i="16"/>
  <c r="E13" i="16"/>
  <c r="F13" i="16"/>
  <c r="G13" i="16"/>
  <c r="H13" i="16"/>
  <c r="I13" i="16"/>
  <c r="J13" i="16"/>
  <c r="K13" i="16"/>
  <c r="L13" i="16"/>
  <c r="M13" i="16"/>
  <c r="N13" i="16"/>
  <c r="O13" i="16"/>
  <c r="P13" i="16"/>
  <c r="C12" i="16"/>
  <c r="D12" i="16"/>
  <c r="E12" i="16"/>
  <c r="F12" i="16"/>
  <c r="G12" i="16"/>
  <c r="H12" i="16"/>
  <c r="I12" i="16"/>
  <c r="J12" i="16"/>
  <c r="K12" i="16"/>
  <c r="L12" i="16"/>
  <c r="M12" i="16"/>
  <c r="N12" i="16"/>
  <c r="O12" i="16"/>
  <c r="P12" i="16"/>
  <c r="B11" i="16"/>
  <c r="C11" i="16"/>
  <c r="D11" i="16"/>
  <c r="E11" i="16"/>
  <c r="F11" i="16"/>
  <c r="G11" i="16"/>
  <c r="H11" i="16"/>
  <c r="I11" i="16"/>
  <c r="J11" i="16"/>
  <c r="K11" i="16"/>
  <c r="L11" i="16"/>
  <c r="M11" i="16"/>
  <c r="B10" i="16"/>
  <c r="C10" i="16"/>
  <c r="E10" i="16"/>
  <c r="F10" i="16"/>
  <c r="G10" i="16"/>
  <c r="H10" i="16"/>
  <c r="I10" i="16"/>
  <c r="J10" i="16"/>
  <c r="K10" i="16"/>
  <c r="L10" i="16"/>
  <c r="M10" i="16"/>
  <c r="I9" i="16"/>
  <c r="J9" i="16"/>
  <c r="K9" i="16"/>
  <c r="L9" i="16"/>
  <c r="M9" i="16"/>
  <c r="N9" i="16"/>
  <c r="O9" i="16"/>
  <c r="P9" i="16"/>
  <c r="B8" i="16"/>
  <c r="C8" i="16"/>
  <c r="D8" i="16"/>
  <c r="E8" i="16"/>
  <c r="F8" i="16"/>
  <c r="G8" i="16"/>
  <c r="H8" i="16"/>
  <c r="I8" i="16"/>
  <c r="J8" i="16"/>
  <c r="K8" i="16"/>
  <c r="L8" i="16"/>
  <c r="M8" i="16"/>
  <c r="N8" i="16"/>
  <c r="O8" i="16"/>
  <c r="P8" i="16"/>
  <c r="D7" i="16"/>
  <c r="E7" i="16"/>
  <c r="F7" i="16"/>
  <c r="G7" i="16"/>
  <c r="H7" i="16"/>
  <c r="I7" i="16"/>
  <c r="J7" i="16"/>
  <c r="K7" i="16"/>
  <c r="L7" i="16"/>
  <c r="M7" i="16"/>
  <c r="N7" i="16"/>
  <c r="O7" i="16"/>
  <c r="P7" i="16"/>
  <c r="C6" i="16"/>
  <c r="D6" i="16"/>
  <c r="E6" i="16"/>
  <c r="F6" i="16"/>
  <c r="G6" i="16"/>
  <c r="H6" i="16"/>
  <c r="I6" i="16"/>
  <c r="J6" i="16"/>
  <c r="K6" i="16"/>
  <c r="L6" i="16"/>
  <c r="M6" i="16"/>
  <c r="N6" i="16"/>
  <c r="O6" i="16"/>
  <c r="P6" i="16"/>
  <c r="C5" i="16"/>
  <c r="D5" i="16"/>
  <c r="E5" i="16"/>
  <c r="F5" i="16"/>
  <c r="G5" i="16"/>
  <c r="H5" i="16"/>
  <c r="I5" i="16"/>
  <c r="J5" i="16"/>
  <c r="K5" i="16"/>
  <c r="L5" i="16"/>
  <c r="M5" i="16"/>
  <c r="N5" i="16"/>
  <c r="O5" i="16"/>
  <c r="P5" i="16"/>
  <c r="G59" i="1"/>
  <c r="H68" i="1" s="1"/>
  <c r="G79" i="1"/>
  <c r="G86" i="1"/>
  <c r="G69" i="1"/>
  <c r="H78" i="1" s="1"/>
  <c r="G54" i="9"/>
  <c r="G57" i="9"/>
  <c r="G59" i="9"/>
  <c r="G61" i="9"/>
  <c r="G17" i="9"/>
  <c r="G28" i="9"/>
  <c r="G34" i="9"/>
  <c r="G268" i="2"/>
  <c r="E6" i="1"/>
  <c r="B6" i="16"/>
  <c r="B7" i="16"/>
  <c r="M15" i="16"/>
  <c r="G284" i="2"/>
  <c r="G282" i="2"/>
  <c r="H284" i="2" s="1"/>
  <c r="G17" i="6" s="1"/>
  <c r="G281" i="2"/>
  <c r="G265" i="2"/>
  <c r="G266" i="2"/>
  <c r="G267" i="2"/>
  <c r="G279" i="2"/>
  <c r="H281" i="2" s="1"/>
  <c r="G291" i="2"/>
  <c r="G276" i="2"/>
  <c r="H278" i="2" s="1"/>
  <c r="G15" i="6" s="1"/>
  <c r="G289" i="2"/>
  <c r="H291" i="2" s="1"/>
  <c r="G19" i="6" s="1"/>
  <c r="G220" i="9"/>
  <c r="G221" i="9"/>
  <c r="G275" i="2"/>
  <c r="G288" i="2"/>
  <c r="G273" i="2"/>
  <c r="H275" i="2" s="1"/>
  <c r="G14" i="6" s="1"/>
  <c r="G272" i="2"/>
  <c r="G287" i="2"/>
  <c r="G270" i="2"/>
  <c r="H272" i="2" s="1"/>
  <c r="G13" i="6" s="1"/>
  <c r="G285" i="2"/>
  <c r="H288" i="2" s="1"/>
  <c r="G25" i="6" s="1"/>
  <c r="G298" i="1"/>
  <c r="G81" i="15"/>
  <c r="H82" i="15" s="1"/>
  <c r="G215" i="10"/>
  <c r="G216" i="10"/>
  <c r="G217" i="10"/>
  <c r="G218" i="10"/>
  <c r="G230" i="1"/>
  <c r="G231" i="1"/>
  <c r="G232" i="1"/>
  <c r="G233" i="1"/>
  <c r="G165" i="1"/>
  <c r="H173" i="1" s="1"/>
  <c r="B21" i="6" s="1"/>
  <c r="G145" i="1"/>
  <c r="H155" i="1" s="1"/>
  <c r="B19" i="6" s="1"/>
  <c r="G134" i="1"/>
  <c r="H144" i="1" s="1"/>
  <c r="G123" i="1"/>
  <c r="H133" i="1" s="1"/>
  <c r="B17" i="6" s="1"/>
  <c r="G16" i="8"/>
  <c r="G24" i="8"/>
  <c r="G29" i="8"/>
  <c r="G112" i="1"/>
  <c r="H122" i="1" s="1"/>
  <c r="B16" i="6" s="1"/>
  <c r="G101" i="1"/>
  <c r="G108" i="1"/>
  <c r="G90" i="1"/>
  <c r="H100" i="1" s="1"/>
  <c r="B14" i="6" s="1"/>
  <c r="G45" i="9"/>
  <c r="G48" i="9"/>
  <c r="G49" i="1"/>
  <c r="H58" i="1" s="1"/>
  <c r="G55" i="1"/>
  <c r="G51" i="9"/>
  <c r="H53" i="9" s="1"/>
  <c r="G39" i="1"/>
  <c r="G45" i="1"/>
  <c r="G38" i="9"/>
  <c r="H44" i="9" s="1"/>
  <c r="G29" i="1"/>
  <c r="G35" i="1"/>
  <c r="G34" i="8"/>
  <c r="G42" i="8"/>
  <c r="G45" i="8"/>
  <c r="G6" i="15"/>
  <c r="G16" i="15"/>
  <c r="G6" i="9"/>
  <c r="G13" i="9"/>
  <c r="G15" i="9"/>
  <c r="G6" i="10"/>
  <c r="G8" i="10"/>
  <c r="G12" i="10"/>
  <c r="G15" i="10"/>
  <c r="G15" i="1"/>
  <c r="G20" i="1"/>
  <c r="G23" i="1"/>
  <c r="G6" i="2"/>
  <c r="G11" i="2"/>
  <c r="G15" i="2"/>
  <c r="G6" i="8"/>
  <c r="G11" i="8"/>
  <c r="G6" i="11"/>
  <c r="G7" i="11"/>
  <c r="G156" i="1"/>
  <c r="H164" i="1" s="1"/>
  <c r="B20" i="6" s="1"/>
  <c r="G113" i="15"/>
  <c r="M16" i="16"/>
  <c r="C3" i="1"/>
  <c r="G183" i="1"/>
  <c r="H186" i="1" s="1"/>
  <c r="B23" i="6" s="1"/>
  <c r="G263" i="1"/>
  <c r="G264" i="1"/>
  <c r="G326" i="10"/>
  <c r="H329" i="10" s="1"/>
  <c r="G174" i="1"/>
  <c r="H182" i="1" s="1"/>
  <c r="B22" i="6" s="1"/>
  <c r="G261" i="1"/>
  <c r="G262" i="1"/>
  <c r="G322" i="10"/>
  <c r="G305" i="8"/>
  <c r="H307" i="8" s="1"/>
  <c r="G259" i="1"/>
  <c r="G260" i="1"/>
  <c r="G317" i="10"/>
  <c r="H321" i="10" s="1"/>
  <c r="G257" i="1"/>
  <c r="H258" i="1" s="1"/>
  <c r="E19" i="6" s="1"/>
  <c r="G258" i="1"/>
  <c r="G330" i="10"/>
  <c r="G235" i="1"/>
  <c r="G236" i="1"/>
  <c r="G237" i="1"/>
  <c r="G238" i="1"/>
  <c r="G239" i="1"/>
  <c r="G240" i="1"/>
  <c r="G241" i="1"/>
  <c r="G242" i="1"/>
  <c r="G245" i="1"/>
  <c r="G246" i="1"/>
  <c r="G247" i="1"/>
  <c r="G248" i="1"/>
  <c r="G249" i="1"/>
  <c r="G250" i="1"/>
  <c r="G251" i="1"/>
  <c r="G252" i="1"/>
  <c r="G253" i="1"/>
  <c r="G254" i="1"/>
  <c r="G255" i="1"/>
  <c r="G256" i="1"/>
  <c r="G58" i="14"/>
  <c r="G57" i="14"/>
  <c r="G234" i="1"/>
  <c r="G17" i="11"/>
  <c r="G17" i="14"/>
  <c r="G10" i="14"/>
  <c r="G299" i="1"/>
  <c r="G56" i="14"/>
  <c r="G55" i="14"/>
  <c r="G54" i="14"/>
  <c r="G52" i="14"/>
  <c r="G33" i="14"/>
  <c r="G31" i="14"/>
  <c r="G30" i="14"/>
  <c r="G29" i="14"/>
  <c r="G37" i="14"/>
  <c r="G36" i="14"/>
  <c r="G35" i="14"/>
  <c r="G34" i="14"/>
  <c r="G14" i="14"/>
  <c r="G13" i="14"/>
  <c r="G12" i="14"/>
  <c r="G11" i="14"/>
  <c r="G9" i="14"/>
  <c r="G8" i="14"/>
  <c r="G6" i="14"/>
  <c r="G5" i="14"/>
  <c r="G4" i="14"/>
  <c r="G3" i="14"/>
  <c r="G225" i="1"/>
  <c r="H227" i="1" s="1"/>
  <c r="H228" i="1" s="1"/>
  <c r="D6" i="7" s="1"/>
  <c r="G16" i="11"/>
  <c r="G289" i="1"/>
  <c r="G290" i="1"/>
  <c r="G291" i="1"/>
  <c r="G262" i="2"/>
  <c r="H262" i="2" s="1"/>
  <c r="G215" i="9"/>
  <c r="H215" i="9" s="1"/>
  <c r="G49" i="14"/>
  <c r="G50" i="14"/>
  <c r="G47" i="14"/>
  <c r="G9" i="11"/>
  <c r="G12" i="11"/>
  <c r="H13" i="11" s="1"/>
  <c r="H14" i="11" s="1"/>
  <c r="D13" i="7" s="1"/>
  <c r="G62" i="14"/>
  <c r="G63" i="14"/>
  <c r="G66" i="14"/>
  <c r="G44" i="14"/>
  <c r="G46" i="14"/>
  <c r="G42" i="14"/>
  <c r="G16" i="14"/>
  <c r="G18" i="14"/>
  <c r="G25" i="14"/>
  <c r="G26" i="14"/>
  <c r="G27" i="14"/>
  <c r="G28" i="14"/>
  <c r="G38" i="14"/>
  <c r="G39" i="14"/>
  <c r="G40" i="14"/>
  <c r="G41" i="14"/>
  <c r="G59" i="14"/>
  <c r="G300" i="1"/>
  <c r="H301" i="1" s="1"/>
  <c r="E10" i="11"/>
  <c r="G20" i="14"/>
  <c r="H333" i="10" l="1"/>
  <c r="G28" i="6" s="1"/>
  <c r="H28" i="6" s="1"/>
  <c r="H323" i="8"/>
  <c r="G10" i="7" s="1"/>
  <c r="G18" i="6"/>
  <c r="H9" i="11"/>
  <c r="H10" i="11" s="1"/>
  <c r="B13" i="7" s="1"/>
  <c r="H83" i="15"/>
  <c r="D12" i="7" s="1"/>
  <c r="D7" i="6"/>
  <c r="H221" i="9"/>
  <c r="H226" i="9" s="1"/>
  <c r="G11" i="7" s="1"/>
  <c r="G16" i="6"/>
  <c r="E4" i="22"/>
  <c r="G8" i="22" s="1"/>
  <c r="G130" i="22" s="1"/>
  <c r="H17" i="11"/>
  <c r="H18" i="11" s="1"/>
  <c r="E13" i="7" s="1"/>
  <c r="H256" i="1"/>
  <c r="E18" i="6" s="1"/>
  <c r="H254" i="1"/>
  <c r="E17" i="6" s="1"/>
  <c r="H252" i="1"/>
  <c r="E16" i="6" s="1"/>
  <c r="H250" i="1"/>
  <c r="E15" i="6" s="1"/>
  <c r="H248" i="1"/>
  <c r="E14" i="6" s="1"/>
  <c r="H246" i="1"/>
  <c r="E13" i="6" s="1"/>
  <c r="H242" i="1"/>
  <c r="E11" i="6" s="1"/>
  <c r="H240" i="1"/>
  <c r="E10" i="6" s="1"/>
  <c r="H238" i="1"/>
  <c r="E9" i="6" s="1"/>
  <c r="H236" i="1"/>
  <c r="E8" i="6" s="1"/>
  <c r="G10" i="6"/>
  <c r="H260" i="1"/>
  <c r="E20" i="6" s="1"/>
  <c r="H325" i="10"/>
  <c r="G32" i="6" s="1"/>
  <c r="H32" i="6" s="1"/>
  <c r="H262" i="1"/>
  <c r="E21" i="6" s="1"/>
  <c r="H264" i="1"/>
  <c r="E22" i="6" s="1"/>
  <c r="H234" i="1"/>
  <c r="H218" i="10"/>
  <c r="H302" i="10" s="1"/>
  <c r="E8" i="7" s="1"/>
  <c r="H299" i="1"/>
  <c r="H269" i="2"/>
  <c r="H295" i="2" s="1"/>
  <c r="G7" i="7" s="1"/>
  <c r="H15" i="8"/>
  <c r="H38" i="1"/>
  <c r="H50" i="9"/>
  <c r="H16" i="2"/>
  <c r="H172" i="2" s="1"/>
  <c r="B7" i="7" s="1"/>
  <c r="H16" i="9"/>
  <c r="H20" i="15"/>
  <c r="H79" i="15" s="1"/>
  <c r="B12" i="7" s="1"/>
  <c r="H48" i="1"/>
  <c r="B9" i="6" s="1"/>
  <c r="H111" i="1"/>
  <c r="B15" i="6" s="1"/>
  <c r="H33" i="8"/>
  <c r="B18" i="6" s="1"/>
  <c r="H89" i="1"/>
  <c r="B13" i="6" s="1"/>
  <c r="H16" i="10"/>
  <c r="H50" i="8"/>
  <c r="H211" i="8" s="1"/>
  <c r="B10" i="7" s="1"/>
  <c r="H37" i="9"/>
  <c r="B12" i="6" s="1"/>
  <c r="H62" i="9"/>
  <c r="D14" i="7"/>
  <c r="H25" i="6"/>
  <c r="H114" i="15"/>
  <c r="F12" i="7" s="1"/>
  <c r="H113" i="15"/>
  <c r="H291" i="1"/>
  <c r="H292" i="1" s="1"/>
  <c r="F6" i="7" s="1"/>
  <c r="C20" i="6"/>
  <c r="H4" i="22"/>
  <c r="C22" i="6"/>
  <c r="C23" i="6"/>
  <c r="H23" i="6" s="1"/>
  <c r="Q11" i="16"/>
  <c r="Q16" i="16"/>
  <c r="F4" i="22"/>
  <c r="J33" i="16"/>
  <c r="F33" i="16"/>
  <c r="Q21" i="16"/>
  <c r="Q30" i="16"/>
  <c r="Q29" i="16"/>
  <c r="Q6" i="16"/>
  <c r="Q7" i="16"/>
  <c r="C33" i="16"/>
  <c r="H33" i="16"/>
  <c r="Q8" i="16"/>
  <c r="G33" i="16"/>
  <c r="Q10" i="16"/>
  <c r="Q13" i="16"/>
  <c r="Q26" i="16"/>
  <c r="Q27" i="16"/>
  <c r="O33" i="16"/>
  <c r="Q12" i="16"/>
  <c r="Q15" i="16"/>
  <c r="Q9" i="16"/>
  <c r="K33" i="16"/>
  <c r="Q14" i="16"/>
  <c r="N33" i="16"/>
  <c r="Q17" i="16"/>
  <c r="Q18" i="16"/>
  <c r="Q19" i="16"/>
  <c r="Q20" i="16"/>
  <c r="Q22" i="16"/>
  <c r="Q23" i="16"/>
  <c r="Q24" i="16"/>
  <c r="Q25" i="16"/>
  <c r="P33" i="16"/>
  <c r="M33" i="16"/>
  <c r="I33" i="16"/>
  <c r="E33" i="16"/>
  <c r="L33" i="16"/>
  <c r="D33" i="16"/>
  <c r="M32" i="6" l="1"/>
  <c r="L32" i="6"/>
  <c r="P32" i="6"/>
  <c r="J32" i="6"/>
  <c r="R28" i="6"/>
  <c r="L28" i="6"/>
  <c r="J28" i="6"/>
  <c r="M28" i="6"/>
  <c r="G11" i="6"/>
  <c r="H304" i="1"/>
  <c r="G6" i="7" s="1"/>
  <c r="G7" i="6"/>
  <c r="H287" i="1"/>
  <c r="E6" i="7" s="1"/>
  <c r="E7" i="6"/>
  <c r="H334" i="10"/>
  <c r="G8" i="7" s="1"/>
  <c r="B8" i="6"/>
  <c r="H146" i="9"/>
  <c r="B11" i="7" s="1"/>
  <c r="R32" i="6"/>
  <c r="S32" i="6" s="1"/>
  <c r="E14" i="7"/>
  <c r="E37" i="6"/>
  <c r="S28" i="6"/>
  <c r="N12" i="6"/>
  <c r="G37" i="6"/>
  <c r="C9" i="6"/>
  <c r="I8" i="22"/>
  <c r="I130" i="22" s="1"/>
  <c r="F14" i="7"/>
  <c r="P23" i="6"/>
  <c r="R23" i="6" s="1"/>
  <c r="P25" i="6"/>
  <c r="R25" i="6" s="1"/>
  <c r="H31" i="6"/>
  <c r="D37" i="6"/>
  <c r="J25" i="6"/>
  <c r="L25" i="6"/>
  <c r="J23" i="6"/>
  <c r="L23" i="6"/>
  <c r="H22" i="6"/>
  <c r="C12" i="6"/>
  <c r="C18" i="6"/>
  <c r="C13" i="6"/>
  <c r="C19" i="6"/>
  <c r="C17" i="6"/>
  <c r="C15" i="6"/>
  <c r="C16" i="6"/>
  <c r="C21" i="6"/>
  <c r="C14" i="6"/>
  <c r="G14" i="7" l="1"/>
  <c r="G16" i="7" s="1"/>
  <c r="S25" i="6"/>
  <c r="S23" i="6"/>
  <c r="M31" i="6"/>
  <c r="R31" i="6"/>
  <c r="P31" i="6"/>
  <c r="J31" i="6"/>
  <c r="L31" i="6"/>
  <c r="P22" i="6"/>
  <c r="R22" i="6" s="1"/>
  <c r="J22" i="6"/>
  <c r="L22" i="6"/>
  <c r="H28" i="11"/>
  <c r="H27" i="11"/>
  <c r="H228" i="9"/>
  <c r="H296" i="2"/>
  <c r="H153" i="15"/>
  <c r="C7" i="7"/>
  <c r="C12" i="7"/>
  <c r="H12" i="7" s="1"/>
  <c r="H152" i="15"/>
  <c r="C11" i="7"/>
  <c r="H227" i="9"/>
  <c r="C10" i="7"/>
  <c r="H324" i="8"/>
  <c r="H325" i="8"/>
  <c r="H297" i="2"/>
  <c r="C8" i="6"/>
  <c r="C13" i="7"/>
  <c r="H13" i="7" s="1"/>
  <c r="S31" i="6" l="1"/>
  <c r="S22" i="6"/>
  <c r="H29" i="11"/>
  <c r="H229" i="9"/>
  <c r="H298" i="2"/>
  <c r="H154" i="15"/>
  <c r="H327" i="8"/>
  <c r="H8" i="6" l="1"/>
  <c r="O8" i="6" l="1"/>
  <c r="R8" i="6"/>
  <c r="L8" i="6"/>
  <c r="J8" i="6"/>
  <c r="H9" i="6"/>
  <c r="R9" i="6" s="1"/>
  <c r="Q8" i="6" l="1"/>
  <c r="J9" i="6"/>
  <c r="L9" i="6"/>
  <c r="H12" i="6"/>
  <c r="R12" i="6" s="1"/>
  <c r="S8" i="6" l="1"/>
  <c r="S9" i="6"/>
  <c r="L12" i="6"/>
  <c r="J12" i="6"/>
  <c r="H13" i="6"/>
  <c r="N13" i="6" l="1"/>
  <c r="Q12" i="6"/>
  <c r="L13" i="6"/>
  <c r="J13" i="6"/>
  <c r="H14" i="6"/>
  <c r="O12" i="6" l="1"/>
  <c r="S12" i="6" s="1"/>
  <c r="P13" i="6"/>
  <c r="M14" i="6"/>
  <c r="P14" i="6"/>
  <c r="R14" i="6" s="1"/>
  <c r="L14" i="6"/>
  <c r="J14" i="6"/>
  <c r="H15" i="6"/>
  <c r="N15" i="6" s="1"/>
  <c r="R13" i="6" l="1"/>
  <c r="Q13" i="6" s="1"/>
  <c r="S14" i="6"/>
  <c r="O13" i="6"/>
  <c r="L15" i="6"/>
  <c r="J15" i="6"/>
  <c r="H16" i="6"/>
  <c r="N16" i="6" s="1"/>
  <c r="S13" i="6" l="1"/>
  <c r="P15" i="6"/>
  <c r="O15" i="6" s="1"/>
  <c r="J16" i="6"/>
  <c r="L16" i="6"/>
  <c r="H17" i="6"/>
  <c r="N17" i="6" s="1"/>
  <c r="R15" i="6" l="1"/>
  <c r="S15" i="6" s="1"/>
  <c r="P16" i="6"/>
  <c r="L17" i="6"/>
  <c r="J17" i="6"/>
  <c r="H18" i="6"/>
  <c r="N18" i="6" s="1"/>
  <c r="Q15" i="6" l="1"/>
  <c r="P17" i="6"/>
  <c r="O16" i="6"/>
  <c r="R16" i="6"/>
  <c r="Q16" i="6" s="1"/>
  <c r="J18" i="6"/>
  <c r="L18" i="6"/>
  <c r="H19" i="6"/>
  <c r="P18" i="6" l="1"/>
  <c r="O18" i="6" s="1"/>
  <c r="O17" i="6"/>
  <c r="R17" i="6"/>
  <c r="S16" i="6"/>
  <c r="J19" i="6"/>
  <c r="P19" i="6" s="1"/>
  <c r="R19" i="6" s="1"/>
  <c r="Q19" i="6" s="1"/>
  <c r="L19" i="6"/>
  <c r="H20" i="6"/>
  <c r="R20" i="6" s="1"/>
  <c r="O19" i="6" l="1"/>
  <c r="S19" i="6"/>
  <c r="R18" i="6"/>
  <c r="Q18" i="6" s="1"/>
  <c r="S17" i="6"/>
  <c r="Q17" i="6"/>
  <c r="L20" i="6"/>
  <c r="J20" i="6"/>
  <c r="H21" i="6"/>
  <c r="S20" i="6" l="1"/>
  <c r="S18" i="6"/>
  <c r="M21" i="6"/>
  <c r="P21" i="6"/>
  <c r="R21" i="6" s="1"/>
  <c r="L21" i="6"/>
  <c r="J21" i="6"/>
  <c r="H7" i="7"/>
  <c r="H10" i="7"/>
  <c r="H11" i="7"/>
  <c r="S21" i="6" l="1"/>
  <c r="E16" i="7"/>
  <c r="B5" i="16"/>
  <c r="B33" i="16" s="1"/>
  <c r="G6" i="1"/>
  <c r="H28" i="1" s="1"/>
  <c r="H223" i="1" l="1"/>
  <c r="B6" i="7" s="1"/>
  <c r="B7" i="6"/>
  <c r="C7" i="6" s="1"/>
  <c r="Q5" i="16"/>
  <c r="Q33" i="16" s="1"/>
  <c r="H306" i="1" l="1"/>
  <c r="H305" i="1"/>
  <c r="H7" i="6"/>
  <c r="R7" i="6" s="1"/>
  <c r="J7" i="6" l="1"/>
  <c r="L7" i="6"/>
  <c r="H308" i="1"/>
  <c r="C6" i="7"/>
  <c r="H6" i="7" l="1"/>
  <c r="G46" i="10"/>
  <c r="G40" i="10"/>
  <c r="N14" i="16"/>
  <c r="N15" i="16"/>
  <c r="H55" i="10" l="1"/>
  <c r="H210" i="10" s="1"/>
  <c r="B8" i="7" s="1"/>
  <c r="G38" i="18"/>
  <c r="H44" i="18" s="1"/>
  <c r="B10" i="6" l="1"/>
  <c r="C10" i="6" s="1"/>
  <c r="H171" i="18"/>
  <c r="B9" i="7" s="1"/>
  <c r="B14" i="7" s="1"/>
  <c r="B11" i="6"/>
  <c r="B37" i="6" s="1"/>
  <c r="H10" i="6"/>
  <c r="H335" i="10"/>
  <c r="H336" i="10"/>
  <c r="C8" i="7"/>
  <c r="H8" i="7" s="1"/>
  <c r="H337" i="10" l="1"/>
  <c r="L10" i="6"/>
  <c r="P10" i="6"/>
  <c r="R10" i="6" s="1"/>
  <c r="S10" i="6" s="1"/>
  <c r="J10" i="6"/>
  <c r="C11" i="6"/>
  <c r="C37" i="6" s="1"/>
  <c r="H37" i="6" s="1"/>
  <c r="H288" i="18"/>
  <c r="H287" i="18"/>
  <c r="C9" i="7"/>
  <c r="C14" i="7" s="1"/>
  <c r="H14" i="7" s="1"/>
  <c r="N7" i="6" l="1"/>
  <c r="H289" i="18"/>
  <c r="H11" i="6"/>
  <c r="R11" i="6" s="1"/>
  <c r="H9" i="7"/>
  <c r="H15" i="7" s="1"/>
  <c r="R37" i="6" l="1"/>
  <c r="J11" i="6"/>
  <c r="J37" i="6" s="1"/>
  <c r="L11" i="6"/>
  <c r="L37" i="6" s="1"/>
  <c r="S11" i="6" l="1"/>
  <c r="Q7" i="6"/>
  <c r="L40" i="6"/>
  <c r="O7" i="6" l="1"/>
  <c r="P37" i="6"/>
  <c r="P40" i="6" s="1"/>
  <c r="S7" i="6"/>
</calcChain>
</file>

<file path=xl/sharedStrings.xml><?xml version="1.0" encoding="utf-8"?>
<sst xmlns="http://schemas.openxmlformats.org/spreadsheetml/2006/main" count="4787" uniqueCount="1016">
  <si>
    <t>Partner</t>
  </si>
  <si>
    <t>Position</t>
  </si>
  <si>
    <t>Note</t>
  </si>
  <si>
    <t>Unit</t>
  </si>
  <si>
    <t>Amount</t>
  </si>
  <si>
    <t>total €</t>
  </si>
  <si>
    <t>subtotal/partner</t>
  </si>
  <si>
    <t>€/Unit</t>
  </si>
  <si>
    <t>Sub-total Labour/Staff</t>
  </si>
  <si>
    <t>Sub-total Travel</t>
  </si>
  <si>
    <t>Sub-total Equipment</t>
  </si>
  <si>
    <t>Total Action Costs</t>
  </si>
  <si>
    <t>Summary 1</t>
  </si>
  <si>
    <t>sub-total all Actions' costs</t>
  </si>
  <si>
    <t>contract</t>
  </si>
  <si>
    <t>lump sum</t>
  </si>
  <si>
    <t>flight</t>
  </si>
  <si>
    <t>hour</t>
  </si>
  <si>
    <t>Action</t>
  </si>
  <si>
    <t>Travel</t>
  </si>
  <si>
    <t>Equipment</t>
  </si>
  <si>
    <t>Sub-total</t>
  </si>
  <si>
    <t>WP1 project management</t>
  </si>
  <si>
    <t>1 Labour/Staff</t>
  </si>
  <si>
    <t>2 Sub-contracting/Services</t>
  </si>
  <si>
    <t>3 Travel and Subsistance allowance for staff</t>
  </si>
  <si>
    <t>Hotel X</t>
  </si>
  <si>
    <t>4 Equipment</t>
  </si>
  <si>
    <t>salary calculation by partner</t>
  </si>
  <si>
    <t>Person</t>
  </si>
  <si>
    <t>total annual employment cost</t>
  </si>
  <si>
    <t>hour (8 hrs/day)</t>
  </si>
  <si>
    <t>PM</t>
  </si>
  <si>
    <t>hours rounded</t>
  </si>
  <si>
    <t>amount hrs</t>
  </si>
  <si>
    <t>costs position</t>
  </si>
  <si>
    <t>per day</t>
  </si>
  <si>
    <t>n.a.</t>
  </si>
  <si>
    <t>per event</t>
  </si>
  <si>
    <t>audit</t>
  </si>
  <si>
    <t>1. Management</t>
  </si>
  <si>
    <t>Personnel</t>
  </si>
  <si>
    <t>Sub-contracting</t>
  </si>
  <si>
    <t xml:space="preserve">Other costs </t>
  </si>
  <si>
    <t>Action costs by budget positions</t>
  </si>
  <si>
    <t>visit to IEE Common events</t>
  </si>
  <si>
    <t>update of IEE web with files</t>
  </si>
  <si>
    <t>BEF DE</t>
  </si>
  <si>
    <t>Germany</t>
  </si>
  <si>
    <t>event</t>
  </si>
  <si>
    <t>1 internat seminar</t>
  </si>
  <si>
    <t>P2</t>
  </si>
  <si>
    <t>P3</t>
  </si>
  <si>
    <t>P4</t>
  </si>
  <si>
    <t>P5</t>
  </si>
  <si>
    <t>P6</t>
  </si>
  <si>
    <t>P7</t>
  </si>
  <si>
    <t>P8</t>
  </si>
  <si>
    <t>P9</t>
  </si>
  <si>
    <t>printing costs</t>
  </si>
  <si>
    <t>P11</t>
  </si>
  <si>
    <t>speakers</t>
  </si>
  <si>
    <t>P12</t>
  </si>
  <si>
    <t>CO</t>
  </si>
  <si>
    <t>P10</t>
  </si>
  <si>
    <t>P13</t>
  </si>
  <si>
    <t>BEF EE</t>
  </si>
  <si>
    <t>P14</t>
  </si>
  <si>
    <t>from Tallinn</t>
  </si>
  <si>
    <t>from Vilnius</t>
  </si>
  <si>
    <t>from Bratislava</t>
  </si>
  <si>
    <t>from Zagreb</t>
  </si>
  <si>
    <t>from Riga</t>
  </si>
  <si>
    <t>train</t>
  </si>
  <si>
    <t>Sub-total Services</t>
  </si>
  <si>
    <t>total</t>
  </si>
  <si>
    <t>5 Other specific costs</t>
  </si>
  <si>
    <t>60% of personnel</t>
  </si>
  <si>
    <t xml:space="preserve">Overheads </t>
  </si>
  <si>
    <t>and/or 3rd party</t>
  </si>
  <si>
    <t>Total WP</t>
  </si>
  <si>
    <t>Total/partner</t>
  </si>
  <si>
    <t>60% of personnel costs</t>
  </si>
  <si>
    <t>Sub Total Action Costs</t>
  </si>
  <si>
    <t>6 Overheads</t>
  </si>
  <si>
    <t>Total Action Costs WP 8</t>
  </si>
  <si>
    <t>seminar venue, equipment</t>
  </si>
  <si>
    <t>6. Overheads</t>
  </si>
  <si>
    <t>Total Action Costs WP1</t>
  </si>
  <si>
    <t xml:space="preserve">average subsistance for visits </t>
  </si>
  <si>
    <t>subsistance</t>
  </si>
  <si>
    <t>Total Action Costs WP7</t>
  </si>
  <si>
    <t xml:space="preserve">Other sp.costs </t>
  </si>
  <si>
    <t>subsistance Brussels</t>
  </si>
  <si>
    <t>venue, equipment, catering/refreshments, training materials</t>
  </si>
  <si>
    <t>from Budapest</t>
  </si>
  <si>
    <t>local travel</t>
  </si>
  <si>
    <t>seminar venue, sem. Materials,</t>
  </si>
  <si>
    <t>Heidrun Fammler</t>
  </si>
  <si>
    <t>Sandra Oisalu</t>
  </si>
  <si>
    <t>Matthias Graetz</t>
  </si>
  <si>
    <t>Summary 2</t>
  </si>
  <si>
    <t>Budget by partner and by budget positions</t>
  </si>
  <si>
    <t>WP8: Common dissemination activities</t>
  </si>
  <si>
    <t>flat rate organisational overheads as 60% of the personnel costs except Riga EA</t>
  </si>
  <si>
    <t>ISOE</t>
  </si>
  <si>
    <t>Jutta Deffner</t>
  </si>
  <si>
    <t>CO BEF DE</t>
  </si>
  <si>
    <t>local travel in DE</t>
  </si>
  <si>
    <t>speaker</t>
  </si>
  <si>
    <t>P15</t>
  </si>
  <si>
    <t>partners meeting</t>
  </si>
  <si>
    <t>from Hamburg 3 persons</t>
  </si>
  <si>
    <t>from Hamburg 1 pers</t>
  </si>
  <si>
    <t>partner meeting</t>
  </si>
  <si>
    <t>train/flight</t>
  </si>
  <si>
    <t>location 1</t>
  </si>
  <si>
    <t>location 2</t>
  </si>
  <si>
    <t>own financing</t>
  </si>
  <si>
    <t>Internet contract</t>
  </si>
  <si>
    <t>web site design, programming and storage place</t>
  </si>
  <si>
    <t>5 contracts: honorary &amp; travel costs</t>
  </si>
  <si>
    <t>flat rate organisational overheads as 60% of the personnel costs</t>
  </si>
  <si>
    <t>Tasks in this work package (Project supervisor)</t>
  </si>
  <si>
    <t>Tasks in this work package (WP lead)</t>
  </si>
  <si>
    <t>flat rate organisational overheads as 60% of the personnel</t>
  </si>
  <si>
    <t>Task 3: Delivery, upon request by the EACI, of an update/further input of the project's contribution to the IEE Common performance indicators</t>
  </si>
  <si>
    <t>participation in IEE events and liaise with other IEE projects  (work time including these tasks and task 3 below)</t>
  </si>
  <si>
    <t>WP1</t>
  </si>
  <si>
    <t>WP2</t>
  </si>
  <si>
    <t>WP3</t>
  </si>
  <si>
    <t>WP4</t>
  </si>
  <si>
    <t>WP5</t>
  </si>
  <si>
    <t>WP6</t>
  </si>
  <si>
    <t>WP7</t>
  </si>
  <si>
    <t>Task 1</t>
  </si>
  <si>
    <t>Task 2</t>
  </si>
  <si>
    <t>Task 3</t>
  </si>
  <si>
    <t>Task 4</t>
  </si>
  <si>
    <t>Task 5</t>
  </si>
  <si>
    <t>Σ</t>
  </si>
  <si>
    <t>Summary 3</t>
  </si>
  <si>
    <t>2 partners meetings</t>
  </si>
  <si>
    <t>PlanZEN</t>
  </si>
  <si>
    <t>WP2: PlanZEN concept</t>
  </si>
  <si>
    <t>WP6: Evaluation</t>
  </si>
  <si>
    <t>WP7: Visibility</t>
  </si>
  <si>
    <t>WP3: training programme</t>
  </si>
  <si>
    <t>insert  partners</t>
  </si>
  <si>
    <t>insert partners: total 30</t>
  </si>
  <si>
    <t>Project Manager</t>
  </si>
  <si>
    <t>P2 coordinator</t>
  </si>
  <si>
    <t>P2 senior expert</t>
  </si>
  <si>
    <t>P2 expert</t>
  </si>
  <si>
    <t>P2 junior expert</t>
  </si>
  <si>
    <t>CO Senior Expert</t>
  </si>
  <si>
    <t>CO Supervisor</t>
  </si>
  <si>
    <t>Name</t>
  </si>
  <si>
    <t>Melanie Nonn</t>
  </si>
  <si>
    <t>CO Financial manager</t>
  </si>
  <si>
    <t>CO Junior expert</t>
  </si>
  <si>
    <t>Julia Peleikis</t>
  </si>
  <si>
    <t>Jutta Honschemeyer</t>
  </si>
  <si>
    <t>P16</t>
  </si>
  <si>
    <t>P17</t>
  </si>
  <si>
    <t>P18</t>
  </si>
  <si>
    <t>P19</t>
  </si>
  <si>
    <t>P20</t>
  </si>
  <si>
    <t>P21</t>
  </si>
  <si>
    <t>P22</t>
  </si>
  <si>
    <t>P23</t>
  </si>
  <si>
    <t>P24</t>
  </si>
  <si>
    <t>P25</t>
  </si>
  <si>
    <t>P26</t>
  </si>
  <si>
    <t>P27</t>
  </si>
  <si>
    <t>Auraplan</t>
  </si>
  <si>
    <t>IWO</t>
  </si>
  <si>
    <t>HCU</t>
  </si>
  <si>
    <t>Christiane von Knorre</t>
  </si>
  <si>
    <t>Rose Scharnowski</t>
  </si>
  <si>
    <t>Kristina Peselyte</t>
  </si>
  <si>
    <t>Knut Holler</t>
  </si>
  <si>
    <t>Britta Schmigotzki</t>
  </si>
  <si>
    <t>P3 coordinator</t>
  </si>
  <si>
    <t>P3 senior expert</t>
  </si>
  <si>
    <t>P3 expert</t>
  </si>
  <si>
    <t>P3 junior expert</t>
  </si>
  <si>
    <t>P4 coordinator</t>
  </si>
  <si>
    <t>P4 junior expert</t>
  </si>
  <si>
    <t>P5 coordinator</t>
  </si>
  <si>
    <t>Laura Remmelgas</t>
  </si>
  <si>
    <t>MarjenVosuhalg</t>
  </si>
  <si>
    <t>Kalle Pungas</t>
  </si>
  <si>
    <t>Saue EE</t>
  </si>
  <si>
    <t>BEF LT</t>
  </si>
  <si>
    <t>Gintare Jonuskaite</t>
  </si>
  <si>
    <t>Kestutis Navickas</t>
  </si>
  <si>
    <t>CitEnergo SK</t>
  </si>
  <si>
    <t>DOOR HR</t>
  </si>
  <si>
    <t>Radvile Kutorgaite</t>
  </si>
  <si>
    <t>Work package sections</t>
  </si>
  <si>
    <t>WP Count</t>
  </si>
  <si>
    <t>Partners</t>
  </si>
  <si>
    <t>P2 Auraplan</t>
  </si>
  <si>
    <t>P3 IWO</t>
  </si>
  <si>
    <t>Partner 30</t>
  </si>
  <si>
    <t>P30 Partner 30</t>
  </si>
  <si>
    <t>Summary 4: hours per person</t>
  </si>
  <si>
    <t>2. PlanZEN concept</t>
  </si>
  <si>
    <t>7. Visibility</t>
  </si>
  <si>
    <t>8. Common dissemin.</t>
  </si>
  <si>
    <t>Sub-total other costs</t>
  </si>
  <si>
    <t>Sub-total Other specific Costs</t>
  </si>
  <si>
    <t>P7 coordinator</t>
  </si>
  <si>
    <t>P7 senior expert</t>
  </si>
  <si>
    <t>P7 expert</t>
  </si>
  <si>
    <t>P7 junior expert</t>
  </si>
  <si>
    <t>P6 coordinator</t>
  </si>
  <si>
    <t>P6 senior expert</t>
  </si>
  <si>
    <t>P6 expert</t>
  </si>
  <si>
    <t>P6 junior expert</t>
  </si>
  <si>
    <t>P8 coordinator</t>
  </si>
  <si>
    <t>P8 senior expert</t>
  </si>
  <si>
    <t>P8 expert</t>
  </si>
  <si>
    <t>P8 junior expert</t>
  </si>
  <si>
    <t>P9 coordinator</t>
  </si>
  <si>
    <t>P9 senior expert</t>
  </si>
  <si>
    <t>P9 expert</t>
  </si>
  <si>
    <t>P9 junior expert</t>
  </si>
  <si>
    <t>P10 coordinator</t>
  </si>
  <si>
    <t>P10 senior expert</t>
  </si>
  <si>
    <t>P10 junior expert</t>
  </si>
  <si>
    <t>P11 coordinator</t>
  </si>
  <si>
    <t>P11 senior expert</t>
  </si>
  <si>
    <t>P11 expert</t>
  </si>
  <si>
    <t>P11 junior expert</t>
  </si>
  <si>
    <t>P13 coordinator</t>
  </si>
  <si>
    <t>P13 senior expert</t>
  </si>
  <si>
    <t>P13 expert</t>
  </si>
  <si>
    <t>P13 junior expert</t>
  </si>
  <si>
    <t>P12 coordinator</t>
  </si>
  <si>
    <t>P12 senior expert</t>
  </si>
  <si>
    <t>P12 expert</t>
  </si>
  <si>
    <t>P12 junior expert</t>
  </si>
  <si>
    <t>P14 coordinator</t>
  </si>
  <si>
    <t>P14 senior expert</t>
  </si>
  <si>
    <t>P14 expert</t>
  </si>
  <si>
    <t>P14 junior expert</t>
  </si>
  <si>
    <t>P15 coordinator</t>
  </si>
  <si>
    <t>P15 senior expert</t>
  </si>
  <si>
    <t>P15 expert</t>
  </si>
  <si>
    <t>P15 junior expert</t>
  </si>
  <si>
    <t>P16 coordinator</t>
  </si>
  <si>
    <t>P16 senior expert</t>
  </si>
  <si>
    <t>P16 junior expert</t>
  </si>
  <si>
    <t>P17 coordinator</t>
  </si>
  <si>
    <t>P17 expert</t>
  </si>
  <si>
    <t>P18 coordinator</t>
  </si>
  <si>
    <t>P18 senior expert</t>
  </si>
  <si>
    <t>P19 coordinator</t>
  </si>
  <si>
    <t>P19 senior expert</t>
  </si>
  <si>
    <t>P19 expert</t>
  </si>
  <si>
    <t>P19 junior expert</t>
  </si>
  <si>
    <t>P20 coordinator</t>
  </si>
  <si>
    <t>P20 senior expert</t>
  </si>
  <si>
    <t>P20 expert</t>
  </si>
  <si>
    <t>P20 junior expert</t>
  </si>
  <si>
    <t>P21 coordinator</t>
  </si>
  <si>
    <t>P21 senior expert</t>
  </si>
  <si>
    <t>P21 expert</t>
  </si>
  <si>
    <t>P21 junior expert</t>
  </si>
  <si>
    <t>P22 coordinator</t>
  </si>
  <si>
    <t>P22 senior expert</t>
  </si>
  <si>
    <t>P22 expert</t>
  </si>
  <si>
    <t>P22 junior expert</t>
  </si>
  <si>
    <t>P23 coordinator</t>
  </si>
  <si>
    <t>P23 senior expert</t>
  </si>
  <si>
    <t>P23 expert</t>
  </si>
  <si>
    <t>P23 junior expert</t>
  </si>
  <si>
    <t>P24 coordinator</t>
  </si>
  <si>
    <t>P24 senior expert</t>
  </si>
  <si>
    <t>P24 expert</t>
  </si>
  <si>
    <t>P24 junior expert</t>
  </si>
  <si>
    <t>P25 coordinator</t>
  </si>
  <si>
    <t>P25 senior expert</t>
  </si>
  <si>
    <t>P25 expert</t>
  </si>
  <si>
    <t>P25 junior expert</t>
  </si>
  <si>
    <t>P26 coordinator</t>
  </si>
  <si>
    <t>P26 senior expert</t>
  </si>
  <si>
    <t>P26 expert</t>
  </si>
  <si>
    <t>P26 junior expert</t>
  </si>
  <si>
    <t>P27 coordinator</t>
  </si>
  <si>
    <t>P27 senior expert</t>
  </si>
  <si>
    <t>P27 expert</t>
  </si>
  <si>
    <t>P27 junior expert</t>
  </si>
  <si>
    <t>P28 coordinator</t>
  </si>
  <si>
    <t>P28 senior expert</t>
  </si>
  <si>
    <t>P28 expert</t>
  </si>
  <si>
    <t>P28 junior expert</t>
  </si>
  <si>
    <t>P29 coordinator</t>
  </si>
  <si>
    <t>P29 senior expert</t>
  </si>
  <si>
    <t>P29 expert</t>
  </si>
  <si>
    <t>P29 junior expert</t>
  </si>
  <si>
    <t>P30 coordinator</t>
  </si>
  <si>
    <t>P30 senior expert</t>
  </si>
  <si>
    <t>P30 expert</t>
  </si>
  <si>
    <t>P30 junior expert</t>
  </si>
  <si>
    <t>OIR</t>
  </si>
  <si>
    <t>P4 HCU</t>
  </si>
  <si>
    <t>P5 OIR</t>
  </si>
  <si>
    <t>P6 ISOE</t>
  </si>
  <si>
    <t>P7 BEF EE</t>
  </si>
  <si>
    <t>man day (220 days/a)</t>
  </si>
  <si>
    <t>Tatjana Hartenstein</t>
  </si>
  <si>
    <t>P5 expert energy</t>
  </si>
  <si>
    <t>P5 senior expert planning</t>
  </si>
  <si>
    <t>P5 expert transport</t>
  </si>
  <si>
    <t>Ursula Mollay</t>
  </si>
  <si>
    <t>Wolfgang Neugebauer</t>
  </si>
  <si>
    <t>Christof Schremmer</t>
  </si>
  <si>
    <t>Liselotte Hoffstaetter</t>
  </si>
  <si>
    <t>Immanuel Stiess</t>
  </si>
  <si>
    <t>Kai Klein</t>
  </si>
  <si>
    <t>Lea Vedder</t>
  </si>
  <si>
    <t>Tasks in this work package</t>
  </si>
  <si>
    <t>man hours</t>
  </si>
  <si>
    <t>man days/ person</t>
  </si>
  <si>
    <t>participation in WP2 conference in Vienna</t>
  </si>
  <si>
    <t>preparation and participation in Vienna conference</t>
  </si>
  <si>
    <t xml:space="preserve">Tasks in this work package </t>
  </si>
  <si>
    <t>background research and editing of paper, web version</t>
  </si>
  <si>
    <t>concept development on ZEN and synergies with other WPs</t>
  </si>
  <si>
    <t>Chairing conference in Vienna (and prep)</t>
  </si>
  <si>
    <t>selection of web designer, contracting</t>
  </si>
  <si>
    <t xml:space="preserve"> </t>
  </si>
  <si>
    <t xml:space="preserve"> Project leaflet: text and local language version</t>
  </si>
  <si>
    <t>Media work - press releases</t>
  </si>
  <si>
    <t>Tasks in this work package (WP7 lead)</t>
  </si>
  <si>
    <t>Coordinating design of logo and template / distribution and introduction of use for project consortium</t>
  </si>
  <si>
    <t>regular partner communication for their web sites 1 day/month</t>
  </si>
  <si>
    <t>development of project web site - concept and designer choice</t>
  </si>
  <si>
    <t>leading the WP - development of concept, preparation of presentations and information for partners at partner meetings, partner communication 1 days/month</t>
  </si>
  <si>
    <t>per cent  of full time in project (660 days * 8 = 5280 hrs)</t>
  </si>
  <si>
    <t>Final report</t>
  </si>
  <si>
    <t>Interrim report</t>
  </si>
  <si>
    <t>Communication with partners on project progress (40 hrs/month)</t>
  </si>
  <si>
    <t>Interrim report - financial information from partners and own</t>
  </si>
  <si>
    <t>Final report - financial information from partners and own</t>
  </si>
  <si>
    <t>Inception report</t>
  </si>
  <si>
    <t>Advice to project management and check project progress and objectives</t>
  </si>
  <si>
    <t>Monitoring and indicators</t>
  </si>
  <si>
    <t>Contributing to monitoring</t>
  </si>
  <si>
    <t>Project set up: Contracting</t>
  </si>
  <si>
    <t>contribution to technical project reports (2 reports)</t>
  </si>
  <si>
    <t>Communicationwith PM on financial and managament issues, accounting training</t>
  </si>
  <si>
    <t>Compilation of interrim and final report incl. Annexes, documentation, filing, copying, 2x8 h</t>
  </si>
  <si>
    <t>bankaudit of expenditures of CO</t>
  </si>
  <si>
    <t>for 45-50 participants x 2.5 days</t>
  </si>
  <si>
    <t>for 15-20 participants (Think tank and country coordinators) x 2 days</t>
  </si>
  <si>
    <t>meetings with WP lead and key experts, 3 meetings</t>
  </si>
  <si>
    <t>Participation/prep. in a partners meeting, attached to one of the trainings</t>
  </si>
  <si>
    <t>Chairing partners' meeting attached to one capacity development seminar</t>
  </si>
  <si>
    <t>contrbution to handbook development, editing</t>
  </si>
  <si>
    <t>concept development on training and synergies with other WPs</t>
  </si>
  <si>
    <t>meetings with WP lead and key experts, 3 meetings, train the trainers</t>
  </si>
  <si>
    <t>Participation in a partners meeting, attached to one of the cap. Developm. Events</t>
  </si>
  <si>
    <t>preparation and accompanying of 2 study visits</t>
  </si>
  <si>
    <t>supervision of impl, sustainability concept and synergies with other WPs</t>
  </si>
  <si>
    <t>WP 4: capacity building</t>
  </si>
  <si>
    <t>WP5: Pilot actions at municipalities</t>
  </si>
  <si>
    <t>supervision of impl and synergies with other WPs</t>
  </si>
  <si>
    <t>participation/prep of a partners meeting back to back with WP meeting</t>
  </si>
  <si>
    <t>chairing 2 meetings</t>
  </si>
  <si>
    <t>participation in partners meeting</t>
  </si>
  <si>
    <t>Final project conference - concept and chairing conference and partners meeting</t>
  </si>
  <si>
    <t>Supervision WP progress and communication on indications with WP lead</t>
  </si>
  <si>
    <t>Discussing the publication concept, reviewing the publication</t>
  </si>
  <si>
    <t>Final project conference participation, preparation of presentations</t>
  </si>
  <si>
    <t>Final project conference participation and partners meeting, report</t>
  </si>
  <si>
    <t>Maintaining English section of website (development of texts, insertion of English base information to be later translated by other countries) ; german version - 2 days/month</t>
  </si>
  <si>
    <t>logo and web design and communication with partners</t>
  </si>
  <si>
    <t>partner meeting attached to Vienna conference, prep and follow up</t>
  </si>
  <si>
    <t>communication with EACI during the project (4 h/month)</t>
  </si>
  <si>
    <t>Project meetings chairing + prep  - 2 consortium and 2 key partner x 30 hrs</t>
  </si>
  <si>
    <t>Partner meetings: attendance, report writing - 4 meetings x 30 hrs</t>
  </si>
  <si>
    <t>Project progress communication with partners: 8hrs/month documentation, filing, purchases, tenders, contacts</t>
  </si>
  <si>
    <t>Project meetings: preparation, attendance, 4 meetings x 24 hrs</t>
  </si>
  <si>
    <t>ommunication EACI project start</t>
  </si>
  <si>
    <t>Contracting phase - partner contacts - 28 x 10 hrs</t>
  </si>
  <si>
    <t>Franz Kiel, Vitali Spaeth</t>
  </si>
  <si>
    <t>Project meetings: preparation, attendance 4 meetings x 3 days</t>
  </si>
  <si>
    <t>Expenditure reporting to CO, half-yearly: 6x8 h</t>
  </si>
  <si>
    <t>ZREA LV</t>
  </si>
  <si>
    <t>REC SK</t>
  </si>
  <si>
    <t>KOVET HU</t>
  </si>
  <si>
    <t>Estonian ASP</t>
  </si>
  <si>
    <t>MUT HU</t>
  </si>
  <si>
    <t>Szolnak HU</t>
  </si>
  <si>
    <t>EIHP HR</t>
  </si>
  <si>
    <t>VGTU LT</t>
  </si>
  <si>
    <t>Karlovac HR</t>
  </si>
  <si>
    <t>UrbPlan BG</t>
  </si>
  <si>
    <t>SOFENA BG</t>
  </si>
  <si>
    <t>Burgas BG</t>
  </si>
  <si>
    <t>Klaipeda LT</t>
  </si>
  <si>
    <t>Partner 28</t>
  </si>
  <si>
    <t xml:space="preserve">Partner 29                               </t>
  </si>
  <si>
    <t>P8 ZREA LV</t>
  </si>
  <si>
    <t>P9 BEF LT</t>
  </si>
  <si>
    <t>P10 REC SK</t>
  </si>
  <si>
    <t>P11 KOVET HU</t>
  </si>
  <si>
    <t>P12 DOOR HR</t>
  </si>
  <si>
    <t>P13 SOFENA BG</t>
  </si>
  <si>
    <t>P14 Estonian ASP</t>
  </si>
  <si>
    <t>P15 Saue EE</t>
  </si>
  <si>
    <t>P16 CitEnergo SK</t>
  </si>
  <si>
    <t>P17 MUT HU</t>
  </si>
  <si>
    <t>P18 Szolnak HU</t>
  </si>
  <si>
    <t>P19 EIHP HR</t>
  </si>
  <si>
    <t>P20 VGTU LT</t>
  </si>
  <si>
    <t>P21 Karlovac HR</t>
  </si>
  <si>
    <t>P23 UrbPlan BG</t>
  </si>
  <si>
    <t>P24 Burgas BG</t>
  </si>
  <si>
    <t>P28 Partner 28</t>
  </si>
  <si>
    <t xml:space="preserve">P29 Partner 29                               </t>
  </si>
  <si>
    <t>Inga Kreicmane</t>
  </si>
  <si>
    <t>Ainars Gulbinskis</t>
  </si>
  <si>
    <t>Rita Jonkuviene</t>
  </si>
  <si>
    <t>Zuzana Hudakova</t>
  </si>
  <si>
    <t>Vlado Hudek</t>
  </si>
  <si>
    <t>Michal Tvrdon</t>
  </si>
  <si>
    <t>Lenka Holecova</t>
  </si>
  <si>
    <t>Natalia Rumanova</t>
  </si>
  <si>
    <t>Rita Halmavánszki</t>
  </si>
  <si>
    <t>Csaba Bodroghelyi</t>
  </si>
  <si>
    <t>Éva Sztanojevné Kovács</t>
  </si>
  <si>
    <t>Artúr Povodör</t>
  </si>
  <si>
    <t>Maja Bozicevic Vrhovcak</t>
  </si>
  <si>
    <t>Slavica Robak</t>
  </si>
  <si>
    <t>Igor Kapran</t>
  </si>
  <si>
    <t>Diana Paunova</t>
  </si>
  <si>
    <t>Zdravko Georgiev</t>
  </si>
  <si>
    <t>Johann-Aksel Tarbe</t>
  </si>
  <si>
    <t>Pille Metspalu</t>
  </si>
  <si>
    <t>Laura Uibopuu</t>
  </si>
  <si>
    <t>Andres Laisk</t>
  </si>
  <si>
    <t>Natalia Shovkoplias</t>
  </si>
  <si>
    <t>Marian Ninarovic</t>
  </si>
  <si>
    <t>Darina Psenakova</t>
  </si>
  <si>
    <t>Marcel Lauko</t>
  </si>
  <si>
    <t>Ivan Vanko</t>
  </si>
  <si>
    <t>Richárd Ongjerth</t>
  </si>
  <si>
    <t>Veronika Fally</t>
  </si>
  <si>
    <t>Anna Lehofer</t>
  </si>
  <si>
    <t>Attiláné Benes</t>
  </si>
  <si>
    <t>P17 junior expert 1</t>
  </si>
  <si>
    <t>P17 junior expert 2</t>
  </si>
  <si>
    <t>Galina Aleksova</t>
  </si>
  <si>
    <t>Elena Ivanova</t>
  </si>
  <si>
    <t>Nurhan Rezdheb</t>
  </si>
  <si>
    <t>3 country coordination meetings after partner meetings</t>
  </si>
  <si>
    <t>Expenditure reporting to CO, half-yearly: 6 x 8h</t>
  </si>
  <si>
    <t>Support to country partners for accounting 2 x 2 x 8h</t>
  </si>
  <si>
    <t>Communication with country partners on administration issues 1d/half year</t>
  </si>
  <si>
    <t>3 country coordination meetings after partner meetings incl prep and follow-up</t>
  </si>
  <si>
    <t>Communication with country partners on administration issues 0.5d/half year</t>
  </si>
  <si>
    <t>Project meetings: preparation, attendance 2 meetings x 3 days</t>
  </si>
  <si>
    <t>Expenditure Interim and final report 2 x 16h</t>
  </si>
  <si>
    <t>see above</t>
  </si>
  <si>
    <t>PM/financial officer visit to partners countries</t>
  </si>
  <si>
    <t>subsistance 2 partner meetings  4 persons outside Hamburg</t>
  </si>
  <si>
    <t>from HAM  - outside HAM</t>
  </si>
  <si>
    <t>from HAM - outside HAM</t>
  </si>
  <si>
    <t xml:space="preserve">from Viennas </t>
  </si>
  <si>
    <t>from Zofia</t>
  </si>
  <si>
    <t>from Frankfurt 2 pers.</t>
  </si>
  <si>
    <t>from Berlin 2 pers</t>
  </si>
  <si>
    <t>subsistance 2 x 3 days</t>
  </si>
  <si>
    <t>2 key partner metings</t>
  </si>
  <si>
    <t>3. Training programme</t>
  </si>
  <si>
    <t xml:space="preserve">4. Capacity building </t>
  </si>
  <si>
    <t>5. Pilot Actions</t>
  </si>
  <si>
    <t>6. Evaluation &amp; Replication</t>
  </si>
  <si>
    <t>Coordinating development of adv materials, posters and their distribution</t>
  </si>
  <si>
    <t>Web texts, preparation of presentations, scientific articles</t>
  </si>
  <si>
    <t>Participation in external conferences - preparation, participation, representation</t>
  </si>
  <si>
    <t>Web texts, preparation of presentations, printing, national dissemination events</t>
  </si>
  <si>
    <t>Web texts in national language, promotional materials, national dissemination events</t>
  </si>
  <si>
    <t>EC Fin EUR</t>
  </si>
  <si>
    <t>EC fin %</t>
  </si>
  <si>
    <t>Project leaflet</t>
  </si>
  <si>
    <t>Project poster</t>
  </si>
  <si>
    <t>Advertisement</t>
  </si>
  <si>
    <t>Take-aways</t>
  </si>
  <si>
    <t>Multipurpose posters large size (10 posters DE)</t>
  </si>
  <si>
    <t>English and German version, design template</t>
  </si>
  <si>
    <t>German/Austrian version</t>
  </si>
  <si>
    <t>Austrian version</t>
  </si>
  <si>
    <t>Estonian version</t>
  </si>
  <si>
    <t>Latvian version</t>
  </si>
  <si>
    <t>Lituanian version</t>
  </si>
  <si>
    <t>Slovakian version</t>
  </si>
  <si>
    <t>Hungarian version</t>
  </si>
  <si>
    <t>Croatian version</t>
  </si>
  <si>
    <t>Bulgarian version</t>
  </si>
  <si>
    <t>Lithuanian version</t>
  </si>
  <si>
    <t>national dissemination</t>
  </si>
  <si>
    <t>2 internat./nat Events</t>
  </si>
  <si>
    <t>transportation</t>
  </si>
  <si>
    <t>trip</t>
  </si>
  <si>
    <t xml:space="preserve">from Frankfurt </t>
  </si>
  <si>
    <t>subsistance 2 x 2 days</t>
  </si>
  <si>
    <t xml:space="preserve">from HAM  </t>
  </si>
  <si>
    <t xml:space="preserve">from HAM </t>
  </si>
  <si>
    <t xml:space="preserve">from Vienna </t>
  </si>
  <si>
    <t>from HAM</t>
  </si>
  <si>
    <t>subsistance 2 days</t>
  </si>
  <si>
    <t>rent of hall &amp; refreshments 0.5 day</t>
  </si>
  <si>
    <t>National event</t>
  </si>
  <si>
    <t>Worktime allocated per partner and WP and person</t>
  </si>
  <si>
    <t>this is not yet correctly programmed…….</t>
  </si>
  <si>
    <t>partitipcation in international conference in Vienna, presentation/speaker</t>
  </si>
  <si>
    <t>co-work on manual</t>
  </si>
  <si>
    <t>co-work on manual  &amp; revision after CEEC feedback</t>
  </si>
  <si>
    <t>Concept development of PlanZEN - planning refurbishment, communication with expert partners</t>
  </si>
  <si>
    <t>Concept development of PlanZEN - planning new housing &amp; settlements &amp; holistic approach, communication with expert partners</t>
  </si>
  <si>
    <t>Concept development of PlanZEN - planning new settlements/old stock and use of RES/grid, communication with expert partners</t>
  </si>
  <si>
    <t>WP lead - communication with think tank partners, CC and CEEC on national feedback - 4d/month x 12 month = 48 days</t>
  </si>
  <si>
    <t>draft concept outline for Kick off meeting &amp; presentation Kick-off</t>
  </si>
  <si>
    <t>3 expert meetings, conference Vienna - lead preparation &amp; follow up, presentation</t>
  </si>
  <si>
    <t>Contributing to project monitoring indicators of WP success</t>
  </si>
  <si>
    <t>preparation of WP presentation for other partner meetings (5 events x 2 days prep)</t>
  </si>
  <si>
    <t>Lead elaboration of manual WP2, core texts, final editing</t>
  </si>
  <si>
    <t>background research on planning of settlement structure (or energy supply)</t>
  </si>
  <si>
    <t>background research on socio-economic issues and interdisciplinarity</t>
  </si>
  <si>
    <t>country data and background research</t>
  </si>
  <si>
    <t>2 expert meetings, conference Vienna - participation</t>
  </si>
  <si>
    <t>background research on planning transport structure, good cases</t>
  </si>
  <si>
    <t>background research on planning refurbishment good cases</t>
  </si>
  <si>
    <t>background research on planning new housing &amp; settlements, good cases</t>
  </si>
  <si>
    <t>background research on planning new buildings, RES/grid, good cases</t>
  </si>
  <si>
    <t>language editing</t>
  </si>
  <si>
    <t>professional language editor for manual in English</t>
  </si>
  <si>
    <t>professional language editor for manual in Estonian</t>
  </si>
  <si>
    <t>professional language editor for manual in Latvian</t>
  </si>
  <si>
    <t xml:space="preserve">professional language editor for manual in Lithuanian  </t>
  </si>
  <si>
    <t>professional language editor for manual in Slovakian</t>
  </si>
  <si>
    <t>professional language editor for manual in Hungarian</t>
  </si>
  <si>
    <t>professional language editor for manual in Croatian</t>
  </si>
  <si>
    <t>professional language editor for manual in Bulgarian</t>
  </si>
  <si>
    <t>feedback on manual and org of national translation</t>
  </si>
  <si>
    <t>lead national  discussion with stakeholders and collect feedback</t>
  </si>
  <si>
    <t>proof reading of manual in national language, printing process</t>
  </si>
  <si>
    <t>org of 2 national meetings</t>
  </si>
  <si>
    <t>conf Vienna</t>
  </si>
  <si>
    <t xml:space="preserve"> conference Vienna - participation</t>
  </si>
  <si>
    <t>national stakeholder meeting</t>
  </si>
  <si>
    <t>transportation &amp; subsistence</t>
  </si>
  <si>
    <t>subsistance 1 pers x 3 day</t>
  </si>
  <si>
    <t>subsistance 3 pers x 3 day</t>
  </si>
  <si>
    <t>subsistance 2 pers x 3 days conf, 2 pers x 3days prep</t>
  </si>
  <si>
    <t>from Zagreb 3 pers conf, 2 pers prep</t>
  </si>
  <si>
    <t>for 60 persons, 2 days event plus 1 days partners meeting for 30 participants</t>
  </si>
  <si>
    <t>Vienna</t>
  </si>
  <si>
    <t>1 internat conference</t>
  </si>
  <si>
    <t>seminar venue, refreshments for 15 persons - no catering</t>
  </si>
  <si>
    <t>catering: 1 reception for all, meals &amp; accom. For non-partners, seminar materials</t>
  </si>
  <si>
    <t>best practice brochure</t>
  </si>
  <si>
    <t>seminar venue 0.5 day, refreshments for 20-30 persons</t>
  </si>
  <si>
    <t>from Zagreb 3 pers conf, 2 pers prep, 1 expert meeting only</t>
  </si>
  <si>
    <t>from Zagreb - 1 expert meeting only, 2nd in Zagreb</t>
  </si>
  <si>
    <t>external participants to conf</t>
  </si>
  <si>
    <t>2 persons travel costs to Vienna (catering and accom at conference booking</t>
  </si>
  <si>
    <t>2 persons travel costs to Vienna (catering and accom at conference booking)</t>
  </si>
  <si>
    <t>conference preparation</t>
  </si>
  <si>
    <t>participation in final conference and final partners meeting, prep final partners meeting</t>
  </si>
  <si>
    <t>Project meetings: Preparation, part., follow-up - 2 meetings x 80 hrs, 2 x 40</t>
  </si>
  <si>
    <t>Contacting Urban Planners in other EU countries (non-partners), communication, meetings in 3 - 5 other countries</t>
  </si>
  <si>
    <t>Drafting of final lessons learned brochure</t>
  </si>
  <si>
    <t>brochure layout/proof reading assistance</t>
  </si>
  <si>
    <t>Final project conference - concept and participation, preparation, presentation</t>
  </si>
  <si>
    <t>co-development of evaluation criteria, event criteria, creating of questionnaires</t>
  </si>
  <si>
    <t>WP lead, communication to PM, other think tank partners, presentation at partner meetings</t>
  </si>
  <si>
    <t>Tasks in this work package (WP co-lead)</t>
  </si>
  <si>
    <t>evaulation concept development, meeting with lead, brochure concept</t>
  </si>
  <si>
    <t>Participation in final conference and partners meeting - prep., participation, presentation</t>
  </si>
  <si>
    <t>feedback questionnaire, lessons learned, cases</t>
  </si>
  <si>
    <t>feedback questionnaire, lessons learned, cases - LIT national evaulation</t>
  </si>
  <si>
    <t>data entries, prep final conference</t>
  </si>
  <si>
    <t>LIT evaulation questionnaire, bes practice case collection</t>
  </si>
  <si>
    <t>co-lead of WP, communication and meeting with lead</t>
  </si>
  <si>
    <t>preparation of final conference and partenrs meeting</t>
  </si>
  <si>
    <t>'Participation in final conference and partners meeting - prep., participation</t>
  </si>
  <si>
    <t>participation in assessment criteria development, reflection towards WP2</t>
  </si>
  <si>
    <t>Participation in final conference and partners meeting - prep., participation,</t>
  </si>
  <si>
    <t>Participation in final conference and partners meeting</t>
  </si>
  <si>
    <t>Replication other CEE countries (PL, CZ, RO)</t>
  </si>
  <si>
    <t>participation in assessment criteria development, reflection towards WP5</t>
  </si>
  <si>
    <t>participation in assessment criteria development, reflection towards WP3</t>
  </si>
  <si>
    <t>participation in assessment criteria development, reflection towards WP4</t>
  </si>
  <si>
    <t>feedback on manual and national stakeholders meeting</t>
  </si>
  <si>
    <t>org of 2 national meetings and 1 expert meeting</t>
  </si>
  <si>
    <t>professional language editor for lessons learned brochure in English</t>
  </si>
  <si>
    <t>Bratislava</t>
  </si>
  <si>
    <t>travel external participants</t>
  </si>
  <si>
    <t>10 participants travel to Bratislava: 5 CEEC, 5 old EU</t>
  </si>
  <si>
    <t>final Conf Bratislava</t>
  </si>
  <si>
    <t>from Hamb to 3 destinations for replication</t>
  </si>
  <si>
    <t>subsistance 4 persons x 3 days conf + partners meeting</t>
  </si>
  <si>
    <t>subsistance 2 persons x 3 days conf + partners meeting</t>
  </si>
  <si>
    <t>from Hamburg 2 pers conf + partners meeting</t>
  </si>
  <si>
    <t>from Hamburg 4 pers conf + partners meeting</t>
  </si>
  <si>
    <t>from Vienna 3 pers conf + partners meeting</t>
  </si>
  <si>
    <t>from Berlin 2 pers conf + partners meeting</t>
  </si>
  <si>
    <t>from Frankfurt 2 pers conf + partners meeting</t>
  </si>
  <si>
    <t>subsistance 1 pers x 3 day x 2 trips</t>
  </si>
  <si>
    <t>from Vilnius to 2 destinations for replication</t>
  </si>
  <si>
    <t>from Frankfurt to 2 destinations for replication</t>
  </si>
  <si>
    <t>from Berlin to 2 destinations for replication</t>
  </si>
  <si>
    <t>subsistance 3 persons x 2 days conf + partners meeting</t>
  </si>
  <si>
    <t>train/bus</t>
  </si>
  <si>
    <t>subsistance 1 pers x 3 day presence at hotel</t>
  </si>
  <si>
    <t>co-work on assessment of questionnaires, communication with partners, web texts WP</t>
  </si>
  <si>
    <t>co-work on manual, web texts WP</t>
  </si>
  <si>
    <t>Tasks in this work package (WP5 lead)</t>
  </si>
  <si>
    <t>Tasks in this work package co-lead WP5</t>
  </si>
  <si>
    <t>Participating in 2 meetings of the WP in Hamburg and Sofia</t>
  </si>
  <si>
    <t xml:space="preserve">from Zagreb </t>
  </si>
  <si>
    <t>(both in Vienna)</t>
  </si>
  <si>
    <t>WP lead, communication with co-lead, meetings, partner communication 2 days/month x 24 month = 48</t>
  </si>
  <si>
    <t>selection of pilot projects, prep of partner meetingm analysis pilot project</t>
  </si>
  <si>
    <t>info days in country, invitations, implementation</t>
  </si>
  <si>
    <t>assistance for printing house and multiplication activities to municipality</t>
  </si>
  <si>
    <t>local promition works</t>
  </si>
  <si>
    <t>elaboration of fact sheet, ZEN concept and poster/info stand national language</t>
  </si>
  <si>
    <t>org preparation of consortium meeting</t>
  </si>
  <si>
    <t>participation in consortium meeting, preparation</t>
  </si>
  <si>
    <t>org of national project meetings</t>
  </si>
  <si>
    <t>concept for national info days, posters etc</t>
  </si>
  <si>
    <t>Organisation partners meeting in Zagreb</t>
  </si>
  <si>
    <t>prep meetings with co-lead, partner meetings</t>
  </si>
  <si>
    <t>1 partners meetings</t>
  </si>
  <si>
    <t>subsistance to 1 meeting outside Hamburg x 2 persons</t>
  </si>
  <si>
    <t>3 partners meetings HAM</t>
  </si>
  <si>
    <t>subsistance 3 x 2 pers x 2 days</t>
  </si>
  <si>
    <t>subsistanceto 1 meetings</t>
  </si>
  <si>
    <t>3 partners meetings</t>
  </si>
  <si>
    <t>subsistance 3 x 3 days</t>
  </si>
  <si>
    <t>1 partners meeting</t>
  </si>
  <si>
    <t>subsistance 1 x 3 days</t>
  </si>
  <si>
    <t>2 partners meeting</t>
  </si>
  <si>
    <t>1 full consortium meeting</t>
  </si>
  <si>
    <t>advice to partner miunicipalities 3 towns x  80 days</t>
  </si>
  <si>
    <t>lead stakeholder mapping in partner municipalities: concept</t>
  </si>
  <si>
    <t>editing, formatting city profiles for web presentation 8 x 24 hrs</t>
  </si>
  <si>
    <t>advice to partner miunicipalities 4 towns x  80 days</t>
  </si>
  <si>
    <t>instructions to tools for municipalities</t>
  </si>
  <si>
    <t>facilitation of western tandem town cooperation</t>
  </si>
  <si>
    <t>advice to municipalities (1 x 80 hrs)</t>
  </si>
  <si>
    <t>advice to municipalities (2 x 80 hrs)</t>
  </si>
  <si>
    <t>participation in partner meeting</t>
  </si>
  <si>
    <t>participation and preparation in partner meeting</t>
  </si>
  <si>
    <t>org preparation of national meetings</t>
  </si>
  <si>
    <t>supervision of national pilot projects 1 x 80 hrs</t>
  </si>
  <si>
    <t>technical advice to municipality - e.g. energy concept, master plan etc</t>
  </si>
  <si>
    <t>coordination of pilot project in municipality, communication, meetings  2d/m*24m</t>
  </si>
  <si>
    <t>data collection, optimising planning, elaboration of planning document</t>
  </si>
  <si>
    <t>publication, comunication, stakeholder work</t>
  </si>
  <si>
    <t>participation in project meetings at national and international level</t>
  </si>
  <si>
    <t>external consultant</t>
  </si>
  <si>
    <t>for elaboration of city specific pilot case, technical advice</t>
  </si>
  <si>
    <t>seminar materials and catering</t>
  </si>
  <si>
    <t>for 3 info days at municipality</t>
  </si>
  <si>
    <t>fact sheets, poster/info board, leaflets, ZEN concept, give-aways</t>
  </si>
  <si>
    <t>catering: 1 reception for all, no other meals, seminar materials</t>
  </si>
  <si>
    <t>seminar venue, equipment for consortoum meeting 2.5 days 45 persons</t>
  </si>
  <si>
    <t>accommodation at partners' travel budget</t>
  </si>
  <si>
    <t>local transportation</t>
  </si>
  <si>
    <t>WP/partners in Zagreb</t>
  </si>
  <si>
    <t>plus 2 countries</t>
  </si>
  <si>
    <t>from Hamburg 4 pers Zagreb, senior expert 2 x countries</t>
  </si>
  <si>
    <t>subsistance 4 persons x 3 days conf, 2 pers prp x 2 days</t>
  </si>
  <si>
    <t>plus 3 countries</t>
  </si>
  <si>
    <t>meeting co-lead</t>
  </si>
  <si>
    <t>from Hamburg 2 pers to Zagreb</t>
  </si>
  <si>
    <t xml:space="preserve">subsistance 2 pers x 2 days </t>
  </si>
  <si>
    <t>from Hamburg 3 pers conf, 2 x country</t>
  </si>
  <si>
    <t>subsistance 3 persons x 3 days plus 2 x 3 days country</t>
  </si>
  <si>
    <t>from Berlin 2 pers conf, 2x countries</t>
  </si>
  <si>
    <t>from Hamburg 1 pers conf, 1 x country</t>
  </si>
  <si>
    <t>subsistance 4x 3 days</t>
  </si>
  <si>
    <t>from Vienna  2 pers conf, 2x countries</t>
  </si>
  <si>
    <t>from Frankfurt 2 pers conf, 2 x countries</t>
  </si>
  <si>
    <t>WP/partners in Hamburg</t>
  </si>
  <si>
    <t>from Zagreb meeting co-lead 2 times</t>
  </si>
  <si>
    <t>subsistance 1 pers x 2 day x 2 trips</t>
  </si>
  <si>
    <t xml:space="preserve">location 3 </t>
  </si>
  <si>
    <t>location 4</t>
  </si>
  <si>
    <t>for ca. 25 persons, 3 days event</t>
  </si>
  <si>
    <t>for ca. 25 persons, 4 days event</t>
  </si>
  <si>
    <t>equipment, catering, local travel</t>
  </si>
  <si>
    <t>training seminar</t>
  </si>
  <si>
    <t>training handbook</t>
  </si>
  <si>
    <t>handbook as folder for trainees, 25 copies, 200 pages</t>
  </si>
  <si>
    <t>travel costs</t>
  </si>
  <si>
    <t>for speakers/cases from non-partner municipalities from western towns</t>
  </si>
  <si>
    <t>person</t>
  </si>
  <si>
    <t>subsistance 1pers x 3 day</t>
  </si>
  <si>
    <t>training seminars</t>
  </si>
  <si>
    <t>from Berlin 2 pers Zofia</t>
  </si>
  <si>
    <t>from Hamburg 2 pers pers Zofia</t>
  </si>
  <si>
    <t>from Vienna  2 pers Zofia</t>
  </si>
  <si>
    <t>from Frankfurt 2 pers Zofia</t>
  </si>
  <si>
    <t>from Hamburg 2 pers Zofia</t>
  </si>
  <si>
    <t>subsistance 4 pers x 4 day</t>
  </si>
  <si>
    <t>drafting traiing handbook</t>
  </si>
  <si>
    <t>training seminar - preparation and lectures</t>
  </si>
  <si>
    <t>training seminar - preparation and lectures for 1 seminar</t>
  </si>
  <si>
    <t>background research and data collection, prep meetings</t>
  </si>
  <si>
    <t>Training concept, prep meetings</t>
  </si>
  <si>
    <t>background research and data collection, prep meetings, general research to lead</t>
  </si>
  <si>
    <t>Training concept development, prep meetings</t>
  </si>
  <si>
    <t>WP lead - communication with think tank partners, co-leads and TIs - 4d/month x 12 month = 48 days</t>
  </si>
  <si>
    <t>lead drafting traiing handbook, final editing</t>
  </si>
  <si>
    <t>partner meeting in Zofia incl prep and concept</t>
  </si>
  <si>
    <t>drafting traiing handbook, editing and layout</t>
  </si>
  <si>
    <t>preparation of 1 training seminar in Vienna</t>
  </si>
  <si>
    <t>concept prep meetings</t>
  </si>
  <si>
    <t xml:space="preserve"> background research and data collection, prep meetings</t>
  </si>
  <si>
    <t>kick off</t>
  </si>
  <si>
    <t>professional language editor for handbook in English</t>
  </si>
  <si>
    <t>partners meeting in Zofia</t>
  </si>
  <si>
    <t>feedback on training concept and participation in prep meetings</t>
  </si>
  <si>
    <t>case collection own country</t>
  </si>
  <si>
    <t>co-lead of WP - Training concept development, prep meetings</t>
  </si>
  <si>
    <t>drafting training handbook - editing, cross reading, understandability test</t>
  </si>
  <si>
    <t>testing training for future lectures, participation in 4 training courses, homework</t>
  </si>
  <si>
    <t>feedback to training concept, manual and communication with national training inst.</t>
  </si>
  <si>
    <t>partners meeting in Zofia - preparation and participation</t>
  </si>
  <si>
    <t>training handbook - editing, cross reading, understandability test</t>
  </si>
  <si>
    <t>subsistance 2 persons x 2 days each trip</t>
  </si>
  <si>
    <t>study visit</t>
  </si>
  <si>
    <t>for ca. 15-20 persons, 5 days event</t>
  </si>
  <si>
    <t>location 1 and 2</t>
  </si>
  <si>
    <t>national trainings</t>
  </si>
  <si>
    <t>hand book print</t>
  </si>
  <si>
    <t>external participants</t>
  </si>
  <si>
    <t>national language version</t>
  </si>
  <si>
    <t>travel</t>
  </si>
  <si>
    <t>accompanying study visit</t>
  </si>
  <si>
    <t>subsistence 3 days</t>
  </si>
  <si>
    <t>study visit concept</t>
  </si>
  <si>
    <t>local travel  1 pers</t>
  </si>
  <si>
    <t>subsistance 1 pers x 5 day</t>
  </si>
  <si>
    <t>subsistance 2 pers x 5 day</t>
  </si>
  <si>
    <t>to study visit - 2 persons flights plus accommodation</t>
  </si>
  <si>
    <t>seminar venue Northern/southern region, sem. Materials, food non  partners</t>
  </si>
  <si>
    <t>seminar venue, sem. Materials, food Non partners, local travel</t>
  </si>
  <si>
    <t>national handbook</t>
  </si>
  <si>
    <t>translation and language editing</t>
  </si>
  <si>
    <t xml:space="preserve">training implementation concept, </t>
  </si>
  <si>
    <t>develop sustainability concept and compile report</t>
  </si>
  <si>
    <t>preparation and accompanying study visit</t>
  </si>
  <si>
    <t>preparation of partner meeting reports and presentations from WP</t>
  </si>
  <si>
    <t>supervision of trainee recruitment and training implementation -visit to 4 countries and participate in one text training</t>
  </si>
  <si>
    <t>supervision of trainee recruitment and training implementation - communication with training instittuion, visit to 3 countries and participate in one text training</t>
  </si>
  <si>
    <t>preparation of study visit concept and accompanying study visit</t>
  </si>
  <si>
    <t>advice to municipalities (3 x 80 hrs)</t>
  </si>
  <si>
    <t>support to training institutions on questionable issues of handbook</t>
  </si>
  <si>
    <t>participation in study visit</t>
  </si>
  <si>
    <t>participation in national test training, feedback meeting</t>
  </si>
  <si>
    <t>support in recruitment of trainees, and study visit participants, communication in country</t>
  </si>
  <si>
    <t>co-lead of WP, communication with training institutions, handbook authors etc. - 4d/month x 12 month = 48 days</t>
  </si>
  <si>
    <t>WP lead - communication with training institutions, handbook authors etc. - 4d/month x 12 month = 48 days</t>
  </si>
  <si>
    <t>supervision of trainee recruitment and training implementation - communication with training institution, visit to 3 countries and participate in one text training</t>
  </si>
  <si>
    <t>visiting test training</t>
  </si>
  <si>
    <t>visiting 3 trainings</t>
  </si>
  <si>
    <t>subsistance 1 pers x 3 day x 3 trips</t>
  </si>
  <si>
    <t>subsistence 5 days</t>
  </si>
  <si>
    <t>visiting 7 trainings</t>
  </si>
  <si>
    <t xml:space="preserve">subsistence 3 days x 7 </t>
  </si>
  <si>
    <t>participating in study visit and follow-up report</t>
  </si>
  <si>
    <t>recruitment of trainees</t>
  </si>
  <si>
    <t>translation and printing of handbook, contracting editing service, proof reading</t>
  </si>
  <si>
    <t>sustainability concept and future training organisation</t>
  </si>
  <si>
    <t>recruitment of trainnes, communication and dvertisement</t>
  </si>
  <si>
    <t>Partner meting Zagreb - participation</t>
  </si>
  <si>
    <t>advice and communication with municipality planner</t>
  </si>
  <si>
    <t>Tasks in this work package (co-lead)</t>
  </si>
  <si>
    <t>background  research manual and concepts</t>
  </si>
  <si>
    <t>Chanka Koralska</t>
  </si>
  <si>
    <t>Teodora Tsaneva</t>
  </si>
  <si>
    <t>Denica Georgieva</t>
  </si>
  <si>
    <t xml:space="preserve">Antoniya Novakova </t>
  </si>
  <si>
    <t>Branka Jelavic</t>
  </si>
  <si>
    <t>Toni Borkovic</t>
  </si>
  <si>
    <t>Zarko Latkovic</t>
  </si>
  <si>
    <t>senior servant</t>
  </si>
  <si>
    <t>sum of hours per partner</t>
  </si>
  <si>
    <t>sum of days per partner</t>
  </si>
  <si>
    <t>P6 expert 1</t>
  </si>
  <si>
    <t>P10 expert 1</t>
  </si>
  <si>
    <t>P10 expert 2</t>
  </si>
  <si>
    <t>P16 expert 1</t>
  </si>
  <si>
    <t>P16 expert 2</t>
  </si>
  <si>
    <t>preparation of WP presentations at partners meetings</t>
  </si>
  <si>
    <t>supervision polot implementaton, assessment of findings, elaboration of concepts for each town, writing and designing individual solutons 7 * 80 hrs</t>
  </si>
  <si>
    <t xml:space="preserve">supervision pilot project implementation </t>
  </si>
  <si>
    <t>advice to partner municipalities 1 town x  80 days</t>
  </si>
  <si>
    <t>training seminar - preparation and lectures for 1 seminars</t>
  </si>
  <si>
    <t>drafting training handbook</t>
  </si>
  <si>
    <t xml:space="preserve">advice to municipalities </t>
  </si>
  <si>
    <t>in-house consultant</t>
  </si>
  <si>
    <t>Thomas Hefter</t>
  </si>
  <si>
    <t>Karoline Storch</t>
  </si>
  <si>
    <t>P7 expert 1</t>
  </si>
  <si>
    <t>P7 expert 2</t>
  </si>
  <si>
    <t>Prof Irene Peters</t>
  </si>
  <si>
    <t>Magazowski</t>
  </si>
  <si>
    <t>P4 expert 1</t>
  </si>
  <si>
    <t>P4 expert 2</t>
  </si>
  <si>
    <t>Weihnacht/Stueven</t>
  </si>
  <si>
    <t>N.N.</t>
  </si>
  <si>
    <t>Barbara Saringer-Bory</t>
  </si>
  <si>
    <t>P5 senior expert energy</t>
  </si>
  <si>
    <t>P5 senior expert transport</t>
  </si>
  <si>
    <t>P5 senior expert finances</t>
  </si>
  <si>
    <t>org preparation of national meetings, participation in national meetings</t>
  </si>
  <si>
    <t>organisation of training seminars in 4 other LV planning regions 4 x 80hrs</t>
  </si>
  <si>
    <t>organisation of info days and meetings in 4 other LV planning regions 4 x 80hrs</t>
  </si>
  <si>
    <t>Expenditure reporting to CO, half-yearly: 6 x 16h</t>
  </si>
  <si>
    <t>Communication with country actors on administration issues 0.5d/half year</t>
  </si>
  <si>
    <t>Support to country actors for reporting 2 x 8h</t>
  </si>
  <si>
    <t>training seminar - preparation of lectures for 3 seminars in Hamburg</t>
  </si>
  <si>
    <t>organisation of 3 training seminars in Hamburg</t>
  </si>
  <si>
    <t xml:space="preserve">feedback to training concept, manual </t>
  </si>
  <si>
    <t>drafting handbook, energy chapter</t>
  </si>
  <si>
    <t>drafting handbook</t>
  </si>
  <si>
    <t>training seminar - preparation and lecturing at/for 2 seminar</t>
  </si>
  <si>
    <t>training seminar - preparation and lectures for 2 seminar</t>
  </si>
  <si>
    <t>training seminar - preparation and lectures for/at 1 seminar</t>
  </si>
  <si>
    <t>training seminar - preparation and lectures for/at 2 seminars (HH/FRA)</t>
  </si>
  <si>
    <t>training seminar - preparation and lectures for/at 2 seminars (FRA/HH)</t>
  </si>
  <si>
    <t>for ca. 25 persons, 3 days event x 2 events</t>
  </si>
  <si>
    <t>location 5</t>
  </si>
  <si>
    <t>location 6</t>
  </si>
  <si>
    <t>from Sofia</t>
  </si>
  <si>
    <t>from Sofia  2 persons 4 seminars DE/AT</t>
  </si>
  <si>
    <t>Sofia partners meeting</t>
  </si>
  <si>
    <t>WP/partners in Sofia</t>
  </si>
  <si>
    <t xml:space="preserve">partner meeting in Sofia </t>
  </si>
  <si>
    <t>training seminar - lecturing at 3 seminar in Hamburg/other location</t>
  </si>
  <si>
    <t>training seminar - preparation and lectures for/at 6 seminars 6 x 80 all locations</t>
  </si>
  <si>
    <t>preparation of lectures for 2 training seminars</t>
  </si>
  <si>
    <t>drafting training handbook, background data collection</t>
  </si>
  <si>
    <t>partner meeting in Sofia</t>
  </si>
  <si>
    <t>preparation training in Budapest/Szolnak</t>
  </si>
  <si>
    <t>participation and follow up training in Budapest/Szolnak</t>
  </si>
  <si>
    <t>organisation of training seminar in Budapest/Szolnak</t>
  </si>
  <si>
    <t>preparation of training seminar in Budapest/Szolnak, excursion</t>
  </si>
  <si>
    <t>organisation of training seminar in Jelgava</t>
  </si>
  <si>
    <t>participation and follow up training in Jelgava</t>
  </si>
  <si>
    <t>local travel accompanying training seminars in DE (HH/FRA/BER)</t>
  </si>
  <si>
    <t>local travel accompanying training seminars in AT</t>
  </si>
  <si>
    <t>training in LV/HU/AT</t>
  </si>
  <si>
    <t>from Hamburg 2 persons to LV, HU, 1 person to Vienna</t>
  </si>
  <si>
    <t>subsistance 3 days x 5 person trips</t>
  </si>
  <si>
    <t>training in LV/HU</t>
  </si>
  <si>
    <t>from Hamburg 1 person to LV, HU</t>
  </si>
  <si>
    <t xml:space="preserve">location 1 </t>
  </si>
  <si>
    <t>3 expert meetings, conference Vienna - presentation, prep &amp; follow up</t>
  </si>
  <si>
    <t>3 expert meetings, conference Vienna - preparation</t>
  </si>
  <si>
    <t>3 expert meetings, conference Vienna - prep &amp; follow up</t>
  </si>
  <si>
    <t>3 expert meetings, conference Vienna - preparation, presetnation  follow-up</t>
  </si>
  <si>
    <t>3 expert meetings, conference Vienna - preparation, presentation, follow-up</t>
  </si>
  <si>
    <t>2 expert meet, 1 conf Vienna</t>
  </si>
  <si>
    <t>2 expert, 1 conf Vienna</t>
  </si>
  <si>
    <t>subsistance  2 pers x 3 days conf, 2 pers x 2 x 2 days prep</t>
  </si>
  <si>
    <t>local travel to meetings near Vienna</t>
  </si>
  <si>
    <t>subsistance 1 pers x 3 days conference presence</t>
  </si>
  <si>
    <t>from Hamburg 3 pers conf, 2 pers prep 2 meetings in Vienna</t>
  </si>
  <si>
    <t>from Berlin 3 pers conf, 1 pers prep x 2 meetings in Vienna</t>
  </si>
  <si>
    <t>from hamburg 2 pers conf, 2 pers prep x 2 meetings in Vienna</t>
  </si>
  <si>
    <t>from Frankfurt 2 pers conf, 2 pers prep x 2 meetings in Vienna</t>
  </si>
  <si>
    <t>subsistance 3 persons x 3 days conf, 1 pers prep x 2 Vienna</t>
  </si>
  <si>
    <t>subsistance 3 pers x 3 days conf, 2 pers x 2 days prep x 2 meetings</t>
  </si>
  <si>
    <t>subsistance 3 persons x 3 days conf, 2 pers prep x 2 days x 2</t>
  </si>
  <si>
    <t>Expert meeting 1 + 2</t>
  </si>
  <si>
    <t>Signe Vilipa</t>
  </si>
  <si>
    <t>total man hours and days</t>
  </si>
  <si>
    <t>own %</t>
  </si>
  <si>
    <t>from Riga 2 persons 5 seminars DE/AT/HU</t>
  </si>
  <si>
    <t>from Tallinn 2 persons 6 seminars DE/AT/LV/HU (to LV by car)</t>
  </si>
  <si>
    <t>subsistance 2 pers x 4 day x 5 trips</t>
  </si>
  <si>
    <t>and trainings</t>
  </si>
  <si>
    <t>from Zagreb meeting co-lead 4 times</t>
  </si>
  <si>
    <t>subsistance 1 pers x 2.5 day x 4 trips</t>
  </si>
  <si>
    <t>subsistance 2 pers x 4 day x 6 trips</t>
  </si>
  <si>
    <t>2 persons 6 seminars DE/AT/LV/HU</t>
  </si>
  <si>
    <t>elaboration of article for scientific magazine</t>
  </si>
  <si>
    <t>stakeholder mapping tool development and compilation</t>
  </si>
  <si>
    <t>stakeholder mappoing tool development and implementation</t>
  </si>
  <si>
    <t>supervision of partners and assessment of results</t>
  </si>
  <si>
    <t>preparation  and accompanying study visit south</t>
  </si>
  <si>
    <t>preparation study visit and accompanying</t>
  </si>
  <si>
    <t>implementing 6 training courses as lecturer, preparation, implementation and follow up</t>
  </si>
  <si>
    <t>6 national trainng courses - seminar venue, refreshments, materials</t>
  </si>
  <si>
    <t xml:space="preserve">Participation in final conference and partners meeting </t>
  </si>
  <si>
    <t>of project expenses - as private entity</t>
  </si>
  <si>
    <t>Erika Baranyiné Sárközi</t>
  </si>
  <si>
    <t>Sándor Veréb</t>
  </si>
  <si>
    <t>Edit Tóthné Halasy</t>
  </si>
  <si>
    <t>Attila Pengő</t>
  </si>
  <si>
    <t>Zsuzsa Kertész Péterné</t>
  </si>
  <si>
    <t>P18 expert 2</t>
  </si>
  <si>
    <t>P18 expert 1</t>
  </si>
  <si>
    <t>P18 expert finances</t>
  </si>
  <si>
    <t>from Hamburg 3 pers conf, 3 pers prep Vienna, 1 pers 2nd meet</t>
  </si>
  <si>
    <t>5 dest outside Hamb</t>
  </si>
  <si>
    <t>Contacting Urban Planners in other EU countries (non-partners), communication, meetings in 3 other countries</t>
  </si>
  <si>
    <t>consultant</t>
  </si>
  <si>
    <t>background research 15 days x 160EUR by an external consultant</t>
  </si>
  <si>
    <t>moderation of national info days and promotion all over Hungary 15 d x 160 EUR</t>
  </si>
  <si>
    <t>background research on mobility &amp; energy efficient housing &amp; CO2 reduction issues</t>
  </si>
  <si>
    <t>Analysis of project relevance to the target-group: drafting of preliminary questionnaire for national multipliers to assess in-country needs; assessment of results of  questionnaire and presentation to partners;</t>
  </si>
  <si>
    <t>Design and dissemination of standard participant evaluation questionnaire for seminars</t>
  </si>
  <si>
    <t xml:space="preserve">Concept, design, implementation and analysis of mid-term impact on participants of national trainings </t>
  </si>
  <si>
    <t>Analysis of evaluation levels (1.2 and 1.3), communication with partners on findings</t>
  </si>
  <si>
    <t>Development of main replication concept, presentation at partners meetings</t>
  </si>
  <si>
    <t>Interdiciplinarity approach for questionnaire, comparison before-after, assessement of new policy development</t>
  </si>
  <si>
    <t>co-development of evaluation criteria, event criteria, design of questionnaires</t>
  </si>
  <si>
    <t xml:space="preserve">co-work on Concept, design, implementation and analysis of mid-term impact on participants of national trainings, communication with partners </t>
  </si>
  <si>
    <t>Evaluation developement and analysis of evaluation data</t>
  </si>
  <si>
    <t>support of preparation of 1 training seminar in Frankfurt</t>
  </si>
  <si>
    <t>organisation of 1 training seminar in Frankfurt</t>
  </si>
  <si>
    <t>support of organisation for training in DE to relevant partner</t>
  </si>
  <si>
    <t>%</t>
  </si>
  <si>
    <t>final EC contribution</t>
  </si>
  <si>
    <t xml:space="preserve"> EUR</t>
  </si>
  <si>
    <t>EUR</t>
  </si>
  <si>
    <t>final own/third party share</t>
  </si>
  <si>
    <t>3 expert meetings, conference Vienna - participation</t>
  </si>
  <si>
    <t>local travel &amp; subsistence 4 x 1000EUR - 2-3 persons, 1-2 day trip</t>
  </si>
  <si>
    <t>support to CEE training institutions on questionable issues of handbook</t>
  </si>
  <si>
    <t>implementing 3 training courses as lecturer, preparation, implementation and follow up</t>
  </si>
  <si>
    <t>WP co-lead - communication with think tank partners, CC and CEEC on national feedback</t>
  </si>
  <si>
    <t>Devinska Nova SK</t>
  </si>
  <si>
    <t>Ulm DE</t>
  </si>
  <si>
    <t>Viernheim DE</t>
  </si>
  <si>
    <t>P22 Ulm DE</t>
  </si>
  <si>
    <t>P25 Devinska Nova SK</t>
  </si>
  <si>
    <t>P26 Viernheim DE</t>
  </si>
  <si>
    <t>P27 Klaipeda LT</t>
  </si>
  <si>
    <t>3 seminars in Austria</t>
  </si>
  <si>
    <t>implementing 3 training courses as lecturer, preparation, implementation</t>
  </si>
  <si>
    <t>recruitment of trainees and prep of 3 training seminars in Austria</t>
  </si>
  <si>
    <t>Herr Haas</t>
  </si>
  <si>
    <t>Frau Brauer</t>
  </si>
  <si>
    <t>Frau Lipert oder so</t>
  </si>
  <si>
    <t>Almantas Mureika</t>
  </si>
  <si>
    <t>Mantas Daukšys</t>
  </si>
  <si>
    <t>Coordinator Devínska Nová Ves</t>
  </si>
  <si>
    <t>City Representative - Devinska Nova Ves</t>
  </si>
  <si>
    <t>Senior Expert Devinska Nova Ves</t>
  </si>
  <si>
    <t>junior Expert DNV</t>
  </si>
  <si>
    <t>supervision of national pilot projects  80 hrs</t>
  </si>
  <si>
    <t>WP lead, communication with co-lead, meetings, partner communication 1 days/month x 24 month = 24</t>
  </si>
  <si>
    <t>supervision pilot project implementation 7 x 40 hrs</t>
  </si>
  <si>
    <t>lead stakeholder mapping in partner municipalities: 80 hrs</t>
  </si>
  <si>
    <t>from Ulm</t>
  </si>
  <si>
    <t>subsistance 1 pers x 2 day</t>
  </si>
  <si>
    <t>flight/train</t>
  </si>
  <si>
    <t>input to training concept, manual and advice</t>
  </si>
  <si>
    <t>equipment, catering, local travel for ca. 15-20 persons, 5 days event</t>
  </si>
  <si>
    <t xml:space="preserve">coordination of pilot project in municipality, communication, meetings  </t>
  </si>
  <si>
    <t>partner tandem to CEE towns</t>
  </si>
  <si>
    <t>participation in Partner meeting in Zagreb</t>
  </si>
  <si>
    <t>project adminsitration 80h, participation in kick off 24 hrs</t>
  </si>
  <si>
    <t>from Viernheim</t>
  </si>
  <si>
    <t>from Klaipeda</t>
  </si>
  <si>
    <t>participation, preparation and hosting of 1 training seminar in Ulm</t>
  </si>
  <si>
    <t>participation in 3 training courses, HH, VIERN, Riga</t>
  </si>
  <si>
    <t>participation, preparation and hosting of 1 training seminar in Viernheim</t>
  </si>
  <si>
    <t>participation in 2 training courses Ulm, Riga</t>
  </si>
  <si>
    <t xml:space="preserve"> preparation of 1 training seminar in Berlin</t>
  </si>
  <si>
    <t>from Vierhheim</t>
  </si>
  <si>
    <t>partner meeting in Sofia - presentation prep</t>
  </si>
  <si>
    <t>total budget control</t>
  </si>
  <si>
    <t>from Ulm to HH, Viernheim, Riga 1 x 100, 1 x 50, 1 x 300</t>
  </si>
  <si>
    <t>from Vierhnheim to Ulm, Riga 1 x 300, 1 x 50EUR</t>
  </si>
  <si>
    <t>subsistance 1 x 1 pers x 3 day, 1 x 1 person x 2 days</t>
  </si>
  <si>
    <t>subsistance  2 x 1 pers x 3 day, `1 x 1 person x 1 day</t>
  </si>
  <si>
    <t>calculations for partner shifts</t>
  </si>
  <si>
    <t>final co-financing scheme</t>
  </si>
  <si>
    <t xml:space="preserve">partners give </t>
  </si>
  <si>
    <t>total partner</t>
  </si>
  <si>
    <t>control figure</t>
  </si>
  <si>
    <t>provisional co-financing scheme</t>
  </si>
  <si>
    <t>travel costs non-partners</t>
  </si>
  <si>
    <t>traking additional municipality people to partners meeting</t>
  </si>
  <si>
    <t>accommodation</t>
  </si>
  <si>
    <t>from municipalities</t>
  </si>
  <si>
    <t>info days in country, participation</t>
  </si>
  <si>
    <t>3 participants travel to Bratislava: from other Slovak towns accommodation &amp; meals</t>
  </si>
  <si>
    <t>to study visit - 3 persons flights plus accommodation</t>
  </si>
  <si>
    <t>organisation of info days and meetings in 3 other SK  regions 3 x 40hrs</t>
  </si>
  <si>
    <t>attention: adjustment of calculation error  + 5EUR</t>
  </si>
  <si>
    <t>attention: adjustment of calculation error -2EUR</t>
  </si>
  <si>
    <t>attention: adjustment of calculation error  + 1EUR</t>
  </si>
  <si>
    <t>attention: adjustment of calculation error -7EUR</t>
  </si>
  <si>
    <t>attention: adjustment of calculation error  + 3EUR</t>
  </si>
  <si>
    <t>attention: adjustment of calculation error  + 2EUR</t>
  </si>
  <si>
    <t>attention: adjustment of calculation error -+ 1EUR</t>
  </si>
  <si>
    <t>attention: adjustment of calculation error +4EUR</t>
  </si>
  <si>
    <t>attention: adjustment of calculation error +8EUR</t>
  </si>
  <si>
    <t>partners get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</si>
</sst>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_-;\-* #,##0_-;_-* &quot;-&quot;??_-;_-@_-"/>
    <numFmt numFmtId="166" formatCode="_(* #,##0_);_(* \(#,##0\);_(* &quot;-&quot;??_);_(@_)"/>
    <numFmt numFmtId="167" formatCode="_(* #,##0.00_);_(* \(#,##0.00\);_(* &quot;-&quot;??_);_(@_)"/>
  </numFmts>
  <fonts count="72" x14ac:knownFonts="1">
    <font>
      <sz val="10"/>
      <name val="Arial"/>
      <charset val="186"/>
    </font>
    <font>
      <sz val="11"/>
      <color theme="1"/>
      <name val="Calibri"/>
      <family val="2"/>
      <charset val="186"/>
      <scheme val="minor"/>
    </font>
    <font>
      <sz val="10"/>
      <name val="Arial"/>
      <family val="2"/>
      <charset val="186"/>
    </font>
    <font>
      <sz val="14"/>
      <name val="Arial"/>
      <family val="2"/>
    </font>
    <font>
      <b/>
      <sz val="10"/>
      <name val="Arial"/>
      <family val="2"/>
      <charset val="186"/>
    </font>
    <font>
      <b/>
      <sz val="12"/>
      <name val="Arial"/>
      <family val="2"/>
      <charset val="186"/>
    </font>
    <font>
      <sz val="11"/>
      <name val="Arial"/>
      <family val="2"/>
    </font>
    <font>
      <sz val="10"/>
      <name val="Arial"/>
      <family val="2"/>
    </font>
    <font>
      <b/>
      <sz val="11"/>
      <name val="Arial"/>
      <family val="2"/>
      <charset val="186"/>
    </font>
    <font>
      <sz val="10"/>
      <color indexed="10"/>
      <name val="Arial"/>
      <family val="2"/>
    </font>
    <font>
      <i/>
      <sz val="11"/>
      <name val="Arial"/>
      <family val="2"/>
      <charset val="186"/>
    </font>
    <font>
      <sz val="8"/>
      <name val="Arial"/>
      <family val="2"/>
    </font>
    <font>
      <sz val="10"/>
      <color indexed="12"/>
      <name val="Arial"/>
      <family val="2"/>
    </font>
    <font>
      <b/>
      <sz val="10"/>
      <color indexed="12"/>
      <name val="Arial"/>
      <family val="2"/>
    </font>
    <font>
      <b/>
      <sz val="12"/>
      <color indexed="12"/>
      <name val="Arial"/>
      <family val="2"/>
    </font>
    <font>
      <b/>
      <sz val="10"/>
      <color indexed="12"/>
      <name val="Arial"/>
      <family val="2"/>
      <charset val="186"/>
    </font>
    <font>
      <sz val="10"/>
      <color indexed="12"/>
      <name val="Arial"/>
      <family val="2"/>
      <charset val="186"/>
    </font>
    <font>
      <sz val="10"/>
      <name val="Arial"/>
      <family val="2"/>
      <charset val="186"/>
    </font>
    <font>
      <sz val="10"/>
      <name val="Arial"/>
      <family val="2"/>
    </font>
    <font>
      <sz val="9"/>
      <name val="Arial"/>
      <family val="2"/>
    </font>
    <font>
      <b/>
      <sz val="9"/>
      <name val="Arial"/>
      <family val="2"/>
    </font>
    <font>
      <sz val="9"/>
      <color indexed="12"/>
      <name val="Arial"/>
      <family val="2"/>
    </font>
    <font>
      <sz val="11"/>
      <color indexed="10"/>
      <name val="Arial"/>
      <family val="2"/>
    </font>
    <font>
      <sz val="9"/>
      <color indexed="10"/>
      <name val="Arial"/>
      <family val="2"/>
    </font>
    <font>
      <sz val="10"/>
      <name val="Arial"/>
      <family val="2"/>
    </font>
    <font>
      <sz val="12"/>
      <name val="Arial"/>
      <family val="2"/>
    </font>
    <font>
      <b/>
      <sz val="10"/>
      <color indexed="10"/>
      <name val="Arial"/>
      <family val="2"/>
    </font>
    <font>
      <b/>
      <sz val="10"/>
      <name val="Arial"/>
      <family val="2"/>
    </font>
    <font>
      <sz val="10"/>
      <name val="Arial"/>
      <family val="2"/>
    </font>
    <font>
      <sz val="10"/>
      <color indexed="10"/>
      <name val="Arial"/>
      <family val="2"/>
      <charset val="186"/>
    </font>
    <font>
      <b/>
      <sz val="10"/>
      <name val="Arial"/>
      <family val="2"/>
    </font>
    <font>
      <b/>
      <sz val="9"/>
      <name val="Arial"/>
      <family val="2"/>
    </font>
    <font>
      <b/>
      <sz val="11"/>
      <name val="Arial"/>
      <family val="2"/>
    </font>
    <font>
      <b/>
      <sz val="10"/>
      <color indexed="10"/>
      <name val="Arial"/>
      <family val="2"/>
      <charset val="186"/>
    </font>
    <font>
      <sz val="9"/>
      <color indexed="10"/>
      <name val="Arial"/>
      <family val="2"/>
      <charset val="186"/>
    </font>
    <font>
      <b/>
      <sz val="9"/>
      <color indexed="10"/>
      <name val="Arial"/>
      <family val="2"/>
    </font>
    <font>
      <b/>
      <sz val="9"/>
      <color indexed="10"/>
      <name val="Arial"/>
      <family val="2"/>
      <charset val="186"/>
    </font>
    <font>
      <b/>
      <sz val="12"/>
      <name val="Arial"/>
      <family val="2"/>
    </font>
    <font>
      <sz val="10"/>
      <name val="Arial"/>
      <family val="2"/>
    </font>
    <font>
      <sz val="9"/>
      <name val="Arial"/>
      <family val="2"/>
      <charset val="186"/>
    </font>
    <font>
      <sz val="8"/>
      <name val="Arial"/>
      <family val="2"/>
      <charset val="186"/>
    </font>
    <font>
      <b/>
      <sz val="8"/>
      <name val="Arial"/>
      <family val="2"/>
      <charset val="186"/>
    </font>
    <font>
      <b/>
      <sz val="8"/>
      <name val="Arial"/>
      <family val="2"/>
    </font>
    <font>
      <sz val="8"/>
      <name val="Arial"/>
      <family val="2"/>
    </font>
    <font>
      <b/>
      <sz val="8"/>
      <name val="Arial"/>
      <family val="2"/>
    </font>
    <font>
      <b/>
      <sz val="10"/>
      <color indexed="12"/>
      <name val="Arial"/>
      <family val="2"/>
    </font>
    <font>
      <i/>
      <sz val="10"/>
      <name val="Arial"/>
      <family val="2"/>
    </font>
    <font>
      <sz val="10"/>
      <name val="Times New Roman"/>
      <family val="1"/>
    </font>
    <font>
      <sz val="10"/>
      <color rgb="FFFF0000"/>
      <name val="Arial"/>
      <family val="2"/>
    </font>
    <font>
      <sz val="14"/>
      <name val="Arial"/>
      <family val="2"/>
      <charset val="186"/>
    </font>
    <font>
      <sz val="16"/>
      <name val="Arial"/>
      <family val="2"/>
      <charset val="186"/>
    </font>
    <font>
      <sz val="14"/>
      <color indexed="10"/>
      <name val="Arial"/>
      <family val="2"/>
      <charset val="186"/>
    </font>
    <font>
      <sz val="12"/>
      <color indexed="10"/>
      <name val="Arial"/>
      <family val="2"/>
    </font>
    <font>
      <sz val="14"/>
      <color indexed="10"/>
      <name val="Arial"/>
      <family val="2"/>
    </font>
    <font>
      <sz val="14"/>
      <color rgb="FFFF0000"/>
      <name val="Arial"/>
      <family val="2"/>
    </font>
    <font>
      <sz val="11"/>
      <color rgb="FFFF0000"/>
      <name val="Arial"/>
      <family val="2"/>
    </font>
    <font>
      <b/>
      <sz val="10"/>
      <color rgb="FFFF0000"/>
      <name val="Arial"/>
      <family val="2"/>
      <charset val="186"/>
    </font>
    <font>
      <sz val="11"/>
      <name val="Calibri"/>
      <family val="2"/>
      <charset val="186"/>
    </font>
    <font>
      <sz val="10"/>
      <color rgb="FFFF0000"/>
      <name val="Arial"/>
      <family val="2"/>
      <charset val="186"/>
    </font>
    <font>
      <sz val="10"/>
      <name val="Arial"/>
      <family val="2"/>
      <charset val="186"/>
    </font>
    <font>
      <b/>
      <sz val="14"/>
      <name val="Arial"/>
      <family val="2"/>
      <charset val="186"/>
    </font>
    <font>
      <u/>
      <sz val="9"/>
      <color indexed="12"/>
      <name val="Arial"/>
      <family val="2"/>
    </font>
    <font>
      <u/>
      <sz val="10"/>
      <color indexed="12"/>
      <name val="Arial"/>
      <family val="2"/>
    </font>
    <font>
      <u/>
      <sz val="8"/>
      <color indexed="12"/>
      <name val="Arial"/>
      <family val="2"/>
    </font>
    <font>
      <u/>
      <sz val="10"/>
      <name val="Arial"/>
      <family val="2"/>
    </font>
    <font>
      <sz val="10"/>
      <color theme="4"/>
      <name val="Arial"/>
      <family val="2"/>
    </font>
    <font>
      <sz val="10"/>
      <color theme="3"/>
      <name val="Arial"/>
      <family val="2"/>
    </font>
    <font>
      <b/>
      <sz val="9"/>
      <color rgb="FFFF0000"/>
      <name val="Arial"/>
      <family val="2"/>
      <charset val="186"/>
    </font>
    <font>
      <sz val="11"/>
      <name val="Calibri"/>
      <family val="2"/>
      <charset val="186"/>
      <scheme val="minor"/>
    </font>
    <font>
      <i/>
      <sz val="10"/>
      <name val="Arial"/>
      <family val="2"/>
      <charset val="186"/>
    </font>
    <font>
      <i/>
      <sz val="10"/>
      <color rgb="FFFF0000"/>
      <name val="Arial"/>
      <family val="2"/>
      <charset val="186"/>
    </font>
    <font>
      <sz val="10"/>
      <color rgb="FF000000"/>
      <name val="Arial"/>
      <family val="2"/>
      <charset val="186"/>
    </font>
  </fonts>
  <fills count="58">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51"/>
        <bgColor indexed="64"/>
      </patternFill>
    </fill>
    <fill>
      <patternFill patternType="solid">
        <fgColor indexed="40"/>
        <bgColor indexed="64"/>
      </patternFill>
    </fill>
    <fill>
      <patternFill patternType="solid">
        <fgColor indexed="44"/>
        <bgColor indexed="64"/>
      </patternFill>
    </fill>
    <fill>
      <patternFill patternType="solid">
        <fgColor indexed="11"/>
        <bgColor indexed="64"/>
      </patternFill>
    </fill>
    <fill>
      <patternFill patternType="solid">
        <fgColor indexed="53"/>
        <bgColor indexed="64"/>
      </patternFill>
    </fill>
    <fill>
      <patternFill patternType="solid">
        <fgColor indexed="50"/>
        <bgColor indexed="64"/>
      </patternFill>
    </fill>
    <fill>
      <patternFill patternType="solid">
        <fgColor indexed="22"/>
        <bgColor indexed="64"/>
      </patternFill>
    </fill>
    <fill>
      <patternFill patternType="solid">
        <fgColor indexed="1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3399FF"/>
        <bgColor indexed="64"/>
      </patternFill>
    </fill>
    <fill>
      <patternFill patternType="solid">
        <fgColor rgb="FFFF9933"/>
        <bgColor indexed="64"/>
      </patternFill>
    </fill>
    <fill>
      <patternFill patternType="solid">
        <fgColor rgb="FFFF66FF"/>
        <bgColor indexed="64"/>
      </patternFill>
    </fill>
    <fill>
      <patternFill patternType="solid">
        <fgColor rgb="FFCC9900"/>
        <bgColor indexed="64"/>
      </patternFill>
    </fill>
    <fill>
      <patternFill patternType="solid">
        <fgColor rgb="FFB2B2B2"/>
        <bgColor indexed="64"/>
      </patternFill>
    </fill>
    <fill>
      <patternFill patternType="solid">
        <fgColor rgb="FFFFFF99"/>
        <bgColor indexed="64"/>
      </patternFill>
    </fill>
    <fill>
      <patternFill patternType="solid">
        <fgColor rgb="FF00CCFF"/>
        <bgColor indexed="64"/>
      </patternFill>
    </fill>
    <fill>
      <patternFill patternType="solid">
        <fgColor rgb="FF66FF33"/>
        <bgColor indexed="64"/>
      </patternFill>
    </fill>
    <fill>
      <patternFill patternType="solid">
        <fgColor rgb="FF99FF99"/>
        <bgColor indexed="64"/>
      </patternFill>
    </fill>
    <fill>
      <patternFill patternType="solid">
        <fgColor rgb="FF6666FF"/>
        <bgColor indexed="64"/>
      </patternFill>
    </fill>
    <fill>
      <patternFill patternType="solid">
        <fgColor rgb="FFFFCC00"/>
        <bgColor indexed="64"/>
      </patternFill>
    </fill>
    <fill>
      <patternFill patternType="solid">
        <fgColor rgb="FF969696"/>
        <bgColor indexed="64"/>
      </patternFill>
    </fill>
    <fill>
      <patternFill patternType="solid">
        <fgColor rgb="FFFF9999"/>
        <bgColor indexed="64"/>
      </patternFill>
    </fill>
    <fill>
      <patternFill patternType="solid">
        <fgColor rgb="FF99FF66"/>
        <bgColor indexed="64"/>
      </patternFill>
    </fill>
    <fill>
      <patternFill patternType="solid">
        <fgColor indexed="52"/>
        <bgColor indexed="64"/>
      </patternFill>
    </fill>
    <fill>
      <patternFill patternType="solid">
        <fgColor indexed="57"/>
        <bgColor indexed="64"/>
      </patternFill>
    </fill>
    <fill>
      <patternFill patternType="solid">
        <fgColor rgb="FF93CDDD"/>
        <bgColor indexed="64"/>
      </patternFill>
    </fill>
    <fill>
      <patternFill patternType="solid">
        <fgColor rgb="FF99CC00"/>
        <bgColor indexed="64"/>
      </patternFill>
    </fill>
    <fill>
      <patternFill patternType="solid">
        <fgColor rgb="FFFF99CC"/>
        <bgColor indexed="64"/>
      </patternFill>
    </fill>
    <fill>
      <patternFill patternType="solid">
        <fgColor rgb="FF99CCFF"/>
        <bgColor indexed="64"/>
      </patternFill>
    </fill>
    <fill>
      <patternFill patternType="solid">
        <fgColor rgb="FFFFCCFF"/>
        <bgColor indexed="64"/>
      </patternFill>
    </fill>
    <fill>
      <patternFill patternType="solid">
        <fgColor rgb="FFCCFF66"/>
        <bgColor indexed="64"/>
      </patternFill>
    </fill>
    <fill>
      <patternFill patternType="solid">
        <fgColor rgb="FF9999FF"/>
        <bgColor indexed="64"/>
      </patternFill>
    </fill>
    <fill>
      <patternFill patternType="solid">
        <fgColor rgb="FFCC3300"/>
        <bgColor indexed="64"/>
      </patternFill>
    </fill>
    <fill>
      <patternFill patternType="solid">
        <fgColor rgb="FFEAEAEA"/>
        <bgColor indexed="64"/>
      </patternFill>
    </fill>
    <fill>
      <patternFill patternType="solid">
        <fgColor rgb="FFCC00FF"/>
        <bgColor indexed="64"/>
      </patternFill>
    </fill>
    <fill>
      <patternFill patternType="solid">
        <fgColor rgb="FF339966"/>
        <bgColor indexed="64"/>
      </patternFill>
    </fill>
    <fill>
      <patternFill patternType="solid">
        <fgColor rgb="FFFF66CC"/>
        <bgColor indexed="64"/>
      </patternFill>
    </fill>
    <fill>
      <patternFill patternType="solid">
        <fgColor rgb="FFFF3300"/>
        <bgColor indexed="64"/>
      </patternFill>
    </fill>
    <fill>
      <patternFill patternType="solid">
        <fgColor rgb="FFDDDDDD"/>
        <bgColor indexed="64"/>
      </patternFill>
    </fill>
    <fill>
      <patternFill patternType="solid">
        <fgColor rgb="FFCC6600"/>
        <bgColor indexed="64"/>
      </patternFill>
    </fill>
    <fill>
      <patternFill patternType="solid">
        <fgColor rgb="FFCC99FF"/>
        <bgColor indexed="64"/>
      </patternFill>
    </fill>
    <fill>
      <patternFill patternType="solid">
        <fgColor rgb="FFCCFFCC"/>
        <bgColor indexed="64"/>
      </patternFill>
    </fill>
    <fill>
      <patternFill patternType="solid">
        <fgColor rgb="FF3366FF"/>
        <bgColor indexed="64"/>
      </patternFill>
    </fill>
    <fill>
      <patternFill patternType="solid">
        <fgColor rgb="FFCCCC00"/>
        <bgColor indexed="64"/>
      </patternFill>
    </fill>
    <fill>
      <patternFill patternType="solid">
        <fgColor rgb="FFFF9900"/>
        <bgColor indexed="64"/>
      </patternFill>
    </fill>
    <fill>
      <patternFill patternType="solid">
        <fgColor theme="0"/>
        <bgColor indexed="64"/>
      </patternFill>
    </fill>
    <fill>
      <patternFill patternType="solid">
        <fgColor rgb="FF00FF00"/>
        <bgColor indexed="64"/>
      </patternFill>
    </fill>
  </fills>
  <borders count="31">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1">
    <xf numFmtId="0" fontId="0" fillId="0" borderId="0"/>
    <xf numFmtId="164" fontId="17" fillId="0" borderId="0" applyFont="0" applyFill="0" applyBorder="0" applyAlignment="0" applyProtection="0"/>
    <xf numFmtId="164" fontId="2" fillId="0" borderId="0" applyFont="0" applyFill="0" applyBorder="0" applyAlignment="0" applyProtection="0"/>
    <xf numFmtId="0" fontId="17" fillId="0" borderId="0"/>
    <xf numFmtId="0" fontId="59" fillId="0" borderId="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17" fillId="0" borderId="0"/>
    <xf numFmtId="0" fontId="17" fillId="0" borderId="0"/>
    <xf numFmtId="167" fontId="17"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xf numFmtId="0" fontId="2" fillId="0" borderId="0"/>
  </cellStyleXfs>
  <cellXfs count="2518">
    <xf numFmtId="0" fontId="0" fillId="0" borderId="0" xfId="0"/>
    <xf numFmtId="0" fontId="0" fillId="0" borderId="0" xfId="0" applyAlignment="1">
      <alignment horizontal="left"/>
    </xf>
    <xf numFmtId="0" fontId="0" fillId="0" borderId="1" xfId="0" applyBorder="1" applyAlignment="1">
      <alignment horizontal="left"/>
    </xf>
    <xf numFmtId="0" fontId="0" fillId="0" borderId="0" xfId="0" applyBorder="1" applyAlignment="1">
      <alignment horizontal="left"/>
    </xf>
    <xf numFmtId="0" fontId="4" fillId="0" borderId="0" xfId="0" applyFont="1"/>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5" fillId="0" borderId="0" xfId="0" applyFont="1"/>
    <xf numFmtId="0" fontId="5" fillId="2" borderId="2" xfId="0" applyFont="1" applyFill="1" applyBorder="1" applyAlignment="1">
      <alignment horizontal="left"/>
    </xf>
    <xf numFmtId="0" fontId="5" fillId="2" borderId="3"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4" fillId="2" borderId="5" xfId="0" applyFont="1" applyFill="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165" fontId="0" fillId="0" borderId="0" xfId="2" applyNumberFormat="1" applyFont="1" applyAlignment="1">
      <alignment horizontal="right"/>
    </xf>
    <xf numFmtId="0" fontId="4" fillId="2" borderId="3" xfId="0" applyFont="1" applyFill="1" applyBorder="1" applyAlignment="1">
      <alignment horizontal="left"/>
    </xf>
    <xf numFmtId="165" fontId="0" fillId="0" borderId="0" xfId="2" applyNumberFormat="1" applyFont="1" applyAlignment="1">
      <alignment horizontal="left"/>
    </xf>
    <xf numFmtId="165" fontId="4" fillId="2" borderId="5" xfId="2" applyNumberFormat="1" applyFont="1" applyFill="1" applyBorder="1" applyAlignment="1">
      <alignment horizontal="left"/>
    </xf>
    <xf numFmtId="165" fontId="4" fillId="0" borderId="3" xfId="2" applyNumberFormat="1" applyFont="1" applyBorder="1" applyAlignment="1">
      <alignment horizontal="left"/>
    </xf>
    <xf numFmtId="165" fontId="4" fillId="0" borderId="9" xfId="2" applyNumberFormat="1" applyFont="1" applyBorder="1" applyAlignment="1">
      <alignment horizontal="left"/>
    </xf>
    <xf numFmtId="165" fontId="0" fillId="0" borderId="0" xfId="2" applyNumberFormat="1" applyFont="1" applyBorder="1" applyAlignment="1">
      <alignment horizontal="left"/>
    </xf>
    <xf numFmtId="165" fontId="0" fillId="0" borderId="6" xfId="2" applyNumberFormat="1" applyFont="1" applyBorder="1" applyAlignment="1">
      <alignment horizontal="left"/>
    </xf>
    <xf numFmtId="165" fontId="0" fillId="0" borderId="7" xfId="2" applyNumberFormat="1" applyFont="1" applyBorder="1" applyAlignment="1">
      <alignment horizontal="left"/>
    </xf>
    <xf numFmtId="165" fontId="0" fillId="0" borderId="8" xfId="2" applyNumberFormat="1" applyFont="1" applyBorder="1" applyAlignment="1">
      <alignment horizontal="left"/>
    </xf>
    <xf numFmtId="165" fontId="4" fillId="3" borderId="3" xfId="2" applyNumberFormat="1" applyFont="1" applyFill="1" applyBorder="1" applyAlignment="1">
      <alignment horizontal="left"/>
    </xf>
    <xf numFmtId="165" fontId="4" fillId="3" borderId="9" xfId="2" applyNumberFormat="1" applyFont="1" applyFill="1" applyBorder="1" applyAlignment="1">
      <alignment horizontal="left"/>
    </xf>
    <xf numFmtId="165" fontId="4" fillId="0" borderId="4" xfId="2" applyNumberFormat="1" applyFont="1" applyBorder="1" applyAlignment="1">
      <alignment horizontal="left"/>
    </xf>
    <xf numFmtId="165" fontId="4" fillId="0" borderId="10" xfId="2" applyNumberFormat="1" applyFont="1" applyBorder="1" applyAlignment="1">
      <alignment horizontal="left"/>
    </xf>
    <xf numFmtId="165" fontId="5" fillId="2" borderId="3" xfId="2" applyNumberFormat="1" applyFont="1" applyFill="1" applyBorder="1" applyAlignment="1">
      <alignment horizontal="left"/>
    </xf>
    <xf numFmtId="165" fontId="5" fillId="2" borderId="9" xfId="2" applyNumberFormat="1" applyFont="1" applyFill="1" applyBorder="1" applyAlignment="1">
      <alignment horizontal="left"/>
    </xf>
    <xf numFmtId="165" fontId="4" fillId="2" borderId="3" xfId="2" applyNumberFormat="1" applyFont="1" applyFill="1" applyBorder="1" applyAlignment="1">
      <alignment horizontal="left"/>
    </xf>
    <xf numFmtId="165" fontId="4" fillId="2" borderId="9" xfId="2" applyNumberFormat="1" applyFont="1" applyFill="1" applyBorder="1" applyAlignment="1">
      <alignment horizontal="left"/>
    </xf>
    <xf numFmtId="0" fontId="3" fillId="0" borderId="0" xfId="0" applyFont="1"/>
    <xf numFmtId="165" fontId="0" fillId="0" borderId="0" xfId="2" applyNumberFormat="1" applyFont="1"/>
    <xf numFmtId="0" fontId="2" fillId="0" borderId="5" xfId="0" applyFont="1" applyBorder="1"/>
    <xf numFmtId="0" fontId="2" fillId="0" borderId="0" xfId="0" applyFont="1"/>
    <xf numFmtId="165" fontId="3" fillId="0" borderId="0" xfId="2" applyNumberFormat="1" applyFont="1"/>
    <xf numFmtId="0" fontId="6" fillId="0" borderId="0" xfId="0" applyFont="1"/>
    <xf numFmtId="0" fontId="6" fillId="0" borderId="5" xfId="0" applyFont="1" applyFill="1" applyBorder="1"/>
    <xf numFmtId="165" fontId="7" fillId="0" borderId="0" xfId="2" applyNumberFormat="1" applyFont="1" applyFill="1" applyBorder="1" applyAlignment="1">
      <alignment horizontal="left"/>
    </xf>
    <xf numFmtId="0" fontId="7" fillId="0" borderId="6" xfId="0" applyFont="1" applyFill="1" applyBorder="1" applyAlignment="1">
      <alignment horizontal="left"/>
    </xf>
    <xf numFmtId="165" fontId="7" fillId="0" borderId="6" xfId="2" applyNumberFormat="1" applyFont="1" applyFill="1" applyBorder="1" applyAlignment="1">
      <alignment horizontal="left"/>
    </xf>
    <xf numFmtId="0" fontId="10" fillId="0" borderId="0" xfId="0" applyFont="1"/>
    <xf numFmtId="0" fontId="8" fillId="0" borderId="0" xfId="0" applyFont="1" applyFill="1" applyBorder="1"/>
    <xf numFmtId="0" fontId="0" fillId="0" borderId="0" xfId="0" applyFill="1"/>
    <xf numFmtId="0" fontId="4" fillId="0" borderId="5" xfId="0" applyFont="1" applyBorder="1" applyAlignment="1">
      <alignment wrapText="1"/>
    </xf>
    <xf numFmtId="0" fontId="4" fillId="0" borderId="0" xfId="0" applyFont="1" applyAlignment="1">
      <alignment wrapText="1"/>
    </xf>
    <xf numFmtId="0" fontId="4" fillId="3" borderId="5" xfId="0" applyFont="1" applyFill="1" applyBorder="1" applyAlignment="1">
      <alignment horizontal="left"/>
    </xf>
    <xf numFmtId="165" fontId="4" fillId="3" borderId="5" xfId="2" applyNumberFormat="1" applyFont="1" applyFill="1" applyBorder="1" applyAlignment="1">
      <alignment horizontal="left"/>
    </xf>
    <xf numFmtId="165" fontId="6" fillId="0" borderId="5" xfId="2" applyNumberFormat="1" applyFont="1" applyFill="1" applyBorder="1"/>
    <xf numFmtId="0" fontId="6" fillId="0" borderId="0" xfId="0" applyFont="1" applyFill="1" applyBorder="1"/>
    <xf numFmtId="165" fontId="4" fillId="0" borderId="0" xfId="2" applyNumberFormat="1" applyFont="1" applyFill="1" applyBorder="1"/>
    <xf numFmtId="165" fontId="0" fillId="0" borderId="0" xfId="2" applyNumberFormat="1" applyFont="1" applyFill="1" applyBorder="1"/>
    <xf numFmtId="0" fontId="0" fillId="0" borderId="0" xfId="0" applyFill="1" applyBorder="1"/>
    <xf numFmtId="0" fontId="3" fillId="0" borderId="0" xfId="0" applyFont="1" applyFill="1" applyBorder="1"/>
    <xf numFmtId="165" fontId="6" fillId="0" borderId="0" xfId="2" applyNumberFormat="1" applyFont="1" applyFill="1" applyBorder="1"/>
    <xf numFmtId="0" fontId="10" fillId="0" borderId="0" xfId="0" applyFont="1" applyFill="1" applyBorder="1"/>
    <xf numFmtId="165" fontId="10" fillId="0" borderId="0" xfId="2" applyNumberFormat="1" applyFont="1" applyFill="1" applyBorder="1"/>
    <xf numFmtId="165" fontId="3" fillId="0" borderId="0" xfId="2" applyNumberFormat="1" applyFont="1" applyFill="1" applyBorder="1"/>
    <xf numFmtId="165" fontId="9" fillId="0" borderId="0" xfId="2" applyNumberFormat="1" applyFont="1" applyFill="1" applyBorder="1"/>
    <xf numFmtId="165" fontId="6" fillId="4" borderId="5" xfId="2" applyNumberFormat="1" applyFont="1" applyFill="1" applyBorder="1"/>
    <xf numFmtId="0" fontId="12" fillId="0" borderId="0" xfId="0" applyFont="1" applyAlignment="1">
      <alignment horizontal="right"/>
    </xf>
    <xf numFmtId="0" fontId="16" fillId="0" borderId="0" xfId="0" applyFont="1" applyFill="1"/>
    <xf numFmtId="0" fontId="9" fillId="0" borderId="0" xfId="0" applyFont="1" applyAlignment="1">
      <alignment horizontal="right"/>
    </xf>
    <xf numFmtId="0" fontId="17" fillId="0" borderId="0" xfId="0" applyFont="1"/>
    <xf numFmtId="0" fontId="9" fillId="0" borderId="0" xfId="0" applyFont="1"/>
    <xf numFmtId="165" fontId="0" fillId="3" borderId="7" xfId="2" applyNumberFormat="1" applyFont="1" applyFill="1" applyBorder="1" applyAlignment="1">
      <alignment horizontal="left"/>
    </xf>
    <xf numFmtId="165" fontId="0" fillId="3" borderId="0" xfId="2" applyNumberFormat="1" applyFont="1" applyFill="1" applyBorder="1" applyAlignment="1">
      <alignment horizontal="left"/>
    </xf>
    <xf numFmtId="165" fontId="0" fillId="3" borderId="11" xfId="2" applyNumberFormat="1" applyFont="1" applyFill="1" applyBorder="1" applyAlignment="1">
      <alignment horizontal="left"/>
    </xf>
    <xf numFmtId="0" fontId="0" fillId="0" borderId="0" xfId="0" applyBorder="1"/>
    <xf numFmtId="0" fontId="12" fillId="0" borderId="0" xfId="0" applyFont="1"/>
    <xf numFmtId="0" fontId="19" fillId="0" borderId="0" xfId="0" applyFont="1" applyAlignment="1">
      <alignment horizontal="left"/>
    </xf>
    <xf numFmtId="0" fontId="20" fillId="2" borderId="5" xfId="0" applyFont="1" applyFill="1" applyBorder="1" applyAlignment="1">
      <alignment horizontal="left"/>
    </xf>
    <xf numFmtId="0" fontId="20" fillId="0" borderId="2" xfId="0" applyFont="1" applyBorder="1" applyAlignment="1">
      <alignment horizontal="left"/>
    </xf>
    <xf numFmtId="0" fontId="19" fillId="0" borderId="1" xfId="0" applyFont="1" applyBorder="1" applyAlignment="1">
      <alignment horizontal="left"/>
    </xf>
    <xf numFmtId="0" fontId="20" fillId="3" borderId="2" xfId="0" applyFont="1" applyFill="1" applyBorder="1" applyAlignment="1">
      <alignment horizontal="left"/>
    </xf>
    <xf numFmtId="0" fontId="20" fillId="2" borderId="2" xfId="0" applyFont="1" applyFill="1" applyBorder="1" applyAlignment="1">
      <alignment horizontal="left"/>
    </xf>
    <xf numFmtId="0" fontId="22" fillId="0" borderId="0" xfId="0" applyFont="1"/>
    <xf numFmtId="0" fontId="6" fillId="0" borderId="0" xfId="0" applyFont="1" applyFill="1"/>
    <xf numFmtId="0" fontId="22" fillId="0" borderId="0" xfId="0" applyFont="1" applyFill="1"/>
    <xf numFmtId="0" fontId="19" fillId="3" borderId="1" xfId="0" applyFont="1" applyFill="1" applyBorder="1" applyAlignment="1">
      <alignment horizontal="left"/>
    </xf>
    <xf numFmtId="0" fontId="0" fillId="3" borderId="7" xfId="0" applyFill="1" applyBorder="1" applyAlignment="1">
      <alignment horizontal="left"/>
    </xf>
    <xf numFmtId="0" fontId="0" fillId="3" borderId="0" xfId="0" applyFill="1" applyBorder="1" applyAlignment="1">
      <alignment horizontal="left"/>
    </xf>
    <xf numFmtId="0" fontId="0" fillId="3" borderId="1" xfId="0" applyFill="1" applyBorder="1" applyAlignment="1">
      <alignment horizontal="left"/>
    </xf>
    <xf numFmtId="0" fontId="0" fillId="3" borderId="6" xfId="0" applyFill="1" applyBorder="1" applyAlignment="1">
      <alignment horizontal="left"/>
    </xf>
    <xf numFmtId="165" fontId="0" fillId="3" borderId="6" xfId="2" applyNumberFormat="1" applyFont="1"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165" fontId="0" fillId="3" borderId="15" xfId="2" applyNumberFormat="1" applyFont="1" applyFill="1" applyBorder="1" applyAlignment="1">
      <alignment horizontal="left"/>
    </xf>
    <xf numFmtId="0" fontId="21" fillId="3" borderId="1" xfId="0" applyFont="1" applyFill="1" applyBorder="1" applyAlignment="1">
      <alignment horizontal="left"/>
    </xf>
    <xf numFmtId="165" fontId="4" fillId="2" borderId="2" xfId="2" applyNumberFormat="1" applyFont="1" applyFill="1" applyBorder="1" applyAlignment="1">
      <alignment horizontal="left"/>
    </xf>
    <xf numFmtId="0" fontId="12" fillId="0" borderId="0" xfId="0" applyFont="1" applyFill="1"/>
    <xf numFmtId="0" fontId="9" fillId="0" borderId="0" xfId="0" applyFont="1" applyFill="1" applyAlignment="1">
      <alignment horizontal="right"/>
    </xf>
    <xf numFmtId="0" fontId="9" fillId="0" borderId="0" xfId="0" applyFont="1" applyFill="1"/>
    <xf numFmtId="165" fontId="0" fillId="0" borderId="0" xfId="0" applyNumberFormat="1"/>
    <xf numFmtId="0" fontId="19" fillId="0" borderId="0" xfId="0" applyFont="1"/>
    <xf numFmtId="0" fontId="17" fillId="0" borderId="7" xfId="0" applyFont="1" applyBorder="1" applyAlignment="1">
      <alignment horizontal="left"/>
    </xf>
    <xf numFmtId="0" fontId="17" fillId="0" borderId="0" xfId="0" applyFont="1" applyBorder="1" applyAlignment="1">
      <alignment horizontal="left"/>
    </xf>
    <xf numFmtId="165" fontId="17" fillId="0" borderId="0" xfId="2" applyNumberFormat="1" applyFont="1" applyBorder="1" applyAlignment="1">
      <alignment horizontal="left"/>
    </xf>
    <xf numFmtId="165" fontId="17" fillId="0" borderId="7" xfId="2" applyNumberFormat="1" applyFont="1" applyBorder="1" applyAlignment="1">
      <alignment horizontal="left"/>
    </xf>
    <xf numFmtId="0" fontId="19" fillId="3" borderId="5" xfId="0" applyFont="1" applyFill="1" applyBorder="1"/>
    <xf numFmtId="165" fontId="9" fillId="0" borderId="0" xfId="2" applyNumberFormat="1" applyFont="1"/>
    <xf numFmtId="0" fontId="24" fillId="0" borderId="0" xfId="0" applyFont="1"/>
    <xf numFmtId="0" fontId="19" fillId="0" borderId="1" xfId="0" applyFont="1" applyFill="1" applyBorder="1" applyAlignment="1">
      <alignment horizontal="left"/>
    </xf>
    <xf numFmtId="165" fontId="17" fillId="3" borderId="0" xfId="2" applyNumberFormat="1" applyFont="1" applyFill="1" applyBorder="1" applyAlignment="1">
      <alignment horizontal="left"/>
    </xf>
    <xf numFmtId="165" fontId="17" fillId="0" borderId="0" xfId="2" applyNumberFormat="1" applyFont="1" applyFill="1" applyBorder="1" applyAlignment="1">
      <alignment horizontal="left"/>
    </xf>
    <xf numFmtId="165" fontId="24" fillId="0" borderId="0" xfId="2" applyNumberFormat="1" applyFont="1"/>
    <xf numFmtId="0" fontId="17" fillId="0" borderId="0" xfId="0" applyFont="1" applyAlignment="1">
      <alignment horizontal="left"/>
    </xf>
    <xf numFmtId="165" fontId="17" fillId="0" borderId="0" xfId="2" applyNumberFormat="1" applyFont="1" applyAlignment="1">
      <alignment horizontal="left"/>
    </xf>
    <xf numFmtId="0" fontId="17" fillId="3" borderId="0" xfId="0" applyFont="1" applyFill="1" applyBorder="1" applyAlignment="1">
      <alignment horizontal="left"/>
    </xf>
    <xf numFmtId="165" fontId="17" fillId="3" borderId="6" xfId="2" applyNumberFormat="1" applyFont="1" applyFill="1" applyBorder="1" applyAlignment="1">
      <alignment horizontal="left"/>
    </xf>
    <xf numFmtId="0" fontId="17" fillId="3" borderId="7" xfId="0" applyFont="1" applyFill="1" applyBorder="1" applyAlignment="1">
      <alignment horizontal="left"/>
    </xf>
    <xf numFmtId="165" fontId="17" fillId="3" borderId="7" xfId="2" applyNumberFormat="1" applyFont="1" applyFill="1" applyBorder="1" applyAlignment="1">
      <alignment horizontal="left"/>
    </xf>
    <xf numFmtId="165" fontId="17" fillId="0" borderId="7" xfId="2" applyNumberFormat="1" applyFont="1" applyFill="1" applyBorder="1" applyAlignment="1">
      <alignment horizontal="left"/>
    </xf>
    <xf numFmtId="165" fontId="17" fillId="0" borderId="6" xfId="2" applyNumberFormat="1" applyFont="1" applyFill="1" applyBorder="1" applyAlignment="1">
      <alignment horizontal="left"/>
    </xf>
    <xf numFmtId="165" fontId="17" fillId="0" borderId="6" xfId="2" applyNumberFormat="1" applyFont="1" applyBorder="1" applyAlignment="1">
      <alignment horizontal="left"/>
    </xf>
    <xf numFmtId="0" fontId="17" fillId="0" borderId="8" xfId="0" applyFont="1" applyBorder="1" applyAlignment="1">
      <alignment horizontal="left"/>
    </xf>
    <xf numFmtId="165" fontId="17" fillId="0" borderId="8" xfId="2" applyNumberFormat="1" applyFont="1" applyBorder="1" applyAlignment="1">
      <alignment horizontal="left"/>
    </xf>
    <xf numFmtId="0" fontId="17" fillId="3" borderId="13" xfId="0" applyFont="1" applyFill="1" applyBorder="1" applyAlignment="1">
      <alignment horizontal="left"/>
    </xf>
    <xf numFmtId="0" fontId="17" fillId="3" borderId="14" xfId="0" applyFont="1" applyFill="1" applyBorder="1" applyAlignment="1">
      <alignment horizontal="left"/>
    </xf>
    <xf numFmtId="165" fontId="17" fillId="3" borderId="15" xfId="2" applyNumberFormat="1" applyFont="1" applyFill="1" applyBorder="1" applyAlignment="1">
      <alignment horizontal="left"/>
    </xf>
    <xf numFmtId="0" fontId="17" fillId="3" borderId="1" xfId="0" applyFont="1" applyFill="1" applyBorder="1" applyAlignment="1">
      <alignment horizontal="left"/>
    </xf>
    <xf numFmtId="165" fontId="17" fillId="3" borderId="11" xfId="2" applyNumberFormat="1" applyFont="1" applyFill="1" applyBorder="1" applyAlignment="1">
      <alignment horizontal="left"/>
    </xf>
    <xf numFmtId="164" fontId="17" fillId="3" borderId="11" xfId="2" applyFont="1" applyFill="1" applyBorder="1" applyAlignment="1">
      <alignment horizontal="left"/>
    </xf>
    <xf numFmtId="0" fontId="17" fillId="0" borderId="6" xfId="0" applyFont="1" applyFill="1" applyBorder="1" applyAlignment="1">
      <alignment horizontal="left"/>
    </xf>
    <xf numFmtId="165" fontId="28" fillId="0" borderId="0" xfId="2" applyNumberFormat="1" applyFont="1" applyFill="1" applyBorder="1" applyAlignment="1">
      <alignment horizontal="left"/>
    </xf>
    <xf numFmtId="165" fontId="24" fillId="3" borderId="0" xfId="2" applyNumberFormat="1" applyFont="1" applyFill="1" applyBorder="1" applyAlignment="1">
      <alignment horizontal="left"/>
    </xf>
    <xf numFmtId="165" fontId="24" fillId="3" borderId="6" xfId="2" applyNumberFormat="1" applyFont="1" applyFill="1" applyBorder="1" applyAlignment="1">
      <alignment horizontal="left"/>
    </xf>
    <xf numFmtId="0" fontId="24" fillId="3" borderId="7" xfId="0" applyFont="1" applyFill="1" applyBorder="1" applyAlignment="1">
      <alignment horizontal="left"/>
    </xf>
    <xf numFmtId="165" fontId="24" fillId="3" borderId="7" xfId="2" applyNumberFormat="1" applyFont="1" applyFill="1" applyBorder="1" applyAlignment="1">
      <alignment horizontal="left"/>
    </xf>
    <xf numFmtId="165" fontId="2" fillId="3" borderId="5" xfId="2" applyNumberFormat="1" applyFont="1" applyFill="1" applyBorder="1"/>
    <xf numFmtId="165" fontId="12" fillId="0" borderId="0" xfId="2" applyNumberFormat="1" applyFont="1"/>
    <xf numFmtId="165" fontId="23" fillId="0" borderId="0" xfId="2" applyNumberFormat="1" applyFont="1"/>
    <xf numFmtId="165" fontId="2" fillId="3" borderId="11" xfId="2" applyNumberFormat="1" applyFont="1" applyFill="1" applyBorder="1" applyAlignment="1">
      <alignment horizontal="left"/>
    </xf>
    <xf numFmtId="165" fontId="2" fillId="0" borderId="5" xfId="2" applyNumberFormat="1" applyFont="1" applyFill="1" applyBorder="1"/>
    <xf numFmtId="0" fontId="30" fillId="12" borderId="5" xfId="0" applyFont="1" applyFill="1" applyBorder="1"/>
    <xf numFmtId="165" fontId="30" fillId="12" borderId="5" xfId="2" applyNumberFormat="1" applyFont="1" applyFill="1" applyBorder="1"/>
    <xf numFmtId="0" fontId="31" fillId="12" borderId="1" xfId="0" applyFont="1" applyFill="1" applyBorder="1" applyAlignment="1">
      <alignment horizontal="left"/>
    </xf>
    <xf numFmtId="0" fontId="30" fillId="12" borderId="0" xfId="0" applyFont="1" applyFill="1" applyBorder="1" applyAlignment="1">
      <alignment horizontal="left"/>
    </xf>
    <xf numFmtId="165" fontId="30" fillId="12" borderId="0" xfId="2" applyNumberFormat="1" applyFont="1" applyFill="1" applyBorder="1" applyAlignment="1">
      <alignment horizontal="left"/>
    </xf>
    <xf numFmtId="165" fontId="27" fillId="2" borderId="5" xfId="2" applyNumberFormat="1" applyFont="1" applyFill="1" applyBorder="1" applyAlignment="1">
      <alignment horizontal="left"/>
    </xf>
    <xf numFmtId="165" fontId="27" fillId="0" borderId="3" xfId="2" applyNumberFormat="1" applyFont="1" applyBorder="1" applyAlignment="1">
      <alignment horizontal="left"/>
    </xf>
    <xf numFmtId="165" fontId="27" fillId="3" borderId="3" xfId="2" applyNumberFormat="1" applyFont="1" applyFill="1" applyBorder="1" applyAlignment="1">
      <alignment horizontal="left"/>
    </xf>
    <xf numFmtId="165" fontId="27" fillId="2" borderId="3" xfId="2" applyNumberFormat="1" applyFont="1" applyFill="1" applyBorder="1" applyAlignment="1">
      <alignment horizontal="left"/>
    </xf>
    <xf numFmtId="165" fontId="28" fillId="0" borderId="0" xfId="2" applyNumberFormat="1" applyFont="1" applyAlignment="1">
      <alignment horizontal="left"/>
    </xf>
    <xf numFmtId="0" fontId="20" fillId="0" borderId="13" xfId="0" applyFont="1" applyBorder="1" applyAlignment="1">
      <alignment horizontal="left"/>
    </xf>
    <xf numFmtId="0" fontId="4" fillId="0" borderId="14" xfId="0" applyFont="1" applyBorder="1" applyAlignment="1">
      <alignment horizontal="left"/>
    </xf>
    <xf numFmtId="165" fontId="4" fillId="0" borderId="14" xfId="2" applyNumberFormat="1" applyFont="1" applyBorder="1" applyAlignment="1">
      <alignment horizontal="left"/>
    </xf>
    <xf numFmtId="165" fontId="4" fillId="0" borderId="15" xfId="2" applyNumberFormat="1" applyFont="1" applyBorder="1" applyAlignment="1">
      <alignment horizontal="left"/>
    </xf>
    <xf numFmtId="0" fontId="20" fillId="3" borderId="12" xfId="0" applyFont="1" applyFill="1" applyBorder="1" applyAlignment="1">
      <alignment horizontal="left"/>
    </xf>
    <xf numFmtId="0" fontId="4" fillId="3" borderId="4" xfId="0" applyFont="1" applyFill="1" applyBorder="1" applyAlignment="1">
      <alignment horizontal="left"/>
    </xf>
    <xf numFmtId="165" fontId="4" fillId="3" borderId="4" xfId="2" applyNumberFormat="1" applyFont="1" applyFill="1" applyBorder="1" applyAlignment="1">
      <alignment horizontal="left"/>
    </xf>
    <xf numFmtId="165" fontId="4" fillId="3" borderId="10" xfId="2" applyNumberFormat="1" applyFont="1" applyFill="1" applyBorder="1" applyAlignment="1">
      <alignment horizontal="left"/>
    </xf>
    <xf numFmtId="164" fontId="24" fillId="0" borderId="0" xfId="2" applyFont="1"/>
    <xf numFmtId="164" fontId="27" fillId="0" borderId="5" xfId="2" applyFont="1" applyBorder="1" applyAlignment="1">
      <alignment wrapText="1"/>
    </xf>
    <xf numFmtId="165" fontId="4" fillId="0" borderId="5" xfId="2" applyNumberFormat="1" applyFont="1" applyBorder="1" applyAlignment="1">
      <alignment horizontal="left" wrapText="1"/>
    </xf>
    <xf numFmtId="0" fontId="7" fillId="0" borderId="0" xfId="0" applyFont="1" applyFill="1"/>
    <xf numFmtId="0" fontId="7" fillId="0" borderId="12" xfId="0" applyFont="1" applyFill="1" applyBorder="1" applyAlignment="1">
      <alignment horizontal="left"/>
    </xf>
    <xf numFmtId="0" fontId="7" fillId="0" borderId="8" xfId="0" applyFont="1" applyFill="1" applyBorder="1" applyAlignment="1">
      <alignment horizontal="left"/>
    </xf>
    <xf numFmtId="165" fontId="7" fillId="0" borderId="4" xfId="2" applyNumberFormat="1" applyFont="1" applyFill="1" applyBorder="1" applyAlignment="1">
      <alignment horizontal="left"/>
    </xf>
    <xf numFmtId="165" fontId="7" fillId="0" borderId="8" xfId="2" applyNumberFormat="1" applyFont="1" applyFill="1" applyBorder="1" applyAlignment="1">
      <alignment horizontal="left"/>
    </xf>
    <xf numFmtId="0" fontId="32" fillId="2" borderId="2" xfId="0" applyFont="1" applyFill="1" applyBorder="1" applyAlignment="1">
      <alignment horizontal="left"/>
    </xf>
    <xf numFmtId="166" fontId="2" fillId="3" borderId="5" xfId="0" applyNumberFormat="1" applyFont="1" applyFill="1" applyBorder="1"/>
    <xf numFmtId="0" fontId="6" fillId="3" borderId="5" xfId="0" applyFont="1" applyFill="1" applyBorder="1"/>
    <xf numFmtId="165" fontId="6" fillId="3" borderId="5" xfId="2" applyNumberFormat="1" applyFont="1" applyFill="1" applyBorder="1"/>
    <xf numFmtId="0" fontId="29" fillId="0" borderId="0" xfId="0" applyFont="1" applyFill="1"/>
    <xf numFmtId="165" fontId="26" fillId="0" borderId="1" xfId="2" applyNumberFormat="1" applyFont="1" applyFill="1" applyBorder="1" applyAlignment="1">
      <alignment horizontal="left"/>
    </xf>
    <xf numFmtId="165" fontId="9" fillId="0" borderId="0" xfId="0" applyNumberFormat="1" applyFont="1" applyFill="1"/>
    <xf numFmtId="164" fontId="0" fillId="0" borderId="0" xfId="2" applyNumberFormat="1" applyFont="1"/>
    <xf numFmtId="164" fontId="9" fillId="0" borderId="0" xfId="2" applyNumberFormat="1" applyFont="1"/>
    <xf numFmtId="164" fontId="0" fillId="0" borderId="0" xfId="2" applyNumberFormat="1" applyFont="1" applyFill="1" applyBorder="1"/>
    <xf numFmtId="164" fontId="6" fillId="0" borderId="0" xfId="2" applyNumberFormat="1" applyFont="1" applyFill="1" applyBorder="1"/>
    <xf numFmtId="164" fontId="10" fillId="0" borderId="0" xfId="2" applyNumberFormat="1" applyFont="1" applyFill="1" applyBorder="1"/>
    <xf numFmtId="164" fontId="4" fillId="0" borderId="0" xfId="2" applyNumberFormat="1" applyFont="1" applyFill="1" applyBorder="1"/>
    <xf numFmtId="0" fontId="12" fillId="0" borderId="0" xfId="0" applyFont="1" applyFill="1" applyAlignment="1">
      <alignment horizontal="right"/>
    </xf>
    <xf numFmtId="165" fontId="2" fillId="3" borderId="0" xfId="2" applyNumberFormat="1" applyFont="1" applyFill="1" applyBorder="1" applyAlignment="1">
      <alignment horizontal="left"/>
    </xf>
    <xf numFmtId="165" fontId="2" fillId="3" borderId="7" xfId="2" applyNumberFormat="1" applyFont="1" applyFill="1" applyBorder="1" applyAlignment="1">
      <alignment horizontal="left"/>
    </xf>
    <xf numFmtId="0" fontId="33" fillId="0" borderId="0" xfId="0" applyFont="1" applyFill="1"/>
    <xf numFmtId="165" fontId="2" fillId="0" borderId="0" xfId="2" applyNumberFormat="1" applyFont="1" applyAlignment="1">
      <alignment horizontal="left"/>
    </xf>
    <xf numFmtId="165" fontId="28" fillId="0" borderId="0" xfId="2" applyNumberFormat="1" applyFont="1" applyBorder="1" applyAlignment="1">
      <alignment horizontal="left"/>
    </xf>
    <xf numFmtId="165" fontId="27" fillId="12" borderId="0" xfId="2" applyNumberFormat="1" applyFont="1" applyFill="1" applyBorder="1" applyAlignment="1">
      <alignment horizontal="left"/>
    </xf>
    <xf numFmtId="165" fontId="37" fillId="2" borderId="3" xfId="2" applyNumberFormat="1" applyFont="1" applyFill="1" applyBorder="1" applyAlignment="1">
      <alignment horizontal="left"/>
    </xf>
    <xf numFmtId="165" fontId="38" fillId="0" borderId="0" xfId="2" applyNumberFormat="1" applyFont="1" applyAlignment="1">
      <alignment horizontal="left"/>
    </xf>
    <xf numFmtId="165" fontId="6" fillId="12" borderId="5" xfId="2" applyNumberFormat="1" applyFont="1" applyFill="1" applyBorder="1"/>
    <xf numFmtId="165" fontId="33" fillId="0" borderId="0" xfId="0" applyNumberFormat="1" applyFont="1" applyFill="1"/>
    <xf numFmtId="164" fontId="25" fillId="0" borderId="0" xfId="2" applyNumberFormat="1" applyFont="1" applyFill="1"/>
    <xf numFmtId="165" fontId="0" fillId="0" borderId="0" xfId="2" applyNumberFormat="1" applyFont="1" applyFill="1"/>
    <xf numFmtId="164" fontId="0" fillId="0" borderId="0" xfId="2" applyNumberFormat="1" applyFont="1" applyFill="1"/>
    <xf numFmtId="0" fontId="28" fillId="9" borderId="5" xfId="0" applyFont="1" applyFill="1" applyBorder="1"/>
    <xf numFmtId="165" fontId="28" fillId="9" borderId="5" xfId="2" applyNumberFormat="1" applyFont="1" applyFill="1" applyBorder="1"/>
    <xf numFmtId="164" fontId="28" fillId="9" borderId="5" xfId="0" applyNumberFormat="1" applyFont="1" applyFill="1" applyBorder="1"/>
    <xf numFmtId="2" fontId="28" fillId="9" borderId="5" xfId="0" applyNumberFormat="1" applyFont="1" applyFill="1" applyBorder="1"/>
    <xf numFmtId="164" fontId="28" fillId="9" borderId="5" xfId="2" applyFont="1" applyFill="1" applyBorder="1"/>
    <xf numFmtId="0" fontId="17" fillId="16" borderId="5" xfId="3" applyFont="1" applyFill="1" applyBorder="1"/>
    <xf numFmtId="0" fontId="17" fillId="0" borderId="7" xfId="0" applyFont="1" applyFill="1" applyBorder="1" applyAlignment="1">
      <alignment horizontal="left"/>
    </xf>
    <xf numFmtId="165" fontId="17" fillId="0" borderId="8" xfId="2" applyNumberFormat="1" applyFont="1" applyFill="1" applyBorder="1" applyAlignment="1">
      <alignment horizontal="left"/>
    </xf>
    <xf numFmtId="0" fontId="17" fillId="0" borderId="8" xfId="0" applyFont="1" applyFill="1" applyBorder="1" applyAlignment="1">
      <alignment horizontal="left"/>
    </xf>
    <xf numFmtId="0" fontId="29" fillId="0" borderId="0" xfId="0" applyFont="1" applyFill="1" applyAlignment="1">
      <alignment horizontal="right"/>
    </xf>
    <xf numFmtId="0" fontId="17" fillId="0" borderId="0" xfId="0" applyFont="1" applyFill="1"/>
    <xf numFmtId="165" fontId="2" fillId="0" borderId="0" xfId="2" applyNumberFormat="1" applyFont="1" applyFill="1" applyBorder="1" applyAlignment="1">
      <alignment horizontal="left"/>
    </xf>
    <xf numFmtId="0" fontId="24" fillId="7" borderId="5" xfId="0" applyFont="1" applyFill="1" applyBorder="1"/>
    <xf numFmtId="0" fontId="24" fillId="7" borderId="8" xfId="0" applyFont="1" applyFill="1" applyBorder="1"/>
    <xf numFmtId="0" fontId="18" fillId="7" borderId="5" xfId="0" applyFont="1" applyFill="1" applyBorder="1"/>
    <xf numFmtId="165" fontId="18" fillId="7" borderId="5" xfId="2" applyNumberFormat="1" applyFont="1" applyFill="1" applyBorder="1"/>
    <xf numFmtId="164" fontId="24" fillId="7" borderId="5" xfId="0" applyNumberFormat="1" applyFont="1" applyFill="1" applyBorder="1"/>
    <xf numFmtId="2" fontId="24" fillId="7" borderId="5" xfId="0" applyNumberFormat="1" applyFont="1" applyFill="1" applyBorder="1"/>
    <xf numFmtId="164" fontId="24" fillId="7" borderId="5" xfId="2" applyFont="1" applyFill="1" applyBorder="1"/>
    <xf numFmtId="0" fontId="7" fillId="0" borderId="13" xfId="0" applyFont="1" applyFill="1" applyBorder="1" applyAlignment="1">
      <alignment horizontal="left"/>
    </xf>
    <xf numFmtId="165" fontId="7" fillId="0" borderId="14" xfId="2" applyNumberFormat="1" applyFont="1" applyFill="1" applyBorder="1" applyAlignment="1">
      <alignment horizontal="left"/>
    </xf>
    <xf numFmtId="164" fontId="0" fillId="0" borderId="0" xfId="0" applyNumberFormat="1"/>
    <xf numFmtId="9" fontId="2" fillId="0" borderId="5" xfId="0" applyNumberFormat="1" applyFont="1" applyBorder="1"/>
    <xf numFmtId="165" fontId="15" fillId="0" borderId="1" xfId="2" applyNumberFormat="1" applyFont="1" applyFill="1" applyBorder="1" applyAlignment="1">
      <alignment horizontal="left"/>
    </xf>
    <xf numFmtId="0" fontId="40" fillId="0" borderId="0" xfId="0" applyFont="1" applyAlignment="1">
      <alignment horizontal="left"/>
    </xf>
    <xf numFmtId="0" fontId="41" fillId="2" borderId="5" xfId="0" applyFont="1" applyFill="1" applyBorder="1" applyAlignment="1">
      <alignment horizontal="left"/>
    </xf>
    <xf numFmtId="0" fontId="41" fillId="0" borderId="3" xfId="0" applyFont="1" applyBorder="1" applyAlignment="1">
      <alignment horizontal="left"/>
    </xf>
    <xf numFmtId="0" fontId="40" fillId="0" borderId="0" xfId="0" applyFont="1" applyBorder="1" applyAlignment="1">
      <alignment horizontal="left"/>
    </xf>
    <xf numFmtId="0" fontId="41" fillId="3" borderId="3" xfId="0" applyFont="1" applyFill="1" applyBorder="1" applyAlignment="1">
      <alignment horizontal="left"/>
    </xf>
    <xf numFmtId="0" fontId="40" fillId="0" borderId="0" xfId="0" applyFont="1" applyFill="1" applyBorder="1" applyAlignment="1">
      <alignment horizontal="left"/>
    </xf>
    <xf numFmtId="0" fontId="40" fillId="3" borderId="6" xfId="0" applyFont="1" applyFill="1" applyBorder="1" applyAlignment="1">
      <alignment horizontal="left"/>
    </xf>
    <xf numFmtId="0" fontId="40" fillId="3" borderId="7" xfId="0" applyFont="1" applyFill="1" applyBorder="1" applyAlignment="1">
      <alignment horizontal="left"/>
    </xf>
    <xf numFmtId="0" fontId="40" fillId="3" borderId="0" xfId="0" applyFont="1" applyFill="1" applyBorder="1" applyAlignment="1">
      <alignment horizontal="left"/>
    </xf>
    <xf numFmtId="0" fontId="41" fillId="2" borderId="3" xfId="0" applyFont="1" applyFill="1" applyBorder="1" applyAlignment="1">
      <alignment horizontal="left"/>
    </xf>
    <xf numFmtId="0" fontId="41" fillId="12" borderId="0" xfId="0" applyFont="1" applyFill="1" applyBorder="1" applyAlignment="1">
      <alignment horizontal="left"/>
    </xf>
    <xf numFmtId="0" fontId="42" fillId="12" borderId="0" xfId="0" applyFont="1" applyFill="1" applyBorder="1" applyAlignment="1">
      <alignment horizontal="left"/>
    </xf>
    <xf numFmtId="0" fontId="41" fillId="0" borderId="14" xfId="0" applyFont="1" applyBorder="1" applyAlignment="1">
      <alignment horizontal="left"/>
    </xf>
    <xf numFmtId="0" fontId="41" fillId="3" borderId="4" xfId="0" applyFont="1" applyFill="1" applyBorder="1" applyAlignment="1">
      <alignment horizontal="left"/>
    </xf>
    <xf numFmtId="0" fontId="11" fillId="0" borderId="0" xfId="0" applyFont="1" applyAlignment="1">
      <alignment horizontal="left"/>
    </xf>
    <xf numFmtId="0" fontId="44" fillId="2" borderId="5" xfId="0" applyFont="1" applyFill="1" applyBorder="1" applyAlignment="1">
      <alignment horizontal="left"/>
    </xf>
    <xf numFmtId="0" fontId="44" fillId="0" borderId="3" xfId="0" applyFont="1" applyBorder="1" applyAlignment="1">
      <alignment horizontal="left"/>
    </xf>
    <xf numFmtId="0" fontId="44" fillId="3" borderId="3" xfId="0" applyFont="1" applyFill="1" applyBorder="1" applyAlignment="1">
      <alignment horizontal="left"/>
    </xf>
    <xf numFmtId="0" fontId="11" fillId="3" borderId="7" xfId="0" applyFont="1" applyFill="1" applyBorder="1" applyAlignment="1">
      <alignment horizontal="left"/>
    </xf>
    <xf numFmtId="0" fontId="11" fillId="0" borderId="14" xfId="0" applyFont="1" applyFill="1" applyBorder="1" applyAlignment="1">
      <alignment horizontal="left"/>
    </xf>
    <xf numFmtId="0" fontId="11" fillId="0" borderId="4" xfId="0" applyFont="1" applyFill="1" applyBorder="1" applyAlignment="1">
      <alignment horizontal="left"/>
    </xf>
    <xf numFmtId="0" fontId="44" fillId="2" borderId="3" xfId="0" applyFont="1" applyFill="1" applyBorder="1" applyAlignment="1">
      <alignment horizontal="left"/>
    </xf>
    <xf numFmtId="0" fontId="44" fillId="12" borderId="0" xfId="0" applyFont="1" applyFill="1" applyBorder="1" applyAlignment="1">
      <alignment horizontal="left"/>
    </xf>
    <xf numFmtId="0" fontId="2" fillId="3" borderId="11" xfId="0" applyFont="1" applyFill="1" applyBorder="1" applyAlignment="1">
      <alignment horizontal="left"/>
    </xf>
    <xf numFmtId="0" fontId="11" fillId="3" borderId="7" xfId="0" applyFont="1" applyFill="1" applyBorder="1" applyAlignment="1">
      <alignment horizontal="left" wrapText="1"/>
    </xf>
    <xf numFmtId="0" fontId="42" fillId="3" borderId="7" xfId="0" applyFont="1" applyFill="1" applyBorder="1" applyAlignment="1">
      <alignment horizontal="left" wrapText="1"/>
    </xf>
    <xf numFmtId="0" fontId="30" fillId="3" borderId="15" xfId="0" applyFont="1" applyFill="1" applyBorder="1" applyAlignment="1">
      <alignment horizontal="left"/>
    </xf>
    <xf numFmtId="165" fontId="30" fillId="3" borderId="0" xfId="2" applyNumberFormat="1" applyFont="1" applyFill="1" applyBorder="1" applyAlignment="1">
      <alignment horizontal="left"/>
    </xf>
    <xf numFmtId="165" fontId="30" fillId="3" borderId="6" xfId="2" applyNumberFormat="1" applyFont="1" applyFill="1" applyBorder="1" applyAlignment="1">
      <alignment horizontal="left"/>
    </xf>
    <xf numFmtId="0" fontId="30" fillId="3" borderId="11" xfId="0" applyFont="1" applyFill="1" applyBorder="1" applyAlignment="1">
      <alignment horizontal="left"/>
    </xf>
    <xf numFmtId="165" fontId="30" fillId="3" borderId="7" xfId="2" applyNumberFormat="1" applyFont="1" applyFill="1" applyBorder="1" applyAlignment="1">
      <alignment horizontal="left"/>
    </xf>
    <xf numFmtId="0" fontId="11" fillId="0" borderId="0" xfId="0" applyFont="1" applyFill="1" applyBorder="1" applyAlignment="1">
      <alignment horizontal="left"/>
    </xf>
    <xf numFmtId="0" fontId="44" fillId="3" borderId="4" xfId="0" applyFont="1" applyFill="1" applyBorder="1" applyAlignment="1">
      <alignment horizontal="left"/>
    </xf>
    <xf numFmtId="0" fontId="11" fillId="0" borderId="0" xfId="0" applyFont="1" applyBorder="1" applyAlignment="1">
      <alignment horizontal="left"/>
    </xf>
    <xf numFmtId="0" fontId="44" fillId="2" borderId="6" xfId="0" applyFont="1" applyFill="1" applyBorder="1" applyAlignment="1">
      <alignment horizontal="left"/>
    </xf>
    <xf numFmtId="0" fontId="44" fillId="0" borderId="5" xfId="0" applyFont="1" applyBorder="1" applyAlignment="1">
      <alignment horizontal="left"/>
    </xf>
    <xf numFmtId="0" fontId="17" fillId="3" borderId="11" xfId="0" applyFont="1" applyFill="1" applyBorder="1" applyAlignment="1">
      <alignment horizontal="left"/>
    </xf>
    <xf numFmtId="0" fontId="40" fillId="3" borderId="7" xfId="0" applyFont="1" applyFill="1" applyBorder="1" applyAlignment="1">
      <alignment horizontal="left" wrapText="1"/>
    </xf>
    <xf numFmtId="0" fontId="43" fillId="0" borderId="0" xfId="0" applyFont="1"/>
    <xf numFmtId="0" fontId="30" fillId="2" borderId="5" xfId="0" applyFont="1" applyFill="1" applyBorder="1" applyAlignment="1">
      <alignment horizontal="left"/>
    </xf>
    <xf numFmtId="0" fontId="42" fillId="0" borderId="3" xfId="0" applyFont="1" applyBorder="1" applyAlignment="1">
      <alignment horizontal="left"/>
    </xf>
    <xf numFmtId="0" fontId="31" fillId="3" borderId="1" xfId="0" applyFont="1" applyFill="1" applyBorder="1" applyAlignment="1">
      <alignment horizontal="left"/>
    </xf>
    <xf numFmtId="0" fontId="30" fillId="3" borderId="6" xfId="0" applyFont="1" applyFill="1" applyBorder="1" applyAlignment="1">
      <alignment horizontal="left"/>
    </xf>
    <xf numFmtId="0" fontId="42" fillId="3" borderId="0" xfId="0" applyFont="1" applyFill="1" applyBorder="1" applyAlignment="1">
      <alignment horizontal="left"/>
    </xf>
    <xf numFmtId="0" fontId="30" fillId="3" borderId="7" xfId="0" applyFont="1" applyFill="1" applyBorder="1" applyAlignment="1">
      <alignment horizontal="left"/>
    </xf>
    <xf numFmtId="0" fontId="42" fillId="3" borderId="3" xfId="0" applyFont="1" applyFill="1" applyBorder="1" applyAlignment="1">
      <alignment horizontal="left"/>
    </xf>
    <xf numFmtId="0" fontId="43" fillId="0" borderId="0" xfId="0" applyFont="1" applyFill="1" applyBorder="1" applyAlignment="1">
      <alignment horizontal="left"/>
    </xf>
    <xf numFmtId="0" fontId="43" fillId="3" borderId="0" xfId="0" applyFont="1" applyFill="1" applyBorder="1" applyAlignment="1">
      <alignment horizontal="left"/>
    </xf>
    <xf numFmtId="0" fontId="42" fillId="2" borderId="3" xfId="0" applyFont="1" applyFill="1" applyBorder="1" applyAlignment="1">
      <alignment horizontal="left"/>
    </xf>
    <xf numFmtId="0" fontId="11" fillId="3" borderId="0" xfId="0" applyFont="1" applyFill="1" applyBorder="1" applyAlignment="1">
      <alignment horizontal="left" wrapText="1"/>
    </xf>
    <xf numFmtId="0" fontId="11" fillId="3" borderId="0" xfId="0" applyFont="1" applyFill="1" applyBorder="1" applyAlignment="1">
      <alignment horizontal="left"/>
    </xf>
    <xf numFmtId="0" fontId="11" fillId="3" borderId="6" xfId="0" applyFont="1" applyFill="1" applyBorder="1" applyAlignment="1">
      <alignment horizontal="left"/>
    </xf>
    <xf numFmtId="165" fontId="7" fillId="3" borderId="0" xfId="2" applyNumberFormat="1" applyFont="1" applyFill="1" applyBorder="1" applyAlignment="1">
      <alignment horizontal="left"/>
    </xf>
    <xf numFmtId="0" fontId="11" fillId="0" borderId="0" xfId="0" applyFont="1"/>
    <xf numFmtId="0" fontId="44" fillId="0" borderId="4" xfId="0" applyFont="1" applyBorder="1" applyAlignment="1">
      <alignment horizontal="left"/>
    </xf>
    <xf numFmtId="0" fontId="44" fillId="12" borderId="5" xfId="0" applyFont="1" applyFill="1" applyBorder="1"/>
    <xf numFmtId="0" fontId="42" fillId="3" borderId="7" xfId="0" applyFont="1" applyFill="1" applyBorder="1" applyAlignment="1">
      <alignment horizontal="left"/>
    </xf>
    <xf numFmtId="0" fontId="42" fillId="3" borderId="6" xfId="0" applyFont="1" applyFill="1" applyBorder="1" applyAlignment="1">
      <alignment horizontal="left" wrapText="1"/>
    </xf>
    <xf numFmtId="0" fontId="30" fillId="0" borderId="0" xfId="0" applyFont="1"/>
    <xf numFmtId="165" fontId="30" fillId="0" borderId="0" xfId="2" applyNumberFormat="1" applyFont="1" applyFill="1" applyBorder="1"/>
    <xf numFmtId="0" fontId="0" fillId="0" borderId="0" xfId="0" applyAlignment="1">
      <alignment horizontal="right"/>
    </xf>
    <xf numFmtId="165" fontId="45" fillId="0" borderId="0" xfId="2" applyNumberFormat="1" applyFont="1" applyAlignment="1">
      <alignment horizontal="right"/>
    </xf>
    <xf numFmtId="165" fontId="30" fillId="0" borderId="0" xfId="2" applyNumberFormat="1" applyFont="1" applyAlignment="1">
      <alignment horizontal="right"/>
    </xf>
    <xf numFmtId="165" fontId="0" fillId="0" borderId="0" xfId="2" applyNumberFormat="1" applyFont="1" applyFill="1" applyBorder="1" applyAlignment="1">
      <alignment horizontal="right"/>
    </xf>
    <xf numFmtId="0" fontId="46" fillId="0" borderId="0" xfId="0" applyFont="1" applyAlignment="1">
      <alignment horizontal="right"/>
    </xf>
    <xf numFmtId="165" fontId="0" fillId="0" borderId="5" xfId="2" applyNumberFormat="1" applyFont="1" applyBorder="1" applyAlignment="1">
      <alignment horizontal="right"/>
    </xf>
    <xf numFmtId="0" fontId="0" fillId="0" borderId="5" xfId="0" applyBorder="1" applyAlignment="1">
      <alignment horizontal="right"/>
    </xf>
    <xf numFmtId="165" fontId="0" fillId="0" borderId="5" xfId="2" applyNumberFormat="1" applyFont="1" applyFill="1" applyBorder="1" applyAlignment="1">
      <alignment horizontal="right"/>
    </xf>
    <xf numFmtId="165" fontId="0" fillId="0" borderId="0" xfId="2" applyNumberFormat="1" applyFont="1" applyBorder="1"/>
    <xf numFmtId="165" fontId="0" fillId="0" borderId="0" xfId="0" applyNumberFormat="1" applyBorder="1"/>
    <xf numFmtId="165" fontId="45" fillId="0" borderId="0" xfId="2" applyNumberFormat="1" applyFont="1" applyBorder="1" applyAlignment="1">
      <alignment horizontal="right"/>
    </xf>
    <xf numFmtId="0" fontId="30" fillId="0" borderId="0" xfId="0" applyFont="1" applyBorder="1"/>
    <xf numFmtId="165" fontId="30" fillId="0" borderId="0" xfId="2" applyNumberFormat="1" applyFont="1" applyBorder="1"/>
    <xf numFmtId="165" fontId="30" fillId="0" borderId="0" xfId="2" applyNumberFormat="1" applyFont="1" applyBorder="1" applyAlignment="1">
      <alignment horizontal="right"/>
    </xf>
    <xf numFmtId="0" fontId="31" fillId="0" borderId="0" xfId="0" applyFont="1" applyFill="1" applyBorder="1" applyAlignment="1">
      <alignment horizontal="right"/>
    </xf>
    <xf numFmtId="0" fontId="30" fillId="0" borderId="0" xfId="0" applyFont="1" applyFill="1" applyBorder="1"/>
    <xf numFmtId="165" fontId="30" fillId="15" borderId="7" xfId="0" applyNumberFormat="1" applyFont="1" applyFill="1" applyBorder="1"/>
    <xf numFmtId="165" fontId="0" fillId="15" borderId="7" xfId="0" applyNumberFormat="1" applyFill="1" applyBorder="1"/>
    <xf numFmtId="165" fontId="0" fillId="15" borderId="8" xfId="0" applyNumberFormat="1" applyFill="1" applyBorder="1"/>
    <xf numFmtId="0" fontId="47" fillId="15" borderId="5" xfId="0" applyFont="1" applyFill="1" applyBorder="1" applyAlignment="1">
      <alignment horizontal="center"/>
    </xf>
    <xf numFmtId="165" fontId="30" fillId="15" borderId="6" xfId="0" applyNumberFormat="1" applyFont="1" applyFill="1" applyBorder="1"/>
    <xf numFmtId="165" fontId="7" fillId="0" borderId="5" xfId="2" applyNumberFormat="1" applyFont="1" applyBorder="1" applyAlignment="1">
      <alignment horizontal="right"/>
    </xf>
    <xf numFmtId="0" fontId="7" fillId="0" borderId="5" xfId="0" applyFont="1" applyBorder="1" applyAlignment="1">
      <alignment horizontal="right"/>
    </xf>
    <xf numFmtId="165" fontId="7" fillId="0" borderId="5" xfId="2" applyNumberFormat="1" applyFont="1" applyFill="1" applyBorder="1" applyAlignment="1">
      <alignment horizontal="right"/>
    </xf>
    <xf numFmtId="165" fontId="30" fillId="15" borderId="5" xfId="2" applyNumberFormat="1" applyFont="1" applyFill="1" applyBorder="1" applyAlignment="1">
      <alignment horizontal="right"/>
    </xf>
    <xf numFmtId="0" fontId="30" fillId="15" borderId="5" xfId="0" applyFont="1" applyFill="1" applyBorder="1" applyAlignment="1">
      <alignment horizontal="right"/>
    </xf>
    <xf numFmtId="0" fontId="30" fillId="15" borderId="0" xfId="0" applyFont="1" applyFill="1" applyAlignment="1">
      <alignment horizontal="right"/>
    </xf>
    <xf numFmtId="0" fontId="7" fillId="0" borderId="0" xfId="0" applyFont="1"/>
    <xf numFmtId="165" fontId="7" fillId="15" borderId="7" xfId="0" applyNumberFormat="1" applyFont="1" applyFill="1" applyBorder="1"/>
    <xf numFmtId="165" fontId="7" fillId="15" borderId="5" xfId="2" applyNumberFormat="1" applyFont="1" applyFill="1" applyBorder="1" applyAlignment="1">
      <alignment horizontal="right"/>
    </xf>
    <xf numFmtId="0" fontId="7" fillId="0" borderId="5" xfId="0" applyFont="1" applyBorder="1"/>
    <xf numFmtId="165" fontId="30" fillId="15" borderId="5" xfId="0" applyNumberFormat="1" applyFont="1" applyFill="1" applyBorder="1"/>
    <xf numFmtId="0" fontId="43" fillId="3" borderId="6" xfId="0" applyFont="1" applyFill="1" applyBorder="1" applyAlignment="1">
      <alignment horizontal="right"/>
    </xf>
    <xf numFmtId="0" fontId="43" fillId="10" borderId="6" xfId="0" applyFont="1" applyFill="1" applyBorder="1" applyAlignment="1">
      <alignment horizontal="right"/>
    </xf>
    <xf numFmtId="0" fontId="43" fillId="9" borderId="6" xfId="0" applyFont="1" applyFill="1" applyBorder="1" applyAlignment="1">
      <alignment horizontal="right"/>
    </xf>
    <xf numFmtId="0" fontId="43" fillId="12" borderId="6" xfId="0" applyFont="1" applyFill="1" applyBorder="1" applyAlignment="1">
      <alignment horizontal="right"/>
    </xf>
    <xf numFmtId="0" fontId="43" fillId="13" borderId="6" xfId="0" applyFont="1" applyFill="1" applyBorder="1" applyAlignment="1">
      <alignment horizontal="right"/>
    </xf>
    <xf numFmtId="0" fontId="43" fillId="8" borderId="6" xfId="0" applyFont="1" applyFill="1" applyBorder="1" applyAlignment="1">
      <alignment horizontal="right"/>
    </xf>
    <xf numFmtId="0" fontId="43" fillId="5" borderId="6" xfId="0" applyFont="1" applyFill="1" applyBorder="1" applyAlignment="1">
      <alignment horizontal="right"/>
    </xf>
    <xf numFmtId="0" fontId="43" fillId="2" borderId="6" xfId="0" applyFont="1" applyFill="1" applyBorder="1" applyAlignment="1">
      <alignment horizontal="right"/>
    </xf>
    <xf numFmtId="0" fontId="43" fillId="14" borderId="6" xfId="0" applyFont="1" applyFill="1" applyBorder="1" applyAlignment="1">
      <alignment horizontal="right"/>
    </xf>
    <xf numFmtId="0" fontId="43" fillId="6" borderId="6" xfId="0" applyFont="1" applyFill="1" applyBorder="1" applyAlignment="1">
      <alignment horizontal="right"/>
    </xf>
    <xf numFmtId="0" fontId="43" fillId="11" borderId="6" xfId="0" applyFont="1" applyFill="1" applyBorder="1" applyAlignment="1">
      <alignment horizontal="right"/>
    </xf>
    <xf numFmtId="0" fontId="43" fillId="16" borderId="5" xfId="0" applyFont="1" applyFill="1" applyBorder="1" applyAlignment="1">
      <alignment horizontal="right"/>
    </xf>
    <xf numFmtId="0" fontId="43" fillId="4" borderId="5" xfId="0" applyFont="1" applyFill="1" applyBorder="1" applyAlignment="1">
      <alignment horizontal="right"/>
    </xf>
    <xf numFmtId="0" fontId="43" fillId="15" borderId="6" xfId="0" applyFont="1" applyFill="1" applyBorder="1" applyAlignment="1">
      <alignment horizontal="right"/>
    </xf>
    <xf numFmtId="0" fontId="43" fillId="7" borderId="6" xfId="0" applyFont="1" applyFill="1" applyBorder="1" applyAlignment="1">
      <alignment horizontal="right"/>
    </xf>
    <xf numFmtId="0" fontId="9" fillId="0" borderId="0" xfId="0" applyFont="1" applyFill="1" applyAlignment="1">
      <alignment horizontal="left"/>
    </xf>
    <xf numFmtId="0" fontId="24" fillId="0" borderId="0" xfId="0" applyFont="1" applyFill="1" applyAlignment="1">
      <alignment horizontal="right"/>
    </xf>
    <xf numFmtId="165" fontId="12" fillId="0" borderId="0" xfId="0" applyNumberFormat="1" applyFont="1" applyFill="1" applyAlignment="1">
      <alignment horizontal="right"/>
    </xf>
    <xf numFmtId="165" fontId="30" fillId="0" borderId="0" xfId="0" applyNumberFormat="1" applyFont="1"/>
    <xf numFmtId="2" fontId="30" fillId="0" borderId="0" xfId="0" applyNumberFormat="1" applyFont="1"/>
    <xf numFmtId="0" fontId="49" fillId="0" borderId="0" xfId="0" applyFont="1" applyAlignment="1">
      <alignment horizontal="left"/>
    </xf>
    <xf numFmtId="0" fontId="50" fillId="0" borderId="0" xfId="0" applyFont="1" applyAlignment="1">
      <alignment horizontal="left"/>
    </xf>
    <xf numFmtId="0" fontId="49" fillId="0" borderId="0" xfId="0" applyFont="1"/>
    <xf numFmtId="0" fontId="51" fillId="0" borderId="0" xfId="0" applyFont="1"/>
    <xf numFmtId="0" fontId="25" fillId="0" borderId="0" xfId="0" applyFont="1" applyAlignment="1">
      <alignment horizontal="left"/>
    </xf>
    <xf numFmtId="165" fontId="25" fillId="0" borderId="0" xfId="2" applyNumberFormat="1" applyFont="1" applyAlignment="1">
      <alignment horizontal="left"/>
    </xf>
    <xf numFmtId="0" fontId="25" fillId="0" borderId="0" xfId="0" applyFont="1"/>
    <xf numFmtId="0" fontId="3" fillId="0" borderId="0" xfId="0" applyFont="1" applyAlignment="1">
      <alignment horizontal="left"/>
    </xf>
    <xf numFmtId="165" fontId="3" fillId="0" borderId="0" xfId="2" applyNumberFormat="1" applyFont="1" applyAlignment="1">
      <alignment horizontal="right"/>
    </xf>
    <xf numFmtId="165" fontId="3" fillId="0" borderId="0" xfId="2" applyNumberFormat="1" applyFont="1" applyAlignment="1">
      <alignment horizontal="left"/>
    </xf>
    <xf numFmtId="165" fontId="49" fillId="0" borderId="0" xfId="2" applyNumberFormat="1" applyFont="1" applyAlignment="1">
      <alignment horizontal="left"/>
    </xf>
    <xf numFmtId="0" fontId="51" fillId="0" borderId="0" xfId="0" applyFont="1" applyFill="1"/>
    <xf numFmtId="0" fontId="49" fillId="0" borderId="0" xfId="0" applyFont="1" applyFill="1"/>
    <xf numFmtId="0" fontId="54" fillId="0" borderId="0" xfId="0" applyFont="1" applyAlignment="1">
      <alignment horizontal="left"/>
    </xf>
    <xf numFmtId="0" fontId="55" fillId="0" borderId="0" xfId="0" applyFont="1"/>
    <xf numFmtId="0" fontId="56" fillId="0" borderId="0" xfId="0" applyFont="1" applyAlignment="1">
      <alignment wrapText="1"/>
    </xf>
    <xf numFmtId="0" fontId="7" fillId="17" borderId="5" xfId="0" applyFont="1" applyFill="1" applyBorder="1"/>
    <xf numFmtId="0" fontId="28" fillId="18" borderId="5" xfId="0" applyFont="1" applyFill="1" applyBorder="1"/>
    <xf numFmtId="0" fontId="7" fillId="18" borderId="5" xfId="0" applyFont="1" applyFill="1" applyBorder="1"/>
    <xf numFmtId="165" fontId="2" fillId="18" borderId="5" xfId="2" applyNumberFormat="1" applyFont="1" applyFill="1" applyBorder="1"/>
    <xf numFmtId="164" fontId="17" fillId="18" borderId="5" xfId="3" applyNumberFormat="1" applyFont="1" applyFill="1" applyBorder="1"/>
    <xf numFmtId="2" fontId="17" fillId="18" borderId="5" xfId="3" applyNumberFormat="1" applyFont="1" applyFill="1" applyBorder="1"/>
    <xf numFmtId="164" fontId="17" fillId="18" borderId="5" xfId="1" applyFont="1" applyFill="1" applyBorder="1"/>
    <xf numFmtId="0" fontId="17" fillId="18" borderId="5" xfId="3" applyFont="1" applyFill="1" applyBorder="1"/>
    <xf numFmtId="165" fontId="28" fillId="18" borderId="5" xfId="2" applyNumberFormat="1" applyFont="1" applyFill="1" applyBorder="1"/>
    <xf numFmtId="164" fontId="28" fillId="18" borderId="5" xfId="0" applyNumberFormat="1" applyFont="1" applyFill="1" applyBorder="1"/>
    <xf numFmtId="164" fontId="28" fillId="18" borderId="5" xfId="2" applyFont="1" applyFill="1" applyBorder="1"/>
    <xf numFmtId="0" fontId="7" fillId="19" borderId="5" xfId="0" applyFont="1" applyFill="1" applyBorder="1"/>
    <xf numFmtId="0" fontId="7" fillId="9" borderId="5" xfId="0" applyFont="1" applyFill="1" applyBorder="1"/>
    <xf numFmtId="0" fontId="28" fillId="20" borderId="5" xfId="0" applyFont="1" applyFill="1" applyBorder="1"/>
    <xf numFmtId="0" fontId="7" fillId="20" borderId="5" xfId="0" applyFont="1" applyFill="1" applyBorder="1"/>
    <xf numFmtId="165" fontId="2" fillId="20" borderId="5" xfId="2" applyNumberFormat="1" applyFont="1" applyFill="1" applyBorder="1"/>
    <xf numFmtId="164" fontId="17" fillId="20" borderId="5" xfId="3" applyNumberFormat="1" applyFont="1" applyFill="1" applyBorder="1"/>
    <xf numFmtId="2" fontId="17" fillId="20" borderId="5" xfId="3" applyNumberFormat="1" applyFont="1" applyFill="1" applyBorder="1"/>
    <xf numFmtId="164" fontId="17" fillId="20" borderId="5" xfId="1" applyFont="1" applyFill="1" applyBorder="1"/>
    <xf numFmtId="0" fontId="28" fillId="21" borderId="5" xfId="0" applyFont="1" applyFill="1" applyBorder="1"/>
    <xf numFmtId="0" fontId="7" fillId="21" borderId="5" xfId="0" applyFont="1" applyFill="1" applyBorder="1"/>
    <xf numFmtId="165" fontId="28" fillId="21" borderId="5" xfId="2" applyNumberFormat="1" applyFont="1" applyFill="1" applyBorder="1"/>
    <xf numFmtId="164" fontId="28" fillId="21" borderId="5" xfId="0" applyNumberFormat="1" applyFont="1" applyFill="1" applyBorder="1"/>
    <xf numFmtId="2" fontId="28" fillId="21" borderId="5" xfId="0" applyNumberFormat="1" applyFont="1" applyFill="1" applyBorder="1"/>
    <xf numFmtId="164" fontId="28" fillId="21" borderId="5" xfId="2" applyFont="1" applyFill="1" applyBorder="1"/>
    <xf numFmtId="0" fontId="28" fillId="22" borderId="5" xfId="0" applyFont="1" applyFill="1" applyBorder="1"/>
    <xf numFmtId="0" fontId="7" fillId="22" borderId="5" xfId="0" applyFont="1" applyFill="1" applyBorder="1"/>
    <xf numFmtId="165" fontId="18" fillId="22" borderId="5" xfId="2" applyNumberFormat="1" applyFont="1" applyFill="1" applyBorder="1"/>
    <xf numFmtId="164" fontId="24" fillId="22" borderId="5" xfId="0" applyNumberFormat="1" applyFont="1" applyFill="1" applyBorder="1"/>
    <xf numFmtId="2" fontId="24" fillId="22" borderId="5" xfId="0" applyNumberFormat="1" applyFont="1" applyFill="1" applyBorder="1"/>
    <xf numFmtId="164" fontId="24" fillId="22" borderId="5" xfId="2" applyFont="1" applyFill="1" applyBorder="1"/>
    <xf numFmtId="0" fontId="24" fillId="22" borderId="5" xfId="0" applyFont="1" applyFill="1" applyBorder="1"/>
    <xf numFmtId="164" fontId="17" fillId="22" borderId="5" xfId="1" applyFont="1" applyFill="1" applyBorder="1"/>
    <xf numFmtId="0" fontId="24" fillId="23" borderId="5" xfId="0" applyFont="1" applyFill="1" applyBorder="1"/>
    <xf numFmtId="0" fontId="7" fillId="23" borderId="5" xfId="0" applyFont="1" applyFill="1" applyBorder="1"/>
    <xf numFmtId="165" fontId="24" fillId="23" borderId="5" xfId="2" applyNumberFormat="1" applyFont="1" applyFill="1" applyBorder="1"/>
    <xf numFmtId="164" fontId="24" fillId="23" borderId="5" xfId="0" applyNumberFormat="1" applyFont="1" applyFill="1" applyBorder="1"/>
    <xf numFmtId="2" fontId="24" fillId="23" borderId="5" xfId="0" applyNumberFormat="1" applyFont="1" applyFill="1" applyBorder="1"/>
    <xf numFmtId="164" fontId="24" fillId="23" borderId="5" xfId="2" applyFont="1" applyFill="1" applyBorder="1"/>
    <xf numFmtId="0" fontId="24" fillId="24" borderId="5" xfId="0" applyFont="1" applyFill="1" applyBorder="1"/>
    <xf numFmtId="0" fontId="7" fillId="24" borderId="5" xfId="0" applyFont="1" applyFill="1" applyBorder="1"/>
    <xf numFmtId="165" fontId="17" fillId="24" borderId="5" xfId="1" applyNumberFormat="1" applyFont="1" applyFill="1" applyBorder="1"/>
    <xf numFmtId="164" fontId="17" fillId="24" borderId="5" xfId="3" applyNumberFormat="1" applyFont="1" applyFill="1" applyBorder="1"/>
    <xf numFmtId="2" fontId="17" fillId="24" borderId="5" xfId="3" applyNumberFormat="1" applyFont="1" applyFill="1" applyBorder="1"/>
    <xf numFmtId="164" fontId="17" fillId="24" borderId="5" xfId="1" applyFont="1" applyFill="1" applyBorder="1"/>
    <xf numFmtId="0" fontId="24" fillId="25" borderId="5" xfId="0" applyFont="1" applyFill="1" applyBorder="1"/>
    <xf numFmtId="0" fontId="7" fillId="25" borderId="5" xfId="0" applyFont="1" applyFill="1" applyBorder="1"/>
    <xf numFmtId="165" fontId="17" fillId="25" borderId="5" xfId="1" applyNumberFormat="1" applyFont="1" applyFill="1" applyBorder="1"/>
    <xf numFmtId="164" fontId="17" fillId="25" borderId="5" xfId="3" applyNumberFormat="1" applyFont="1" applyFill="1" applyBorder="1"/>
    <xf numFmtId="2" fontId="17" fillId="25" borderId="5" xfId="3" applyNumberFormat="1" applyFont="1" applyFill="1" applyBorder="1"/>
    <xf numFmtId="164" fontId="17" fillId="25" borderId="5" xfId="1" applyFont="1" applyFill="1" applyBorder="1"/>
    <xf numFmtId="0" fontId="24" fillId="26" borderId="5" xfId="0" applyFont="1" applyFill="1" applyBorder="1"/>
    <xf numFmtId="0" fontId="7" fillId="26" borderId="5" xfId="0" applyFont="1" applyFill="1" applyBorder="1"/>
    <xf numFmtId="165" fontId="24" fillId="26" borderId="8" xfId="2" applyNumberFormat="1" applyFont="1" applyFill="1" applyBorder="1"/>
    <xf numFmtId="164" fontId="24" fillId="26" borderId="5" xfId="0" applyNumberFormat="1" applyFont="1" applyFill="1" applyBorder="1"/>
    <xf numFmtId="2" fontId="24" fillId="26" borderId="5" xfId="0" applyNumberFormat="1" applyFont="1" applyFill="1" applyBorder="1"/>
    <xf numFmtId="164" fontId="24" fillId="26" borderId="5" xfId="2" applyFont="1" applyFill="1" applyBorder="1"/>
    <xf numFmtId="165" fontId="24" fillId="26" borderId="5" xfId="2" applyNumberFormat="1" applyFont="1" applyFill="1" applyBorder="1"/>
    <xf numFmtId="0" fontId="24" fillId="27" borderId="5" xfId="0" applyFont="1" applyFill="1" applyBorder="1"/>
    <xf numFmtId="0" fontId="7" fillId="27" borderId="5" xfId="0" applyFont="1" applyFill="1" applyBorder="1"/>
    <xf numFmtId="165" fontId="24" fillId="27" borderId="5" xfId="2" applyNumberFormat="1" applyFont="1" applyFill="1" applyBorder="1"/>
    <xf numFmtId="164" fontId="24" fillId="27" borderId="5" xfId="0" applyNumberFormat="1" applyFont="1" applyFill="1" applyBorder="1"/>
    <xf numFmtId="2" fontId="24" fillId="27" borderId="5" xfId="0" applyNumberFormat="1" applyFont="1" applyFill="1" applyBorder="1"/>
    <xf numFmtId="164" fontId="24" fillId="27" borderId="5" xfId="2" applyFont="1" applyFill="1" applyBorder="1"/>
    <xf numFmtId="0" fontId="7" fillId="28" borderId="5" xfId="0" applyFont="1" applyFill="1" applyBorder="1"/>
    <xf numFmtId="0" fontId="28" fillId="28" borderId="5" xfId="0" applyFont="1" applyFill="1" applyBorder="1"/>
    <xf numFmtId="0" fontId="7" fillId="29" borderId="5" xfId="0" applyFont="1" applyFill="1" applyBorder="1"/>
    <xf numFmtId="0" fontId="24" fillId="29" borderId="5" xfId="0" applyFont="1" applyFill="1" applyBorder="1"/>
    <xf numFmtId="165" fontId="24" fillId="29" borderId="5" xfId="2" applyNumberFormat="1" applyFont="1" applyFill="1" applyBorder="1"/>
    <xf numFmtId="164" fontId="24" fillId="29" borderId="5" xfId="0" applyNumberFormat="1" applyFont="1" applyFill="1" applyBorder="1"/>
    <xf numFmtId="2" fontId="24" fillId="29" borderId="5" xfId="0" applyNumberFormat="1" applyFont="1" applyFill="1" applyBorder="1"/>
    <xf numFmtId="0" fontId="7" fillId="30" borderId="5" xfId="0" applyFont="1" applyFill="1" applyBorder="1"/>
    <xf numFmtId="0" fontId="24" fillId="30" borderId="5" xfId="0" applyFont="1" applyFill="1" applyBorder="1"/>
    <xf numFmtId="165" fontId="24" fillId="30" borderId="5" xfId="2" applyNumberFormat="1" applyFont="1" applyFill="1" applyBorder="1"/>
    <xf numFmtId="164" fontId="24" fillId="30" borderId="5" xfId="0" applyNumberFormat="1" applyFont="1" applyFill="1" applyBorder="1"/>
    <xf numFmtId="2" fontId="24" fillId="30" borderId="5" xfId="0" applyNumberFormat="1" applyFont="1" applyFill="1" applyBorder="1"/>
    <xf numFmtId="164" fontId="24" fillId="30" borderId="5" xfId="2" applyFont="1" applyFill="1" applyBorder="1"/>
    <xf numFmtId="0" fontId="7" fillId="31" borderId="5" xfId="0" applyFont="1" applyFill="1" applyBorder="1"/>
    <xf numFmtId="0" fontId="24" fillId="31" borderId="5" xfId="0" applyFont="1" applyFill="1" applyBorder="1"/>
    <xf numFmtId="164" fontId="24" fillId="31" borderId="5" xfId="0" applyNumberFormat="1" applyFont="1" applyFill="1" applyBorder="1"/>
    <xf numFmtId="2" fontId="24" fillId="31" borderId="5" xfId="0" applyNumberFormat="1" applyFont="1" applyFill="1" applyBorder="1"/>
    <xf numFmtId="0" fontId="17" fillId="32" borderId="5" xfId="3" applyFont="1" applyFill="1" applyBorder="1"/>
    <xf numFmtId="0" fontId="7" fillId="32" borderId="5" xfId="0" applyFont="1" applyFill="1" applyBorder="1"/>
    <xf numFmtId="0" fontId="2" fillId="32" borderId="5" xfId="0" applyFont="1" applyFill="1" applyBorder="1" applyAlignment="1">
      <alignment wrapText="1"/>
    </xf>
    <xf numFmtId="165" fontId="17" fillId="32" borderId="5" xfId="1" applyNumberFormat="1" applyFont="1" applyFill="1" applyBorder="1"/>
    <xf numFmtId="164" fontId="17" fillId="32" borderId="5" xfId="3" applyNumberFormat="1" applyFont="1" applyFill="1" applyBorder="1"/>
    <xf numFmtId="2" fontId="17" fillId="32" borderId="5" xfId="3" applyNumberFormat="1" applyFont="1" applyFill="1" applyBorder="1"/>
    <xf numFmtId="164" fontId="17" fillId="32" borderId="5" xfId="1" applyFont="1" applyFill="1" applyBorder="1"/>
    <xf numFmtId="0" fontId="2" fillId="32" borderId="5" xfId="0" applyFont="1" applyFill="1" applyBorder="1"/>
    <xf numFmtId="0" fontId="7" fillId="33" borderId="5" xfId="0" applyFont="1" applyFill="1" applyBorder="1"/>
    <xf numFmtId="0" fontId="24" fillId="33" borderId="8" xfId="0" applyFont="1" applyFill="1" applyBorder="1"/>
    <xf numFmtId="0" fontId="18" fillId="33" borderId="5" xfId="0" applyFont="1" applyFill="1" applyBorder="1"/>
    <xf numFmtId="0" fontId="24" fillId="33" borderId="5" xfId="0" applyFont="1" applyFill="1" applyBorder="1"/>
    <xf numFmtId="0" fontId="57" fillId="0" borderId="0" xfId="0" applyFont="1" applyAlignment="1">
      <alignment vertical="center" wrapText="1"/>
    </xf>
    <xf numFmtId="0" fontId="7" fillId="22" borderId="5" xfId="3" applyFont="1" applyFill="1" applyBorder="1"/>
    <xf numFmtId="0" fontId="7" fillId="25" borderId="5" xfId="3" applyFont="1" applyFill="1" applyBorder="1"/>
    <xf numFmtId="0" fontId="7" fillId="7" borderId="8" xfId="0" applyFont="1" applyFill="1" applyBorder="1"/>
    <xf numFmtId="0" fontId="7" fillId="33" borderId="8" xfId="0" applyFont="1" applyFill="1" applyBorder="1"/>
    <xf numFmtId="0" fontId="58" fillId="0" borderId="0" xfId="0" applyFont="1"/>
    <xf numFmtId="0" fontId="4" fillId="0" borderId="0" xfId="4" applyFont="1"/>
    <xf numFmtId="0" fontId="59" fillId="0" borderId="0" xfId="4"/>
    <xf numFmtId="0" fontId="49" fillId="0" borderId="0" xfId="8" applyFont="1" applyFill="1"/>
    <xf numFmtId="0" fontId="17" fillId="0" borderId="0" xfId="8" applyFill="1"/>
    <xf numFmtId="167" fontId="17" fillId="0" borderId="0" xfId="10" applyFont="1" applyFill="1"/>
    <xf numFmtId="167" fontId="0" fillId="0" borderId="0" xfId="10" applyFont="1"/>
    <xf numFmtId="167" fontId="17" fillId="0" borderId="0" xfId="10" applyFont="1"/>
    <xf numFmtId="0" fontId="17" fillId="0" borderId="0" xfId="8"/>
    <xf numFmtId="0" fontId="60" fillId="0" borderId="0" xfId="8" applyFont="1" applyFill="1"/>
    <xf numFmtId="0" fontId="4" fillId="0" borderId="5" xfId="8" applyFont="1" applyFill="1" applyBorder="1" applyAlignment="1">
      <alignment wrapText="1"/>
    </xf>
    <xf numFmtId="0" fontId="17" fillId="34" borderId="5" xfId="3" applyFont="1" applyFill="1" applyBorder="1" applyAlignment="1">
      <alignment wrapText="1"/>
    </xf>
    <xf numFmtId="0" fontId="17" fillId="10" borderId="5" xfId="8" applyFont="1" applyFill="1" applyBorder="1" applyAlignment="1">
      <alignment wrapText="1"/>
    </xf>
    <xf numFmtId="0" fontId="17" fillId="12" borderId="5" xfId="8" applyFont="1" applyFill="1" applyBorder="1" applyAlignment="1">
      <alignment wrapText="1"/>
    </xf>
    <xf numFmtId="0" fontId="17" fillId="13" borderId="5" xfId="3" applyFont="1" applyFill="1" applyBorder="1" applyAlignment="1">
      <alignment wrapText="1"/>
    </xf>
    <xf numFmtId="0" fontId="17" fillId="5" borderId="5" xfId="3" applyFont="1" applyFill="1" applyBorder="1" applyAlignment="1">
      <alignment wrapText="1"/>
    </xf>
    <xf numFmtId="0" fontId="17" fillId="2" borderId="5" xfId="8" applyFont="1" applyFill="1" applyBorder="1" applyAlignment="1">
      <alignment wrapText="1"/>
    </xf>
    <xf numFmtId="0" fontId="17" fillId="2" borderId="5" xfId="3" applyFont="1" applyFill="1" applyBorder="1" applyAlignment="1">
      <alignment wrapText="1"/>
    </xf>
    <xf numFmtId="0" fontId="17" fillId="4" borderId="5" xfId="8" applyFont="1" applyFill="1" applyBorder="1" applyAlignment="1">
      <alignment wrapText="1"/>
    </xf>
    <xf numFmtId="0" fontId="17" fillId="4" borderId="5" xfId="3" applyFont="1" applyFill="1" applyBorder="1" applyAlignment="1">
      <alignment wrapText="1"/>
    </xf>
    <xf numFmtId="0" fontId="17" fillId="8" borderId="5" xfId="3" applyFont="1" applyFill="1" applyBorder="1"/>
    <xf numFmtId="0" fontId="17" fillId="8" borderId="5" xfId="3" applyFont="1" applyFill="1" applyBorder="1" applyAlignment="1">
      <alignment wrapText="1"/>
    </xf>
    <xf numFmtId="0" fontId="17" fillId="15" borderId="5" xfId="3" applyFont="1" applyFill="1" applyBorder="1"/>
    <xf numFmtId="0" fontId="17" fillId="15" borderId="5" xfId="3" applyFont="1" applyFill="1" applyBorder="1" applyAlignment="1">
      <alignment wrapText="1"/>
    </xf>
    <xf numFmtId="0" fontId="17" fillId="3" borderId="5" xfId="3" applyFont="1" applyFill="1" applyBorder="1" applyAlignment="1">
      <alignment wrapText="1"/>
    </xf>
    <xf numFmtId="0" fontId="17" fillId="35" borderId="5" xfId="8" applyFont="1" applyFill="1" applyBorder="1" applyAlignment="1">
      <alignment wrapText="1"/>
    </xf>
    <xf numFmtId="0" fontId="17" fillId="35" borderId="5" xfId="3" applyFont="1" applyFill="1" applyBorder="1" applyAlignment="1">
      <alignment wrapText="1"/>
    </xf>
    <xf numFmtId="0" fontId="17" fillId="9" borderId="5" xfId="3" applyFont="1" applyFill="1" applyBorder="1"/>
    <xf numFmtId="0" fontId="17" fillId="9" borderId="5" xfId="3" applyFont="1" applyFill="1" applyBorder="1" applyAlignment="1">
      <alignment wrapText="1"/>
    </xf>
    <xf numFmtId="0" fontId="17" fillId="14" borderId="5" xfId="3" applyFont="1" applyFill="1" applyBorder="1"/>
    <xf numFmtId="0" fontId="17" fillId="14" borderId="5" xfId="3" applyFont="1" applyFill="1" applyBorder="1" applyAlignment="1">
      <alignment wrapText="1"/>
    </xf>
    <xf numFmtId="0" fontId="17" fillId="16" borderId="5" xfId="3" applyFont="1" applyFill="1" applyBorder="1" applyAlignment="1">
      <alignment wrapText="1"/>
    </xf>
    <xf numFmtId="0" fontId="17" fillId="6" borderId="5" xfId="3" applyFont="1" applyFill="1" applyBorder="1"/>
    <xf numFmtId="0" fontId="17" fillId="6" borderId="5" xfId="3" applyFont="1" applyFill="1" applyBorder="1" applyAlignment="1">
      <alignment wrapText="1"/>
    </xf>
    <xf numFmtId="0" fontId="17" fillId="0" borderId="0" xfId="4" applyFont="1"/>
    <xf numFmtId="165" fontId="6" fillId="3" borderId="5" xfId="5" applyNumberFormat="1" applyFont="1" applyFill="1" applyBorder="1"/>
    <xf numFmtId="164" fontId="6" fillId="3" borderId="5" xfId="5" applyNumberFormat="1" applyFont="1" applyFill="1" applyBorder="1"/>
    <xf numFmtId="167" fontId="17" fillId="18" borderId="5" xfId="10" applyFont="1" applyFill="1" applyBorder="1"/>
    <xf numFmtId="167" fontId="0" fillId="18" borderId="5" xfId="10" applyFont="1" applyFill="1" applyBorder="1"/>
    <xf numFmtId="167" fontId="17" fillId="29" borderId="5" xfId="10" applyFont="1" applyFill="1" applyBorder="1"/>
    <xf numFmtId="167" fontId="0" fillId="29" borderId="5" xfId="10" applyFont="1" applyFill="1" applyBorder="1"/>
    <xf numFmtId="167" fontId="17" fillId="32" borderId="5" xfId="10" applyFont="1" applyFill="1" applyBorder="1"/>
    <xf numFmtId="167" fontId="0" fillId="32" borderId="5" xfId="10" applyFont="1" applyFill="1" applyBorder="1"/>
    <xf numFmtId="167" fontId="17" fillId="23" borderId="5" xfId="10" applyFont="1" applyFill="1" applyBorder="1"/>
    <xf numFmtId="167" fontId="0" fillId="23" borderId="5" xfId="10" applyFont="1" applyFill="1" applyBorder="1"/>
    <xf numFmtId="167" fontId="17" fillId="19" borderId="5" xfId="10" applyFont="1" applyFill="1" applyBorder="1"/>
    <xf numFmtId="167" fontId="0" fillId="19" borderId="5" xfId="10" applyFont="1" applyFill="1" applyBorder="1"/>
    <xf numFmtId="167" fontId="17" fillId="22" borderId="5" xfId="10" applyFont="1" applyFill="1" applyBorder="1"/>
    <xf numFmtId="167" fontId="0" fillId="22" borderId="5" xfId="10" applyFont="1" applyFill="1" applyBorder="1"/>
    <xf numFmtId="167" fontId="17" fillId="30" borderId="5" xfId="10" applyFont="1" applyFill="1" applyBorder="1"/>
    <xf numFmtId="167" fontId="0" fillId="30" borderId="5" xfId="10" applyFont="1" applyFill="1" applyBorder="1"/>
    <xf numFmtId="167" fontId="17" fillId="21" borderId="5" xfId="10" applyFont="1" applyFill="1" applyBorder="1"/>
    <xf numFmtId="167" fontId="0" fillId="21" borderId="5" xfId="10" applyFont="1" applyFill="1" applyBorder="1"/>
    <xf numFmtId="167" fontId="17" fillId="20" borderId="5" xfId="10" applyFont="1" applyFill="1" applyBorder="1"/>
    <xf numFmtId="167" fontId="0" fillId="20" borderId="5" xfId="10" applyFont="1" applyFill="1" applyBorder="1"/>
    <xf numFmtId="167" fontId="17" fillId="24" borderId="5" xfId="10" applyFont="1" applyFill="1" applyBorder="1"/>
    <xf numFmtId="167" fontId="0" fillId="24" borderId="5" xfId="10" applyFont="1" applyFill="1" applyBorder="1"/>
    <xf numFmtId="167" fontId="17" fillId="25" borderId="5" xfId="10" applyFont="1" applyFill="1" applyBorder="1"/>
    <xf numFmtId="167" fontId="0" fillId="25" borderId="5" xfId="10" applyFont="1" applyFill="1" applyBorder="1"/>
    <xf numFmtId="167" fontId="17" fillId="26" borderId="5" xfId="10" applyFont="1" applyFill="1" applyBorder="1"/>
    <xf numFmtId="167" fontId="0" fillId="26" borderId="5" xfId="10" applyFont="1" applyFill="1" applyBorder="1"/>
    <xf numFmtId="167" fontId="17" fillId="27" borderId="5" xfId="10" applyFont="1" applyFill="1" applyBorder="1"/>
    <xf numFmtId="167" fontId="0" fillId="27" borderId="5" xfId="10" applyFont="1" applyFill="1" applyBorder="1"/>
    <xf numFmtId="167" fontId="17" fillId="36" borderId="5" xfId="10" applyFont="1" applyFill="1" applyBorder="1"/>
    <xf numFmtId="167" fontId="0" fillId="36" borderId="5" xfId="10" applyFont="1" applyFill="1" applyBorder="1"/>
    <xf numFmtId="167" fontId="17" fillId="28" borderId="5" xfId="10" applyFont="1" applyFill="1" applyBorder="1"/>
    <xf numFmtId="167" fontId="0" fillId="28" borderId="5" xfId="10" applyFont="1" applyFill="1" applyBorder="1"/>
    <xf numFmtId="0" fontId="28" fillId="30" borderId="5" xfId="0" applyFont="1" applyFill="1" applyBorder="1"/>
    <xf numFmtId="167" fontId="17" fillId="33" borderId="5" xfId="10" applyFont="1" applyFill="1" applyBorder="1"/>
    <xf numFmtId="167" fontId="0" fillId="33" borderId="5" xfId="10" applyFont="1" applyFill="1" applyBorder="1"/>
    <xf numFmtId="165" fontId="4" fillId="3" borderId="0" xfId="2" applyNumberFormat="1" applyFont="1" applyFill="1" applyBorder="1" applyAlignment="1">
      <alignment horizontal="left"/>
    </xf>
    <xf numFmtId="0" fontId="41" fillId="3" borderId="7" xfId="0" applyFont="1" applyFill="1" applyBorder="1" applyAlignment="1">
      <alignment horizontal="left" wrapText="1"/>
    </xf>
    <xf numFmtId="0" fontId="4" fillId="3" borderId="11" xfId="0" applyFont="1" applyFill="1" applyBorder="1" applyAlignment="1">
      <alignment horizontal="left"/>
    </xf>
    <xf numFmtId="165" fontId="4" fillId="3" borderId="7" xfId="2" applyNumberFormat="1" applyFont="1" applyFill="1" applyBorder="1" applyAlignment="1">
      <alignment horizontal="left"/>
    </xf>
    <xf numFmtId="0" fontId="39" fillId="3" borderId="1" xfId="0" applyFont="1" applyFill="1" applyBorder="1" applyAlignment="1">
      <alignment horizontal="left"/>
    </xf>
    <xf numFmtId="16" fontId="11" fillId="3" borderId="0" xfId="0" applyNumberFormat="1" applyFont="1" applyFill="1" applyBorder="1" applyAlignment="1">
      <alignment horizontal="left"/>
    </xf>
    <xf numFmtId="0" fontId="11" fillId="3" borderId="0" xfId="0" quotePrefix="1" applyFont="1" applyFill="1" applyBorder="1" applyAlignment="1">
      <alignment horizontal="left"/>
    </xf>
    <xf numFmtId="0" fontId="41" fillId="3" borderId="7" xfId="0" applyFont="1" applyFill="1" applyBorder="1" applyAlignment="1">
      <alignment horizontal="left"/>
    </xf>
    <xf numFmtId="0" fontId="21" fillId="18" borderId="12" xfId="0" applyFont="1" applyFill="1" applyBorder="1" applyAlignment="1">
      <alignment horizontal="left"/>
    </xf>
    <xf numFmtId="0" fontId="17" fillId="18" borderId="8" xfId="0" applyFont="1" applyFill="1" applyBorder="1" applyAlignment="1">
      <alignment horizontal="left"/>
    </xf>
    <xf numFmtId="0" fontId="40" fillId="18" borderId="4" xfId="0" applyFont="1" applyFill="1" applyBorder="1" applyAlignment="1">
      <alignment horizontal="left"/>
    </xf>
    <xf numFmtId="165" fontId="17" fillId="18" borderId="4" xfId="2" applyNumberFormat="1" applyFont="1" applyFill="1" applyBorder="1" applyAlignment="1">
      <alignment horizontal="left"/>
    </xf>
    <xf numFmtId="165" fontId="17" fillId="18" borderId="8" xfId="2" applyNumberFormat="1" applyFont="1" applyFill="1" applyBorder="1" applyAlignment="1">
      <alignment horizontal="left"/>
    </xf>
    <xf numFmtId="0" fontId="7" fillId="3" borderId="7" xfId="0" applyFont="1" applyFill="1" applyBorder="1" applyAlignment="1">
      <alignment horizontal="left"/>
    </xf>
    <xf numFmtId="0" fontId="19" fillId="3" borderId="12" xfId="0" applyFont="1" applyFill="1" applyBorder="1" applyAlignment="1">
      <alignment horizontal="left"/>
    </xf>
    <xf numFmtId="0" fontId="0" fillId="3" borderId="12" xfId="0" applyFill="1" applyBorder="1" applyAlignment="1">
      <alignment horizontal="left"/>
    </xf>
    <xf numFmtId="0" fontId="11" fillId="3" borderId="8" xfId="0" applyFont="1" applyFill="1" applyBorder="1" applyAlignment="1">
      <alignment horizontal="left"/>
    </xf>
    <xf numFmtId="0" fontId="2" fillId="3" borderId="10" xfId="0" applyFont="1" applyFill="1" applyBorder="1" applyAlignment="1">
      <alignment horizontal="left"/>
    </xf>
    <xf numFmtId="165" fontId="2" fillId="3" borderId="4" xfId="2" applyNumberFormat="1" applyFont="1" applyFill="1" applyBorder="1" applyAlignment="1">
      <alignment horizontal="left"/>
    </xf>
    <xf numFmtId="165" fontId="0" fillId="3" borderId="8" xfId="2" applyNumberFormat="1" applyFont="1" applyFill="1" applyBorder="1" applyAlignment="1">
      <alignment horizontal="left"/>
    </xf>
    <xf numFmtId="165" fontId="0" fillId="3" borderId="4" xfId="2" applyNumberFormat="1" applyFont="1" applyFill="1" applyBorder="1" applyAlignment="1">
      <alignment horizontal="left"/>
    </xf>
    <xf numFmtId="0" fontId="19" fillId="20" borderId="1" xfId="0" applyFont="1" applyFill="1" applyBorder="1" applyAlignment="1">
      <alignment horizontal="left"/>
    </xf>
    <xf numFmtId="0" fontId="0" fillId="20" borderId="7" xfId="0" applyFill="1" applyBorder="1" applyAlignment="1">
      <alignment horizontal="left"/>
    </xf>
    <xf numFmtId="0" fontId="30" fillId="20" borderId="7" xfId="0" applyFont="1" applyFill="1" applyBorder="1" applyAlignment="1">
      <alignment horizontal="left"/>
    </xf>
    <xf numFmtId="165" fontId="30" fillId="20" borderId="0" xfId="2" applyNumberFormat="1" applyFont="1" applyFill="1" applyBorder="1" applyAlignment="1">
      <alignment horizontal="left"/>
    </xf>
    <xf numFmtId="165" fontId="30" fillId="20" borderId="7" xfId="2" applyNumberFormat="1" applyFont="1" applyFill="1" applyBorder="1" applyAlignment="1">
      <alignment horizontal="left"/>
    </xf>
    <xf numFmtId="165" fontId="0" fillId="20" borderId="7" xfId="2" applyNumberFormat="1" applyFont="1" applyFill="1" applyBorder="1" applyAlignment="1">
      <alignment horizontal="left"/>
    </xf>
    <xf numFmtId="0" fontId="2" fillId="20" borderId="7" xfId="0" applyFont="1" applyFill="1" applyBorder="1" applyAlignment="1">
      <alignment horizontal="left"/>
    </xf>
    <xf numFmtId="165" fontId="0" fillId="20" borderId="0" xfId="2" applyNumberFormat="1" applyFont="1" applyFill="1" applyBorder="1" applyAlignment="1">
      <alignment horizontal="left"/>
    </xf>
    <xf numFmtId="165" fontId="28" fillId="20" borderId="0" xfId="2" applyNumberFormat="1" applyFont="1" applyFill="1" applyBorder="1" applyAlignment="1">
      <alignment horizontal="left"/>
    </xf>
    <xf numFmtId="0" fontId="4" fillId="3" borderId="6" xfId="0" applyFont="1" applyFill="1" applyBorder="1" applyAlignment="1">
      <alignment horizontal="left"/>
    </xf>
    <xf numFmtId="0" fontId="4" fillId="3" borderId="7" xfId="0" applyFont="1" applyFill="1" applyBorder="1" applyAlignment="1">
      <alignment horizontal="left"/>
    </xf>
    <xf numFmtId="165" fontId="4" fillId="3" borderId="6" xfId="2" applyNumberFormat="1" applyFont="1" applyFill="1" applyBorder="1" applyAlignment="1">
      <alignment horizontal="left"/>
    </xf>
    <xf numFmtId="0" fontId="17" fillId="3" borderId="12" xfId="0" applyFont="1" applyFill="1" applyBorder="1" applyAlignment="1">
      <alignment horizontal="left"/>
    </xf>
    <xf numFmtId="0" fontId="2" fillId="3" borderId="8" xfId="0" applyFont="1" applyFill="1" applyBorder="1" applyAlignment="1">
      <alignment horizontal="left"/>
    </xf>
    <xf numFmtId="16" fontId="11" fillId="3" borderId="0" xfId="0" applyNumberFormat="1" applyFont="1" applyFill="1" applyBorder="1" applyAlignment="1">
      <alignment horizontal="left" wrapText="1"/>
    </xf>
    <xf numFmtId="165" fontId="17" fillId="21" borderId="7" xfId="2" applyNumberFormat="1" applyFont="1" applyFill="1" applyBorder="1" applyAlignment="1">
      <alignment horizontal="left"/>
    </xf>
    <xf numFmtId="0" fontId="19" fillId="26" borderId="1" xfId="0" applyFont="1" applyFill="1" applyBorder="1" applyAlignment="1">
      <alignment horizontal="left"/>
    </xf>
    <xf numFmtId="0" fontId="17" fillId="26" borderId="7" xfId="0" applyFont="1" applyFill="1" applyBorder="1" applyAlignment="1">
      <alignment horizontal="left"/>
    </xf>
    <xf numFmtId="0" fontId="30" fillId="26" borderId="7" xfId="0" applyFont="1" applyFill="1" applyBorder="1" applyAlignment="1">
      <alignment horizontal="left"/>
    </xf>
    <xf numFmtId="165" fontId="30" fillId="26" borderId="0" xfId="2" applyNumberFormat="1" applyFont="1" applyFill="1" applyBorder="1" applyAlignment="1">
      <alignment horizontal="left"/>
    </xf>
    <xf numFmtId="165" fontId="30" fillId="26" borderId="7" xfId="2" applyNumberFormat="1" applyFont="1" applyFill="1" applyBorder="1" applyAlignment="1">
      <alignment horizontal="left"/>
    </xf>
    <xf numFmtId="165" fontId="17" fillId="26" borderId="7" xfId="2" applyNumberFormat="1" applyFont="1" applyFill="1" applyBorder="1" applyAlignment="1">
      <alignment horizontal="left"/>
    </xf>
    <xf numFmtId="165" fontId="17" fillId="26" borderId="0" xfId="2" applyNumberFormat="1" applyFont="1" applyFill="1" applyBorder="1" applyAlignment="1">
      <alignment horizontal="left"/>
    </xf>
    <xf numFmtId="0" fontId="42" fillId="26" borderId="0" xfId="0" applyFont="1" applyFill="1" applyBorder="1" applyAlignment="1">
      <alignment horizontal="left"/>
    </xf>
    <xf numFmtId="0" fontId="40" fillId="26" borderId="0" xfId="0" applyFont="1" applyFill="1" applyBorder="1" applyAlignment="1">
      <alignment horizontal="left"/>
    </xf>
    <xf numFmtId="0" fontId="19" fillId="21" borderId="1" xfId="0" applyFont="1" applyFill="1" applyBorder="1" applyAlignment="1">
      <alignment horizontal="left"/>
    </xf>
    <xf numFmtId="0" fontId="17" fillId="21" borderId="7" xfId="0" applyFont="1" applyFill="1" applyBorder="1" applyAlignment="1">
      <alignment horizontal="left"/>
    </xf>
    <xf numFmtId="0" fontId="42" fillId="21" borderId="0" xfId="0" applyFont="1" applyFill="1" applyAlignment="1">
      <alignment horizontal="left"/>
    </xf>
    <xf numFmtId="0" fontId="30" fillId="21" borderId="7" xfId="0" applyFont="1" applyFill="1" applyBorder="1" applyAlignment="1">
      <alignment horizontal="left"/>
    </xf>
    <xf numFmtId="165" fontId="30" fillId="21" borderId="0" xfId="2" applyNumberFormat="1" applyFont="1" applyFill="1" applyBorder="1" applyAlignment="1">
      <alignment horizontal="left"/>
    </xf>
    <xf numFmtId="165" fontId="30" fillId="21" borderId="7" xfId="2" applyNumberFormat="1" applyFont="1" applyFill="1" applyBorder="1" applyAlignment="1">
      <alignment horizontal="left"/>
    </xf>
    <xf numFmtId="0" fontId="40" fillId="21" borderId="0" xfId="0" applyFont="1" applyFill="1" applyAlignment="1">
      <alignment horizontal="left"/>
    </xf>
    <xf numFmtId="165" fontId="17" fillId="21" borderId="0" xfId="2" applyNumberFormat="1" applyFont="1" applyFill="1" applyBorder="1" applyAlignment="1">
      <alignment horizontal="left"/>
    </xf>
    <xf numFmtId="0" fontId="17" fillId="20" borderId="7" xfId="0" applyFont="1" applyFill="1" applyBorder="1" applyAlignment="1">
      <alignment horizontal="left"/>
    </xf>
    <xf numFmtId="0" fontId="42" fillId="20" borderId="0" xfId="0" applyFont="1" applyFill="1" applyAlignment="1">
      <alignment horizontal="left"/>
    </xf>
    <xf numFmtId="165" fontId="17" fillId="20" borderId="7" xfId="2" applyNumberFormat="1" applyFont="1" applyFill="1" applyBorder="1" applyAlignment="1">
      <alignment horizontal="left"/>
    </xf>
    <xf numFmtId="0" fontId="40" fillId="20" borderId="0" xfId="0" applyFont="1" applyFill="1" applyAlignment="1">
      <alignment horizontal="left"/>
    </xf>
    <xf numFmtId="165" fontId="17" fillId="20" borderId="0" xfId="2" applyNumberFormat="1" applyFont="1" applyFill="1" applyBorder="1" applyAlignment="1">
      <alignment horizontal="left"/>
    </xf>
    <xf numFmtId="16" fontId="40" fillId="20" borderId="0" xfId="0" quotePrefix="1" applyNumberFormat="1" applyFont="1" applyFill="1" applyAlignment="1">
      <alignment horizontal="left"/>
    </xf>
    <xf numFmtId="0" fontId="19" fillId="20" borderId="12" xfId="0" applyFont="1" applyFill="1" applyBorder="1" applyAlignment="1">
      <alignment horizontal="left"/>
    </xf>
    <xf numFmtId="0" fontId="17" fillId="20" borderId="8" xfId="0" applyFont="1" applyFill="1" applyBorder="1" applyAlignment="1">
      <alignment horizontal="left"/>
    </xf>
    <xf numFmtId="0" fontId="40" fillId="20" borderId="4" xfId="0" applyFont="1" applyFill="1" applyBorder="1" applyAlignment="1">
      <alignment horizontal="left" wrapText="1"/>
    </xf>
    <xf numFmtId="165" fontId="17" fillId="20" borderId="4" xfId="2" applyNumberFormat="1" applyFont="1" applyFill="1" applyBorder="1" applyAlignment="1">
      <alignment horizontal="left"/>
    </xf>
    <xf numFmtId="165" fontId="17" fillId="20" borderId="8" xfId="2" applyNumberFormat="1" applyFont="1" applyFill="1" applyBorder="1" applyAlignment="1">
      <alignment horizontal="left"/>
    </xf>
    <xf numFmtId="16" fontId="40" fillId="21" borderId="0" xfId="0" quotePrefix="1" applyNumberFormat="1" applyFont="1" applyFill="1" applyAlignment="1">
      <alignment horizontal="left"/>
    </xf>
    <xf numFmtId="0" fontId="40" fillId="21" borderId="4" xfId="0" applyFont="1" applyFill="1" applyBorder="1" applyAlignment="1">
      <alignment horizontal="left" wrapText="1"/>
    </xf>
    <xf numFmtId="0" fontId="17" fillId="21" borderId="8" xfId="0" applyFont="1" applyFill="1" applyBorder="1" applyAlignment="1">
      <alignment horizontal="left"/>
    </xf>
    <xf numFmtId="165" fontId="17" fillId="21" borderId="4" xfId="2" applyNumberFormat="1" applyFont="1" applyFill="1" applyBorder="1" applyAlignment="1">
      <alignment horizontal="left"/>
    </xf>
    <xf numFmtId="0" fontId="19" fillId="21" borderId="12" xfId="0" applyFont="1" applyFill="1" applyBorder="1" applyAlignment="1">
      <alignment horizontal="left"/>
    </xf>
    <xf numFmtId="165" fontId="17" fillId="21" borderId="8" xfId="2" applyNumberFormat="1" applyFont="1" applyFill="1" applyBorder="1" applyAlignment="1">
      <alignment horizontal="left"/>
    </xf>
    <xf numFmtId="0" fontId="28" fillId="37" borderId="5" xfId="0" applyFont="1" applyFill="1" applyBorder="1"/>
    <xf numFmtId="0" fontId="7" fillId="37" borderId="5" xfId="0" applyFont="1" applyFill="1" applyBorder="1"/>
    <xf numFmtId="165" fontId="28" fillId="37" borderId="5" xfId="2" applyNumberFormat="1" applyFont="1" applyFill="1" applyBorder="1"/>
    <xf numFmtId="164" fontId="28" fillId="37" borderId="5" xfId="0" applyNumberFormat="1" applyFont="1" applyFill="1" applyBorder="1"/>
    <xf numFmtId="2" fontId="28" fillId="37" borderId="5" xfId="0" applyNumberFormat="1" applyFont="1" applyFill="1" applyBorder="1"/>
    <xf numFmtId="164" fontId="28" fillId="37" borderId="5" xfId="2" applyFont="1" applyFill="1" applyBorder="1"/>
    <xf numFmtId="0" fontId="19" fillId="37" borderId="1" xfId="0" applyFont="1" applyFill="1" applyBorder="1" applyAlignment="1">
      <alignment horizontal="left"/>
    </xf>
    <xf numFmtId="0" fontId="17" fillId="37" borderId="7" xfId="0" applyFont="1" applyFill="1" applyBorder="1" applyAlignment="1">
      <alignment horizontal="left"/>
    </xf>
    <xf numFmtId="0" fontId="30" fillId="37" borderId="7" xfId="0" applyFont="1" applyFill="1" applyBorder="1" applyAlignment="1">
      <alignment horizontal="left"/>
    </xf>
    <xf numFmtId="165" fontId="30" fillId="37" borderId="0" xfId="2" applyNumberFormat="1" applyFont="1" applyFill="1" applyBorder="1" applyAlignment="1">
      <alignment horizontal="left"/>
    </xf>
    <xf numFmtId="165" fontId="30" fillId="37" borderId="7" xfId="2" applyNumberFormat="1" applyFont="1" applyFill="1" applyBorder="1" applyAlignment="1">
      <alignment horizontal="left"/>
    </xf>
    <xf numFmtId="165" fontId="17" fillId="37" borderId="7" xfId="2" applyNumberFormat="1" applyFont="1" applyFill="1" applyBorder="1" applyAlignment="1">
      <alignment horizontal="left"/>
    </xf>
    <xf numFmtId="165" fontId="17" fillId="37" borderId="0" xfId="2" applyNumberFormat="1" applyFont="1" applyFill="1" applyBorder="1" applyAlignment="1">
      <alignment horizontal="left"/>
    </xf>
    <xf numFmtId="0" fontId="40" fillId="37" borderId="4" xfId="0" applyFont="1" applyFill="1" applyBorder="1" applyAlignment="1">
      <alignment horizontal="left" wrapText="1"/>
    </xf>
    <xf numFmtId="0" fontId="17" fillId="37" borderId="8" xfId="0" applyFont="1" applyFill="1" applyBorder="1" applyAlignment="1">
      <alignment horizontal="left"/>
    </xf>
    <xf numFmtId="165" fontId="17" fillId="37" borderId="4" xfId="2" applyNumberFormat="1" applyFont="1" applyFill="1" applyBorder="1" applyAlignment="1">
      <alignment horizontal="left"/>
    </xf>
    <xf numFmtId="0" fontId="19" fillId="37" borderId="13" xfId="0" applyFont="1" applyFill="1" applyBorder="1" applyAlignment="1">
      <alignment horizontal="left"/>
    </xf>
    <xf numFmtId="0" fontId="17" fillId="37" borderId="6" xfId="0" applyFont="1" applyFill="1" applyBorder="1" applyAlignment="1">
      <alignment horizontal="left"/>
    </xf>
    <xf numFmtId="0" fontId="42" fillId="37" borderId="14" xfId="0" applyFont="1" applyFill="1" applyBorder="1" applyAlignment="1">
      <alignment horizontal="left"/>
    </xf>
    <xf numFmtId="0" fontId="30" fillId="37" borderId="6" xfId="0" applyFont="1" applyFill="1" applyBorder="1" applyAlignment="1">
      <alignment horizontal="left"/>
    </xf>
    <xf numFmtId="165" fontId="30" fillId="37" borderId="14" xfId="2" applyNumberFormat="1" applyFont="1" applyFill="1" applyBorder="1" applyAlignment="1">
      <alignment horizontal="left"/>
    </xf>
    <xf numFmtId="165" fontId="30" fillId="37" borderId="6" xfId="2" applyNumberFormat="1" applyFont="1" applyFill="1" applyBorder="1" applyAlignment="1">
      <alignment horizontal="left"/>
    </xf>
    <xf numFmtId="165" fontId="17" fillId="37" borderId="6" xfId="2" applyNumberFormat="1" applyFont="1" applyFill="1" applyBorder="1" applyAlignment="1">
      <alignment horizontal="left"/>
    </xf>
    <xf numFmtId="0" fontId="40" fillId="37" borderId="0" xfId="0" applyFont="1" applyFill="1" applyBorder="1" applyAlignment="1">
      <alignment horizontal="left"/>
    </xf>
    <xf numFmtId="16" fontId="40" fillId="37" borderId="0" xfId="0" quotePrefix="1" applyNumberFormat="1" applyFont="1" applyFill="1" applyBorder="1" applyAlignment="1">
      <alignment horizontal="left"/>
    </xf>
    <xf numFmtId="0" fontId="42" fillId="37" borderId="0" xfId="0" applyFont="1" applyFill="1" applyBorder="1" applyAlignment="1">
      <alignment horizontal="left"/>
    </xf>
    <xf numFmtId="0" fontId="19" fillId="37" borderId="12" xfId="0" applyFont="1" applyFill="1" applyBorder="1" applyAlignment="1">
      <alignment horizontal="left"/>
    </xf>
    <xf numFmtId="165" fontId="17" fillId="37" borderId="8" xfId="2" applyNumberFormat="1" applyFont="1" applyFill="1" applyBorder="1" applyAlignment="1">
      <alignment horizontal="left"/>
    </xf>
    <xf numFmtId="0" fontId="19" fillId="22" borderId="13" xfId="0" applyFont="1" applyFill="1" applyBorder="1" applyAlignment="1">
      <alignment horizontal="left"/>
    </xf>
    <xf numFmtId="0" fontId="17" fillId="22" borderId="6" xfId="0" applyFont="1" applyFill="1" applyBorder="1"/>
    <xf numFmtId="0" fontId="42" fillId="22" borderId="14" xfId="0" applyFont="1" applyFill="1" applyBorder="1" applyAlignment="1">
      <alignment horizontal="left"/>
    </xf>
    <xf numFmtId="0" fontId="30" fillId="22" borderId="6" xfId="0" applyFont="1" applyFill="1" applyBorder="1" applyAlignment="1">
      <alignment horizontal="left"/>
    </xf>
    <xf numFmtId="165" fontId="30" fillId="22" borderId="14" xfId="2" applyNumberFormat="1" applyFont="1" applyFill="1" applyBorder="1" applyAlignment="1">
      <alignment horizontal="left"/>
    </xf>
    <xf numFmtId="165" fontId="30" fillId="22" borderId="6" xfId="2" applyNumberFormat="1" applyFont="1" applyFill="1" applyBorder="1" applyAlignment="1">
      <alignment horizontal="left"/>
    </xf>
    <xf numFmtId="165" fontId="17" fillId="22" borderId="6" xfId="2" applyNumberFormat="1" applyFont="1" applyFill="1" applyBorder="1" applyAlignment="1">
      <alignment horizontal="left"/>
    </xf>
    <xf numFmtId="0" fontId="19" fillId="22" borderId="1" xfId="0" applyFont="1" applyFill="1" applyBorder="1" applyAlignment="1">
      <alignment horizontal="left"/>
    </xf>
    <xf numFmtId="0" fontId="17" fillId="22" borderId="7" xfId="0" applyFont="1" applyFill="1" applyBorder="1"/>
    <xf numFmtId="0" fontId="40" fillId="22" borderId="0" xfId="0" applyFont="1" applyFill="1" applyBorder="1" applyAlignment="1">
      <alignment horizontal="left"/>
    </xf>
    <xf numFmtId="0" fontId="17" fillId="22" borderId="7" xfId="0" applyFont="1" applyFill="1" applyBorder="1" applyAlignment="1">
      <alignment horizontal="left"/>
    </xf>
    <xf numFmtId="165" fontId="17" fillId="22" borderId="0" xfId="2" applyNumberFormat="1" applyFont="1" applyFill="1" applyBorder="1" applyAlignment="1">
      <alignment horizontal="left"/>
    </xf>
    <xf numFmtId="165" fontId="17" fillId="22" borderId="7" xfId="2" applyNumberFormat="1" applyFont="1" applyFill="1" applyBorder="1" applyAlignment="1">
      <alignment horizontal="left"/>
    </xf>
    <xf numFmtId="16" fontId="40" fillId="22" borderId="0" xfId="0" quotePrefix="1" applyNumberFormat="1" applyFont="1" applyFill="1" applyBorder="1" applyAlignment="1">
      <alignment horizontal="left"/>
    </xf>
    <xf numFmtId="0" fontId="42" fillId="22" borderId="0" xfId="0" applyFont="1" applyFill="1" applyBorder="1" applyAlignment="1">
      <alignment horizontal="left"/>
    </xf>
    <xf numFmtId="0" fontId="30" fillId="22" borderId="7" xfId="0" applyFont="1" applyFill="1" applyBorder="1" applyAlignment="1">
      <alignment horizontal="left"/>
    </xf>
    <xf numFmtId="165" fontId="30" fillId="22" borderId="0" xfId="2" applyNumberFormat="1" applyFont="1" applyFill="1" applyBorder="1" applyAlignment="1">
      <alignment horizontal="left"/>
    </xf>
    <xf numFmtId="0" fontId="19" fillId="22" borderId="12" xfId="0" applyFont="1" applyFill="1" applyBorder="1" applyAlignment="1">
      <alignment horizontal="left"/>
    </xf>
    <xf numFmtId="0" fontId="17" fillId="22" borderId="8" xfId="0" applyFont="1" applyFill="1" applyBorder="1"/>
    <xf numFmtId="0" fontId="17" fillId="22" borderId="8" xfId="0" applyFont="1" applyFill="1" applyBorder="1" applyAlignment="1">
      <alignment horizontal="left"/>
    </xf>
    <xf numFmtId="165" fontId="17" fillId="22" borderId="4" xfId="2" applyNumberFormat="1" applyFont="1" applyFill="1" applyBorder="1" applyAlignment="1">
      <alignment horizontal="left"/>
    </xf>
    <xf numFmtId="165" fontId="17" fillId="22" borderId="8" xfId="2" applyNumberFormat="1" applyFont="1" applyFill="1" applyBorder="1" applyAlignment="1">
      <alignment horizontal="left"/>
    </xf>
    <xf numFmtId="165" fontId="4" fillId="22" borderId="7" xfId="2" applyNumberFormat="1" applyFont="1" applyFill="1" applyBorder="1" applyAlignment="1">
      <alignment horizontal="left"/>
    </xf>
    <xf numFmtId="165" fontId="4" fillId="22" borderId="0" xfId="2" applyNumberFormat="1" applyFont="1" applyFill="1" applyBorder="1" applyAlignment="1">
      <alignment horizontal="left"/>
    </xf>
    <xf numFmtId="0" fontId="19" fillId="23" borderId="13" xfId="0" applyFont="1" applyFill="1" applyBorder="1" applyAlignment="1">
      <alignment horizontal="left"/>
    </xf>
    <xf numFmtId="0" fontId="17" fillId="23" borderId="6" xfId="0" applyFont="1" applyFill="1" applyBorder="1"/>
    <xf numFmtId="0" fontId="42" fillId="23" borderId="14" xfId="0" applyFont="1" applyFill="1" applyBorder="1" applyAlignment="1">
      <alignment horizontal="left"/>
    </xf>
    <xf numFmtId="0" fontId="30" fillId="23" borderId="6" xfId="0" applyFont="1" applyFill="1" applyBorder="1" applyAlignment="1">
      <alignment horizontal="left"/>
    </xf>
    <xf numFmtId="165" fontId="30" fillId="23" borderId="14" xfId="2" applyNumberFormat="1" applyFont="1" applyFill="1" applyBorder="1" applyAlignment="1">
      <alignment horizontal="left"/>
    </xf>
    <xf numFmtId="165" fontId="30" fillId="23" borderId="6" xfId="2" applyNumberFormat="1" applyFont="1" applyFill="1" applyBorder="1" applyAlignment="1">
      <alignment horizontal="left"/>
    </xf>
    <xf numFmtId="0" fontId="19" fillId="23" borderId="1" xfId="0" applyFont="1" applyFill="1" applyBorder="1" applyAlignment="1">
      <alignment horizontal="left"/>
    </xf>
    <xf numFmtId="0" fontId="17" fillId="23" borderId="7" xfId="0" applyFont="1" applyFill="1" applyBorder="1"/>
    <xf numFmtId="0" fontId="40" fillId="23" borderId="0" xfId="0" applyFont="1" applyFill="1" applyBorder="1" applyAlignment="1">
      <alignment horizontal="left"/>
    </xf>
    <xf numFmtId="0" fontId="17" fillId="23" borderId="7" xfId="0" applyFont="1" applyFill="1" applyBorder="1" applyAlignment="1">
      <alignment horizontal="left"/>
    </xf>
    <xf numFmtId="165" fontId="17" fillId="23" borderId="0" xfId="2" applyNumberFormat="1" applyFont="1" applyFill="1" applyBorder="1" applyAlignment="1">
      <alignment horizontal="left"/>
    </xf>
    <xf numFmtId="165" fontId="17" fillId="23" borderId="7" xfId="2" applyNumberFormat="1" applyFont="1" applyFill="1" applyBorder="1" applyAlignment="1">
      <alignment horizontal="left"/>
    </xf>
    <xf numFmtId="16" fontId="40" fillId="23" borderId="0" xfId="0" quotePrefix="1" applyNumberFormat="1" applyFont="1" applyFill="1" applyBorder="1" applyAlignment="1">
      <alignment horizontal="left"/>
    </xf>
    <xf numFmtId="0" fontId="19" fillId="23" borderId="0" xfId="0" applyFont="1" applyFill="1" applyBorder="1" applyAlignment="1">
      <alignment horizontal="left"/>
    </xf>
    <xf numFmtId="0" fontId="42" fillId="23" borderId="0" xfId="0" applyFont="1" applyFill="1" applyBorder="1" applyAlignment="1">
      <alignment horizontal="left"/>
    </xf>
    <xf numFmtId="0" fontId="30" fillId="23" borderId="7" xfId="0" applyFont="1" applyFill="1" applyBorder="1" applyAlignment="1">
      <alignment horizontal="left"/>
    </xf>
    <xf numFmtId="165" fontId="30" fillId="23" borderId="0" xfId="2" applyNumberFormat="1" applyFont="1" applyFill="1" applyBorder="1" applyAlignment="1">
      <alignment horizontal="left"/>
    </xf>
    <xf numFmtId="0" fontId="19" fillId="23" borderId="4" xfId="0" applyFont="1" applyFill="1" applyBorder="1" applyAlignment="1">
      <alignment horizontal="left"/>
    </xf>
    <xf numFmtId="0" fontId="17" fillId="23" borderId="8" xfId="0" applyFont="1" applyFill="1" applyBorder="1" applyAlignment="1">
      <alignment horizontal="left"/>
    </xf>
    <xf numFmtId="0" fontId="40" fillId="23" borderId="4" xfId="0" applyFont="1" applyFill="1" applyBorder="1" applyAlignment="1">
      <alignment horizontal="left" wrapText="1"/>
    </xf>
    <xf numFmtId="165" fontId="17" fillId="23" borderId="4" xfId="2" applyNumberFormat="1" applyFont="1" applyFill="1" applyBorder="1" applyAlignment="1">
      <alignment horizontal="left"/>
    </xf>
    <xf numFmtId="165" fontId="17" fillId="23" borderId="8" xfId="2" applyNumberFormat="1" applyFont="1" applyFill="1" applyBorder="1" applyAlignment="1">
      <alignment horizontal="left"/>
    </xf>
    <xf numFmtId="0" fontId="19" fillId="24" borderId="1" xfId="0" applyFont="1" applyFill="1" applyBorder="1" applyAlignment="1">
      <alignment horizontal="left"/>
    </xf>
    <xf numFmtId="0" fontId="17" fillId="24" borderId="7" xfId="0" applyFont="1" applyFill="1" applyBorder="1"/>
    <xf numFmtId="0" fontId="30" fillId="24" borderId="7" xfId="0" applyFont="1" applyFill="1" applyBorder="1" applyAlignment="1">
      <alignment horizontal="left"/>
    </xf>
    <xf numFmtId="165" fontId="30" fillId="24" borderId="0" xfId="2" applyNumberFormat="1" applyFont="1" applyFill="1" applyBorder="1" applyAlignment="1">
      <alignment horizontal="left"/>
    </xf>
    <xf numFmtId="165" fontId="30" fillId="24" borderId="7" xfId="2" applyNumberFormat="1" applyFont="1" applyFill="1" applyBorder="1" applyAlignment="1">
      <alignment horizontal="left"/>
    </xf>
    <xf numFmtId="165" fontId="17" fillId="24" borderId="7" xfId="2" applyNumberFormat="1" applyFont="1" applyFill="1" applyBorder="1" applyAlignment="1">
      <alignment horizontal="left"/>
    </xf>
    <xf numFmtId="0" fontId="17" fillId="24" borderId="7" xfId="0" applyFont="1" applyFill="1" applyBorder="1" applyAlignment="1">
      <alignment horizontal="left"/>
    </xf>
    <xf numFmtId="165" fontId="17" fillId="24" borderId="0" xfId="2" applyNumberFormat="1" applyFont="1" applyFill="1" applyBorder="1" applyAlignment="1">
      <alignment horizontal="left"/>
    </xf>
    <xf numFmtId="0" fontId="23" fillId="24" borderId="1" xfId="0" applyFont="1" applyFill="1" applyBorder="1" applyAlignment="1">
      <alignment horizontal="left"/>
    </xf>
    <xf numFmtId="0" fontId="17" fillId="24" borderId="1" xfId="0" applyFont="1" applyFill="1" applyBorder="1" applyAlignment="1">
      <alignment horizontal="left"/>
    </xf>
    <xf numFmtId="0" fontId="40" fillId="24" borderId="4" xfId="0" applyFont="1" applyFill="1" applyBorder="1" applyAlignment="1">
      <alignment horizontal="left" wrapText="1"/>
    </xf>
    <xf numFmtId="0" fontId="17" fillId="24" borderId="8" xfId="0" applyFont="1" applyFill="1" applyBorder="1" applyAlignment="1">
      <alignment horizontal="left"/>
    </xf>
    <xf numFmtId="165" fontId="17" fillId="24" borderId="4" xfId="2" applyNumberFormat="1" applyFont="1" applyFill="1" applyBorder="1" applyAlignment="1">
      <alignment horizontal="left"/>
    </xf>
    <xf numFmtId="0" fontId="19" fillId="24" borderId="13" xfId="0" applyFont="1" applyFill="1" applyBorder="1" applyAlignment="1">
      <alignment horizontal="left"/>
    </xf>
    <xf numFmtId="0" fontId="17" fillId="24" borderId="6" xfId="0" applyFont="1" applyFill="1" applyBorder="1"/>
    <xf numFmtId="0" fontId="42" fillId="24" borderId="14" xfId="0" applyFont="1" applyFill="1" applyBorder="1" applyAlignment="1">
      <alignment horizontal="left"/>
    </xf>
    <xf numFmtId="0" fontId="30" fillId="24" borderId="6" xfId="0" applyFont="1" applyFill="1" applyBorder="1" applyAlignment="1">
      <alignment horizontal="left"/>
    </xf>
    <xf numFmtId="165" fontId="30" fillId="24" borderId="14" xfId="2" applyNumberFormat="1" applyFont="1" applyFill="1" applyBorder="1" applyAlignment="1">
      <alignment horizontal="left"/>
    </xf>
    <xf numFmtId="165" fontId="30" fillId="24" borderId="6" xfId="2" applyNumberFormat="1" applyFont="1" applyFill="1" applyBorder="1" applyAlignment="1">
      <alignment horizontal="left"/>
    </xf>
    <xf numFmtId="165" fontId="17" fillId="24" borderId="6" xfId="2" applyNumberFormat="1" applyFont="1" applyFill="1" applyBorder="1" applyAlignment="1">
      <alignment horizontal="left"/>
    </xf>
    <xf numFmtId="0" fontId="40" fillId="24" borderId="0" xfId="0" applyFont="1" applyFill="1" applyBorder="1" applyAlignment="1">
      <alignment horizontal="left"/>
    </xf>
    <xf numFmtId="16" fontId="40" fillId="24" borderId="0" xfId="0" quotePrefix="1" applyNumberFormat="1" applyFont="1" applyFill="1" applyBorder="1" applyAlignment="1">
      <alignment horizontal="left"/>
    </xf>
    <xf numFmtId="0" fontId="42" fillId="24" borderId="0" xfId="0" applyFont="1" applyFill="1" applyBorder="1" applyAlignment="1">
      <alignment horizontal="left"/>
    </xf>
    <xf numFmtId="0" fontId="23" fillId="24" borderId="12" xfId="0" applyFont="1" applyFill="1" applyBorder="1" applyAlignment="1">
      <alignment horizontal="left"/>
    </xf>
    <xf numFmtId="165" fontId="17" fillId="24" borderId="8" xfId="2" applyNumberFormat="1" applyFont="1" applyFill="1" applyBorder="1" applyAlignment="1">
      <alignment horizontal="left"/>
    </xf>
    <xf numFmtId="0" fontId="7" fillId="7" borderId="5" xfId="0" applyFont="1" applyFill="1" applyBorder="1"/>
    <xf numFmtId="165" fontId="4" fillId="23" borderId="7" xfId="2" applyNumberFormat="1" applyFont="1" applyFill="1" applyBorder="1" applyAlignment="1">
      <alignment horizontal="left"/>
    </xf>
    <xf numFmtId="165" fontId="4" fillId="23" borderId="0" xfId="2" applyNumberFormat="1" applyFont="1" applyFill="1" applyBorder="1" applyAlignment="1">
      <alignment horizontal="left"/>
    </xf>
    <xf numFmtId="0" fontId="40" fillId="22" borderId="8" xfId="0" applyFont="1" applyFill="1" applyBorder="1" applyAlignment="1">
      <alignment horizontal="left" wrapText="1"/>
    </xf>
    <xf numFmtId="0" fontId="24" fillId="38" borderId="5" xfId="0" applyFont="1" applyFill="1" applyBorder="1"/>
    <xf numFmtId="0" fontId="7" fillId="38" borderId="5" xfId="0" applyFont="1" applyFill="1" applyBorder="1"/>
    <xf numFmtId="165" fontId="24" fillId="38" borderId="5" xfId="2" applyNumberFormat="1" applyFont="1" applyFill="1" applyBorder="1"/>
    <xf numFmtId="164" fontId="24" fillId="38" borderId="5" xfId="0" applyNumberFormat="1" applyFont="1" applyFill="1" applyBorder="1"/>
    <xf numFmtId="2" fontId="24" fillId="38" borderId="5" xfId="0" applyNumberFormat="1" applyFont="1" applyFill="1" applyBorder="1"/>
    <xf numFmtId="164" fontId="24" fillId="38" borderId="5" xfId="2" applyFont="1" applyFill="1" applyBorder="1"/>
    <xf numFmtId="0" fontId="17" fillId="39" borderId="5" xfId="3" applyFont="1" applyFill="1" applyBorder="1"/>
    <xf numFmtId="0" fontId="7" fillId="39" borderId="5" xfId="0" applyFont="1" applyFill="1" applyBorder="1"/>
    <xf numFmtId="0" fontId="17" fillId="39" borderId="5" xfId="0" applyFont="1" applyFill="1" applyBorder="1" applyAlignment="1">
      <alignment wrapText="1"/>
    </xf>
    <xf numFmtId="165" fontId="17" fillId="39" borderId="5" xfId="1" applyNumberFormat="1" applyFont="1" applyFill="1" applyBorder="1"/>
    <xf numFmtId="164" fontId="17" fillId="39" borderId="5" xfId="3" applyNumberFormat="1" applyFont="1" applyFill="1" applyBorder="1"/>
    <xf numFmtId="2" fontId="17" fillId="39" borderId="5" xfId="3" applyNumberFormat="1" applyFont="1" applyFill="1" applyBorder="1"/>
    <xf numFmtId="0" fontId="2" fillId="39" borderId="5" xfId="0" applyFont="1" applyFill="1" applyBorder="1"/>
    <xf numFmtId="0" fontId="17" fillId="39" borderId="5" xfId="0" applyFont="1" applyFill="1" applyBorder="1"/>
    <xf numFmtId="0" fontId="17" fillId="40" borderId="5" xfId="3" applyFont="1" applyFill="1" applyBorder="1"/>
    <xf numFmtId="0" fontId="7" fillId="40" borderId="5" xfId="0" applyFont="1" applyFill="1" applyBorder="1"/>
    <xf numFmtId="165" fontId="17" fillId="40" borderId="5" xfId="1" applyNumberFormat="1" applyFont="1" applyFill="1" applyBorder="1"/>
    <xf numFmtId="164" fontId="17" fillId="40" borderId="5" xfId="3" applyNumberFormat="1" applyFont="1" applyFill="1" applyBorder="1"/>
    <xf numFmtId="2" fontId="17" fillId="40" borderId="5" xfId="3" applyNumberFormat="1" applyFont="1" applyFill="1" applyBorder="1"/>
    <xf numFmtId="164" fontId="17" fillId="40" borderId="5" xfId="1" applyFont="1" applyFill="1" applyBorder="1"/>
    <xf numFmtId="0" fontId="24" fillId="41" borderId="5" xfId="0" applyFont="1" applyFill="1" applyBorder="1"/>
    <xf numFmtId="0" fontId="7" fillId="41" borderId="5" xfId="0" applyFont="1" applyFill="1" applyBorder="1"/>
    <xf numFmtId="165" fontId="24" fillId="41" borderId="5" xfId="2" applyNumberFormat="1" applyFont="1" applyFill="1" applyBorder="1"/>
    <xf numFmtId="164" fontId="24" fillId="41" borderId="5" xfId="0" applyNumberFormat="1" applyFont="1" applyFill="1" applyBorder="1"/>
    <xf numFmtId="2" fontId="24" fillId="41" borderId="5" xfId="0" applyNumberFormat="1" applyFont="1" applyFill="1" applyBorder="1"/>
    <xf numFmtId="164" fontId="24" fillId="41" borderId="5" xfId="2" applyFont="1" applyFill="1" applyBorder="1"/>
    <xf numFmtId="0" fontId="24" fillId="19" borderId="8" xfId="0" applyFont="1" applyFill="1" applyBorder="1"/>
    <xf numFmtId="0" fontId="28" fillId="42" borderId="5" xfId="0" applyFont="1" applyFill="1" applyBorder="1"/>
    <xf numFmtId="0" fontId="7" fillId="42" borderId="5" xfId="0" applyFont="1" applyFill="1" applyBorder="1"/>
    <xf numFmtId="165" fontId="2" fillId="42" borderId="5" xfId="2" applyNumberFormat="1" applyFont="1" applyFill="1" applyBorder="1"/>
    <xf numFmtId="164" fontId="17" fillId="42" borderId="5" xfId="3" applyNumberFormat="1" applyFont="1" applyFill="1" applyBorder="1"/>
    <xf numFmtId="2" fontId="17" fillId="42" borderId="5" xfId="3" applyNumberFormat="1" applyFont="1" applyFill="1" applyBorder="1"/>
    <xf numFmtId="164" fontId="17" fillId="42" borderId="5" xfId="1" applyFont="1" applyFill="1" applyBorder="1"/>
    <xf numFmtId="0" fontId="24" fillId="43" borderId="5" xfId="0" applyFont="1" applyFill="1" applyBorder="1"/>
    <xf numFmtId="0" fontId="7" fillId="43" borderId="5" xfId="0" applyFont="1" applyFill="1" applyBorder="1"/>
    <xf numFmtId="0" fontId="18" fillId="43" borderId="5" xfId="0" applyFont="1" applyFill="1" applyBorder="1"/>
    <xf numFmtId="165" fontId="18" fillId="43" borderId="5" xfId="2" applyNumberFormat="1" applyFont="1" applyFill="1" applyBorder="1"/>
    <xf numFmtId="164" fontId="24" fillId="43" borderId="5" xfId="0" applyNumberFormat="1" applyFont="1" applyFill="1" applyBorder="1"/>
    <xf numFmtId="2" fontId="24" fillId="43" borderId="5" xfId="0" applyNumberFormat="1" applyFont="1" applyFill="1" applyBorder="1"/>
    <xf numFmtId="0" fontId="18" fillId="43" borderId="5" xfId="3" applyFont="1" applyFill="1" applyBorder="1"/>
    <xf numFmtId="2" fontId="17" fillId="43" borderId="5" xfId="3" applyNumberFormat="1" applyFont="1" applyFill="1" applyBorder="1"/>
    <xf numFmtId="164" fontId="17" fillId="43" borderId="5" xfId="1" applyFont="1" applyFill="1" applyBorder="1"/>
    <xf numFmtId="0" fontId="24" fillId="44" borderId="5" xfId="0" applyFont="1" applyFill="1" applyBorder="1"/>
    <xf numFmtId="0" fontId="7" fillId="44" borderId="5" xfId="0" applyFont="1" applyFill="1" applyBorder="1"/>
    <xf numFmtId="165" fontId="17" fillId="44" borderId="5" xfId="1" applyNumberFormat="1" applyFont="1" applyFill="1" applyBorder="1"/>
    <xf numFmtId="164" fontId="17" fillId="44" borderId="5" xfId="3" applyNumberFormat="1" applyFont="1" applyFill="1" applyBorder="1"/>
    <xf numFmtId="2" fontId="17" fillId="44" borderId="5" xfId="3" applyNumberFormat="1" applyFont="1" applyFill="1" applyBorder="1"/>
    <xf numFmtId="164" fontId="17" fillId="44" borderId="5" xfId="1" applyFont="1" applyFill="1" applyBorder="1"/>
    <xf numFmtId="0" fontId="7" fillId="45" borderId="5" xfId="0" applyFont="1" applyFill="1" applyBorder="1"/>
    <xf numFmtId="0" fontId="18" fillId="45" borderId="5" xfId="3" applyFont="1" applyFill="1" applyBorder="1"/>
    <xf numFmtId="165" fontId="17" fillId="45" borderId="5" xfId="1" applyNumberFormat="1" applyFont="1" applyFill="1" applyBorder="1"/>
    <xf numFmtId="164" fontId="17" fillId="45" borderId="5" xfId="3" applyNumberFormat="1" applyFont="1" applyFill="1" applyBorder="1"/>
    <xf numFmtId="2" fontId="17" fillId="45" borderId="5" xfId="3" applyNumberFormat="1" applyFont="1" applyFill="1" applyBorder="1"/>
    <xf numFmtId="164" fontId="17" fillId="45" borderId="5" xfId="1" applyFont="1" applyFill="1" applyBorder="1"/>
    <xf numFmtId="0" fontId="24" fillId="45" borderId="5" xfId="0" applyFont="1" applyFill="1" applyBorder="1"/>
    <xf numFmtId="0" fontId="7" fillId="46" borderId="5" xfId="0" applyFont="1" applyFill="1" applyBorder="1"/>
    <xf numFmtId="165" fontId="24" fillId="46" borderId="8" xfId="2" applyNumberFormat="1" applyFont="1" applyFill="1" applyBorder="1"/>
    <xf numFmtId="164" fontId="24" fillId="46" borderId="5" xfId="0" applyNumberFormat="1" applyFont="1" applyFill="1" applyBorder="1"/>
    <xf numFmtId="2" fontId="24" fillId="46" borderId="5" xfId="0" applyNumberFormat="1" applyFont="1" applyFill="1" applyBorder="1"/>
    <xf numFmtId="164" fontId="24" fillId="46" borderId="5" xfId="2" applyFont="1" applyFill="1" applyBorder="1"/>
    <xf numFmtId="0" fontId="24" fillId="46" borderId="5" xfId="0" applyFont="1" applyFill="1" applyBorder="1"/>
    <xf numFmtId="165" fontId="24" fillId="46" borderId="5" xfId="2" applyNumberFormat="1" applyFont="1" applyFill="1" applyBorder="1"/>
    <xf numFmtId="0" fontId="7" fillId="47" borderId="5" xfId="0" applyFont="1" applyFill="1" applyBorder="1"/>
    <xf numFmtId="0" fontId="24" fillId="47" borderId="5" xfId="0" applyFont="1" applyFill="1" applyBorder="1"/>
    <xf numFmtId="0" fontId="7" fillId="48" borderId="5" xfId="0" applyFont="1" applyFill="1" applyBorder="1"/>
    <xf numFmtId="0" fontId="24" fillId="48" borderId="5" xfId="0" applyFont="1" applyFill="1" applyBorder="1"/>
    <xf numFmtId="0" fontId="19" fillId="20" borderId="5" xfId="0" applyFont="1" applyFill="1" applyBorder="1" applyAlignment="1">
      <alignment horizontal="left"/>
    </xf>
    <xf numFmtId="166" fontId="2" fillId="20" borderId="5" xfId="0" applyNumberFormat="1" applyFont="1" applyFill="1" applyBorder="1"/>
    <xf numFmtId="0" fontId="19" fillId="21" borderId="5" xfId="0" applyFont="1" applyFill="1" applyBorder="1" applyAlignment="1">
      <alignment horizontal="left"/>
    </xf>
    <xf numFmtId="165" fontId="2" fillId="21" borderId="5" xfId="2" applyNumberFormat="1" applyFont="1" applyFill="1" applyBorder="1"/>
    <xf numFmtId="166" fontId="2" fillId="21" borderId="5" xfId="0" applyNumberFormat="1" applyFont="1" applyFill="1" applyBorder="1"/>
    <xf numFmtId="0" fontId="19" fillId="37" borderId="5" xfId="0" applyFont="1" applyFill="1" applyBorder="1" applyAlignment="1">
      <alignment horizontal="left"/>
    </xf>
    <xf numFmtId="165" fontId="2" fillId="37" borderId="5" xfId="2" applyNumberFormat="1" applyFont="1" applyFill="1" applyBorder="1"/>
    <xf numFmtId="166" fontId="2" fillId="37" borderId="5" xfId="0" applyNumberFormat="1" applyFont="1" applyFill="1" applyBorder="1"/>
    <xf numFmtId="0" fontId="19" fillId="22" borderId="5" xfId="0" applyFont="1" applyFill="1" applyBorder="1" applyAlignment="1">
      <alignment horizontal="left"/>
    </xf>
    <xf numFmtId="165" fontId="2" fillId="22" borderId="5" xfId="2" applyNumberFormat="1" applyFont="1" applyFill="1" applyBorder="1"/>
    <xf numFmtId="166" fontId="2" fillId="22" borderId="5" xfId="0" applyNumberFormat="1" applyFont="1" applyFill="1" applyBorder="1"/>
    <xf numFmtId="0" fontId="19" fillId="23" borderId="5" xfId="0" applyFont="1" applyFill="1" applyBorder="1" applyAlignment="1">
      <alignment horizontal="left"/>
    </xf>
    <xf numFmtId="165" fontId="2" fillId="23" borderId="5" xfId="2" applyNumberFormat="1" applyFont="1" applyFill="1" applyBorder="1"/>
    <xf numFmtId="166" fontId="2" fillId="23" borderId="5" xfId="0" applyNumberFormat="1" applyFont="1" applyFill="1" applyBorder="1"/>
    <xf numFmtId="0" fontId="19" fillId="49" borderId="5" xfId="0" applyFont="1" applyFill="1" applyBorder="1" applyAlignment="1">
      <alignment horizontal="left"/>
    </xf>
    <xf numFmtId="165" fontId="2" fillId="49" borderId="5" xfId="2" applyNumberFormat="1" applyFont="1" applyFill="1" applyBorder="1"/>
    <xf numFmtId="166" fontId="2" fillId="49" borderId="5" xfId="0" applyNumberFormat="1" applyFont="1" applyFill="1" applyBorder="1"/>
    <xf numFmtId="0" fontId="19" fillId="25" borderId="5" xfId="0" applyFont="1" applyFill="1" applyBorder="1" applyAlignment="1">
      <alignment horizontal="left"/>
    </xf>
    <xf numFmtId="165" fontId="2" fillId="25" borderId="5" xfId="2" applyNumberFormat="1" applyFont="1" applyFill="1" applyBorder="1"/>
    <xf numFmtId="166" fontId="2" fillId="25" borderId="5" xfId="0" applyNumberFormat="1" applyFont="1" applyFill="1" applyBorder="1"/>
    <xf numFmtId="0" fontId="19" fillId="26" borderId="5" xfId="0" applyFont="1" applyFill="1" applyBorder="1" applyAlignment="1">
      <alignment horizontal="left"/>
    </xf>
    <xf numFmtId="165" fontId="2" fillId="26" borderId="5" xfId="2" applyNumberFormat="1" applyFont="1" applyFill="1" applyBorder="1"/>
    <xf numFmtId="166" fontId="2" fillId="26" borderId="5" xfId="0" applyNumberFormat="1" applyFont="1" applyFill="1" applyBorder="1"/>
    <xf numFmtId="0" fontId="19" fillId="38" borderId="5" xfId="0" applyFont="1" applyFill="1" applyBorder="1" applyAlignment="1">
      <alignment horizontal="left"/>
    </xf>
    <xf numFmtId="165" fontId="2" fillId="38" borderId="5" xfId="2" applyNumberFormat="1" applyFont="1" applyFill="1" applyBorder="1"/>
    <xf numFmtId="166" fontId="2" fillId="38" borderId="5" xfId="0" applyNumberFormat="1" applyFont="1" applyFill="1" applyBorder="1"/>
    <xf numFmtId="0" fontId="19" fillId="27" borderId="5" xfId="0" applyFont="1" applyFill="1" applyBorder="1" applyAlignment="1">
      <alignment horizontal="left"/>
    </xf>
    <xf numFmtId="165" fontId="2" fillId="27" borderId="5" xfId="2" applyNumberFormat="1" applyFont="1" applyFill="1" applyBorder="1"/>
    <xf numFmtId="166" fontId="2" fillId="27" borderId="5" xfId="0" applyNumberFormat="1" applyFont="1" applyFill="1" applyBorder="1"/>
    <xf numFmtId="0" fontId="19" fillId="39" borderId="5" xfId="0" applyFont="1" applyFill="1" applyBorder="1" applyAlignment="1">
      <alignment horizontal="left"/>
    </xf>
    <xf numFmtId="165" fontId="0" fillId="39" borderId="5" xfId="2" applyNumberFormat="1" applyFont="1" applyFill="1" applyBorder="1"/>
    <xf numFmtId="165" fontId="2" fillId="39" borderId="5" xfId="2" applyNumberFormat="1" applyFont="1" applyFill="1" applyBorder="1"/>
    <xf numFmtId="166" fontId="2" fillId="39" borderId="5" xfId="0" applyNumberFormat="1" applyFont="1" applyFill="1" applyBorder="1"/>
    <xf numFmtId="0" fontId="19" fillId="40" borderId="5" xfId="0" applyFont="1" applyFill="1" applyBorder="1" applyAlignment="1">
      <alignment horizontal="left"/>
    </xf>
    <xf numFmtId="165" fontId="0" fillId="40" borderId="5" xfId="2" applyNumberFormat="1" applyFont="1" applyFill="1" applyBorder="1"/>
    <xf numFmtId="165" fontId="2" fillId="40" borderId="5" xfId="2" applyNumberFormat="1" applyFont="1" applyFill="1" applyBorder="1"/>
    <xf numFmtId="166" fontId="2" fillId="40" borderId="5" xfId="0" applyNumberFormat="1" applyFont="1" applyFill="1" applyBorder="1"/>
    <xf numFmtId="0" fontId="19" fillId="41" borderId="5" xfId="0" applyFont="1" applyFill="1" applyBorder="1" applyAlignment="1">
      <alignment horizontal="left"/>
    </xf>
    <xf numFmtId="165" fontId="0" fillId="41" borderId="5" xfId="2" applyNumberFormat="1" applyFont="1" applyFill="1" applyBorder="1"/>
    <xf numFmtId="165" fontId="2" fillId="41" borderId="5" xfId="2" applyNumberFormat="1" applyFont="1" applyFill="1" applyBorder="1"/>
    <xf numFmtId="166" fontId="2" fillId="41" borderId="5" xfId="0" applyNumberFormat="1" applyFont="1" applyFill="1" applyBorder="1"/>
    <xf numFmtId="0" fontId="19" fillId="19" borderId="5" xfId="0" applyFont="1" applyFill="1" applyBorder="1" applyAlignment="1">
      <alignment horizontal="left"/>
    </xf>
    <xf numFmtId="165" fontId="7" fillId="19" borderId="5" xfId="2" applyNumberFormat="1" applyFont="1" applyFill="1" applyBorder="1"/>
    <xf numFmtId="166" fontId="7" fillId="19" borderId="5" xfId="0" applyNumberFormat="1" applyFont="1" applyFill="1" applyBorder="1"/>
    <xf numFmtId="0" fontId="19" fillId="42" borderId="5" xfId="0" applyFont="1" applyFill="1" applyBorder="1" applyAlignment="1">
      <alignment horizontal="left"/>
    </xf>
    <xf numFmtId="165" fontId="7" fillId="42" borderId="5" xfId="2" applyNumberFormat="1" applyFont="1" applyFill="1" applyBorder="1"/>
    <xf numFmtId="166" fontId="7" fillId="42" borderId="5" xfId="0" applyNumberFormat="1" applyFont="1" applyFill="1" applyBorder="1"/>
    <xf numFmtId="0" fontId="19" fillId="30" borderId="5" xfId="0" applyFont="1" applyFill="1" applyBorder="1" applyAlignment="1">
      <alignment horizontal="left"/>
    </xf>
    <xf numFmtId="165" fontId="7" fillId="30" borderId="5" xfId="2" applyNumberFormat="1" applyFont="1" applyFill="1" applyBorder="1"/>
    <xf numFmtId="166" fontId="7" fillId="30" borderId="5" xfId="0" applyNumberFormat="1" applyFont="1" applyFill="1" applyBorder="1"/>
    <xf numFmtId="0" fontId="19" fillId="28" borderId="5" xfId="0" applyFont="1" applyFill="1" applyBorder="1" applyAlignment="1">
      <alignment horizontal="left"/>
    </xf>
    <xf numFmtId="165" fontId="7" fillId="28" borderId="5" xfId="2" applyNumberFormat="1" applyFont="1" applyFill="1" applyBorder="1"/>
    <xf numFmtId="166" fontId="7" fillId="28" borderId="5" xfId="0" applyNumberFormat="1" applyFont="1" applyFill="1" applyBorder="1"/>
    <xf numFmtId="0" fontId="19" fillId="43" borderId="5" xfId="0" applyFont="1" applyFill="1" applyBorder="1" applyAlignment="1">
      <alignment horizontal="left"/>
    </xf>
    <xf numFmtId="165" fontId="7" fillId="43" borderId="5" xfId="2" applyNumberFormat="1" applyFont="1" applyFill="1" applyBorder="1"/>
    <xf numFmtId="166" fontId="7" fillId="43" borderId="5" xfId="0" applyNumberFormat="1" applyFont="1" applyFill="1" applyBorder="1"/>
    <xf numFmtId="0" fontId="19" fillId="29" borderId="5" xfId="0" applyFont="1" applyFill="1" applyBorder="1" applyAlignment="1">
      <alignment horizontal="left"/>
    </xf>
    <xf numFmtId="165" fontId="7" fillId="29" borderId="5" xfId="2" applyNumberFormat="1" applyFont="1" applyFill="1" applyBorder="1"/>
    <xf numFmtId="166" fontId="7" fillId="29" borderId="5" xfId="0" applyNumberFormat="1" applyFont="1" applyFill="1" applyBorder="1"/>
    <xf numFmtId="0" fontId="19" fillId="44" borderId="5" xfId="0" applyFont="1" applyFill="1" applyBorder="1" applyAlignment="1">
      <alignment horizontal="left"/>
    </xf>
    <xf numFmtId="165" fontId="7" fillId="44" borderId="5" xfId="2" applyNumberFormat="1" applyFont="1" applyFill="1" applyBorder="1"/>
    <xf numFmtId="166" fontId="7" fillId="44" borderId="5" xfId="0" applyNumberFormat="1" applyFont="1" applyFill="1" applyBorder="1"/>
    <xf numFmtId="0" fontId="19" fillId="45" borderId="5" xfId="0" applyFont="1" applyFill="1" applyBorder="1" applyAlignment="1">
      <alignment horizontal="left"/>
    </xf>
    <xf numFmtId="165" fontId="7" fillId="45" borderId="5" xfId="2" applyNumberFormat="1" applyFont="1" applyFill="1" applyBorder="1"/>
    <xf numFmtId="166" fontId="7" fillId="45" borderId="5" xfId="0" applyNumberFormat="1" applyFont="1" applyFill="1" applyBorder="1"/>
    <xf numFmtId="0" fontId="19" fillId="46" borderId="5" xfId="0" applyFont="1" applyFill="1" applyBorder="1" applyAlignment="1">
      <alignment horizontal="left"/>
    </xf>
    <xf numFmtId="165" fontId="7" fillId="46" borderId="5" xfId="2" applyNumberFormat="1" applyFont="1" applyFill="1" applyBorder="1"/>
    <xf numFmtId="166" fontId="7" fillId="46" borderId="5" xfId="0" applyNumberFormat="1" applyFont="1" applyFill="1" applyBorder="1"/>
    <xf numFmtId="165" fontId="7" fillId="26" borderId="5" xfId="2" applyNumberFormat="1" applyFont="1" applyFill="1" applyBorder="1"/>
    <xf numFmtId="166" fontId="7" fillId="26" borderId="5" xfId="0" applyNumberFormat="1" applyFont="1" applyFill="1" applyBorder="1"/>
    <xf numFmtId="0" fontId="19" fillId="31" borderId="5" xfId="0" applyFont="1" applyFill="1" applyBorder="1" applyAlignment="1">
      <alignment horizontal="left"/>
    </xf>
    <xf numFmtId="165" fontId="7" fillId="31" borderId="5" xfId="2" applyNumberFormat="1" applyFont="1" applyFill="1" applyBorder="1"/>
    <xf numFmtId="166" fontId="7" fillId="31" borderId="5" xfId="0" applyNumberFormat="1" applyFont="1" applyFill="1" applyBorder="1"/>
    <xf numFmtId="0" fontId="19" fillId="32" borderId="5" xfId="0" applyFont="1" applyFill="1" applyBorder="1" applyAlignment="1">
      <alignment horizontal="left"/>
    </xf>
    <xf numFmtId="165" fontId="7" fillId="32" borderId="5" xfId="2" applyNumberFormat="1" applyFont="1" applyFill="1" applyBorder="1"/>
    <xf numFmtId="166" fontId="7" fillId="32" borderId="5" xfId="0" applyNumberFormat="1" applyFont="1" applyFill="1" applyBorder="1"/>
    <xf numFmtId="0" fontId="19" fillId="47" borderId="5" xfId="0" applyFont="1" applyFill="1" applyBorder="1" applyAlignment="1">
      <alignment horizontal="left"/>
    </xf>
    <xf numFmtId="165" fontId="7" fillId="47" borderId="5" xfId="2" applyNumberFormat="1" applyFont="1" applyFill="1" applyBorder="1"/>
    <xf numFmtId="166" fontId="7" fillId="47" borderId="5" xfId="0" applyNumberFormat="1" applyFont="1" applyFill="1" applyBorder="1"/>
    <xf numFmtId="0" fontId="19" fillId="33" borderId="5" xfId="0" applyFont="1" applyFill="1" applyBorder="1" applyAlignment="1">
      <alignment horizontal="left"/>
    </xf>
    <xf numFmtId="165" fontId="7" fillId="33" borderId="5" xfId="2" applyNumberFormat="1" applyFont="1" applyFill="1" applyBorder="1"/>
    <xf numFmtId="166" fontId="7" fillId="33" borderId="5" xfId="0" applyNumberFormat="1" applyFont="1" applyFill="1" applyBorder="1"/>
    <xf numFmtId="0" fontId="19" fillId="50" borderId="5" xfId="0" applyFont="1" applyFill="1" applyBorder="1" applyAlignment="1">
      <alignment horizontal="left"/>
    </xf>
    <xf numFmtId="165" fontId="7" fillId="50" borderId="5" xfId="2" applyNumberFormat="1" applyFont="1" applyFill="1" applyBorder="1"/>
    <xf numFmtId="166" fontId="7" fillId="50" borderId="5" xfId="0" applyNumberFormat="1" applyFont="1" applyFill="1" applyBorder="1"/>
    <xf numFmtId="0" fontId="19" fillId="25" borderId="1" xfId="0" applyFont="1" applyFill="1" applyBorder="1" applyAlignment="1">
      <alignment horizontal="left"/>
    </xf>
    <xf numFmtId="0" fontId="17" fillId="25" borderId="7" xfId="0" applyFont="1" applyFill="1" applyBorder="1"/>
    <xf numFmtId="0" fontId="42" fillId="25" borderId="14" xfId="0" applyFont="1" applyFill="1" applyBorder="1" applyAlignment="1">
      <alignment horizontal="left"/>
    </xf>
    <xf numFmtId="0" fontId="30" fillId="25" borderId="6" xfId="0" applyFont="1" applyFill="1" applyBorder="1" applyAlignment="1">
      <alignment horizontal="left"/>
    </xf>
    <xf numFmtId="165" fontId="30" fillId="25" borderId="14" xfId="2" applyNumberFormat="1" applyFont="1" applyFill="1" applyBorder="1" applyAlignment="1">
      <alignment horizontal="left"/>
    </xf>
    <xf numFmtId="165" fontId="30" fillId="25" borderId="7" xfId="2" applyNumberFormat="1" applyFont="1" applyFill="1" applyBorder="1" applyAlignment="1">
      <alignment horizontal="left"/>
    </xf>
    <xf numFmtId="165" fontId="30" fillId="25" borderId="0" xfId="2" applyNumberFormat="1" applyFont="1" applyFill="1" applyBorder="1" applyAlignment="1">
      <alignment horizontal="left"/>
    </xf>
    <xf numFmtId="165" fontId="17" fillId="25" borderId="7" xfId="2" applyNumberFormat="1" applyFont="1" applyFill="1" applyBorder="1" applyAlignment="1">
      <alignment horizontal="left"/>
    </xf>
    <xf numFmtId="0" fontId="40" fillId="25" borderId="0" xfId="0" applyFont="1" applyFill="1" applyBorder="1" applyAlignment="1">
      <alignment horizontal="left"/>
    </xf>
    <xf numFmtId="0" fontId="17" fillId="25" borderId="7" xfId="0" applyFont="1" applyFill="1" applyBorder="1" applyAlignment="1">
      <alignment horizontal="left"/>
    </xf>
    <xf numFmtId="165" fontId="17" fillId="25" borderId="0" xfId="2" applyNumberFormat="1" applyFont="1" applyFill="1" applyBorder="1" applyAlignment="1">
      <alignment horizontal="left"/>
    </xf>
    <xf numFmtId="16" fontId="40" fillId="25" borderId="0" xfId="0" quotePrefix="1" applyNumberFormat="1" applyFont="1" applyFill="1" applyBorder="1" applyAlignment="1">
      <alignment horizontal="left"/>
    </xf>
    <xf numFmtId="0" fontId="42" fillId="25" borderId="0" xfId="0" applyFont="1" applyFill="1" applyBorder="1" applyAlignment="1">
      <alignment horizontal="left"/>
    </xf>
    <xf numFmtId="0" fontId="30" fillId="25" borderId="7" xfId="0" applyFont="1" applyFill="1" applyBorder="1" applyAlignment="1">
      <alignment horizontal="left"/>
    </xf>
    <xf numFmtId="0" fontId="40" fillId="25" borderId="4" xfId="0" applyFont="1" applyFill="1" applyBorder="1" applyAlignment="1">
      <alignment horizontal="left" wrapText="1"/>
    </xf>
    <xf numFmtId="0" fontId="17" fillId="25" borderId="8" xfId="0" applyFont="1" applyFill="1" applyBorder="1" applyAlignment="1">
      <alignment horizontal="left"/>
    </xf>
    <xf numFmtId="165" fontId="17" fillId="25" borderId="4" xfId="2" applyNumberFormat="1" applyFont="1" applyFill="1" applyBorder="1" applyAlignment="1">
      <alignment horizontal="left"/>
    </xf>
    <xf numFmtId="0" fontId="19" fillId="25" borderId="13" xfId="0" applyFont="1" applyFill="1" applyBorder="1" applyAlignment="1">
      <alignment horizontal="left"/>
    </xf>
    <xf numFmtId="0" fontId="17" fillId="25" borderId="6" xfId="0" applyFont="1" applyFill="1" applyBorder="1"/>
    <xf numFmtId="165" fontId="30" fillId="25" borderId="6" xfId="2" applyNumberFormat="1" applyFont="1" applyFill="1" applyBorder="1" applyAlignment="1">
      <alignment horizontal="left"/>
    </xf>
    <xf numFmtId="165" fontId="17" fillId="25" borderId="6" xfId="2" applyNumberFormat="1" applyFont="1" applyFill="1" applyBorder="1" applyAlignment="1">
      <alignment horizontal="left"/>
    </xf>
    <xf numFmtId="0" fontId="19" fillId="25" borderId="12" xfId="0" applyFont="1" applyFill="1" applyBorder="1" applyAlignment="1">
      <alignment horizontal="left"/>
    </xf>
    <xf numFmtId="0" fontId="17" fillId="25" borderId="8" xfId="0" applyFont="1" applyFill="1" applyBorder="1"/>
    <xf numFmtId="165" fontId="17" fillId="25" borderId="8" xfId="2" applyNumberFormat="1" applyFont="1" applyFill="1" applyBorder="1" applyAlignment="1">
      <alignment horizontal="left"/>
    </xf>
    <xf numFmtId="165" fontId="4" fillId="25" borderId="7" xfId="2" applyNumberFormat="1" applyFont="1" applyFill="1" applyBorder="1" applyAlignment="1">
      <alignment horizontal="left"/>
    </xf>
    <xf numFmtId="165" fontId="4" fillId="25" borderId="0" xfId="2" applyNumberFormat="1" applyFont="1" applyFill="1" applyBorder="1" applyAlignment="1">
      <alignment horizontal="left"/>
    </xf>
    <xf numFmtId="16" fontId="40" fillId="26" borderId="0" xfId="0" quotePrefix="1" applyNumberFormat="1" applyFont="1" applyFill="1" applyBorder="1" applyAlignment="1">
      <alignment horizontal="left"/>
    </xf>
    <xf numFmtId="0" fontId="7" fillId="26" borderId="7" xfId="0" applyFont="1" applyFill="1" applyBorder="1" applyAlignment="1">
      <alignment horizontal="left"/>
    </xf>
    <xf numFmtId="0" fontId="40" fillId="26" borderId="4" xfId="0" applyFont="1" applyFill="1" applyBorder="1" applyAlignment="1">
      <alignment horizontal="left" wrapText="1"/>
    </xf>
    <xf numFmtId="0" fontId="17" fillId="26" borderId="8" xfId="0" applyFont="1" applyFill="1" applyBorder="1" applyAlignment="1">
      <alignment horizontal="left"/>
    </xf>
    <xf numFmtId="165" fontId="17" fillId="26" borderId="4" xfId="2" applyNumberFormat="1" applyFont="1" applyFill="1" applyBorder="1" applyAlignment="1">
      <alignment horizontal="left"/>
    </xf>
    <xf numFmtId="0" fontId="19" fillId="26" borderId="13" xfId="0" applyFont="1" applyFill="1" applyBorder="1" applyAlignment="1">
      <alignment horizontal="left"/>
    </xf>
    <xf numFmtId="0" fontId="17" fillId="26" borderId="6" xfId="0" applyFont="1" applyFill="1" applyBorder="1" applyAlignment="1">
      <alignment horizontal="left"/>
    </xf>
    <xf numFmtId="0" fontId="42" fillId="26" borderId="14" xfId="0" applyFont="1" applyFill="1" applyBorder="1" applyAlignment="1">
      <alignment horizontal="left"/>
    </xf>
    <xf numFmtId="0" fontId="30" fillId="26" borderId="6" xfId="0" applyFont="1" applyFill="1" applyBorder="1" applyAlignment="1">
      <alignment horizontal="left"/>
    </xf>
    <xf numFmtId="165" fontId="30" fillId="26" borderId="14" xfId="2" applyNumberFormat="1" applyFont="1" applyFill="1" applyBorder="1" applyAlignment="1">
      <alignment horizontal="left"/>
    </xf>
    <xf numFmtId="165" fontId="30" fillId="26" borderId="6" xfId="2" applyNumberFormat="1" applyFont="1" applyFill="1" applyBorder="1" applyAlignment="1">
      <alignment horizontal="left"/>
    </xf>
    <xf numFmtId="165" fontId="17" fillId="26" borderId="6" xfId="2" applyNumberFormat="1" applyFont="1" applyFill="1" applyBorder="1" applyAlignment="1">
      <alignment horizontal="left"/>
    </xf>
    <xf numFmtId="0" fontId="19" fillId="26" borderId="12" xfId="0" applyFont="1" applyFill="1" applyBorder="1" applyAlignment="1">
      <alignment horizontal="left"/>
    </xf>
    <xf numFmtId="165" fontId="17" fillId="26" borderId="8" xfId="2" applyNumberFormat="1" applyFont="1" applyFill="1" applyBorder="1" applyAlignment="1">
      <alignment horizontal="left"/>
    </xf>
    <xf numFmtId="0" fontId="19" fillId="38" borderId="1" xfId="0" applyFont="1" applyFill="1" applyBorder="1" applyAlignment="1">
      <alignment horizontal="left"/>
    </xf>
    <xf numFmtId="0" fontId="17" fillId="38" borderId="7" xfId="0" applyFont="1" applyFill="1" applyBorder="1"/>
    <xf numFmtId="0" fontId="42" fillId="38" borderId="0" xfId="0" applyFont="1" applyFill="1" applyBorder="1" applyAlignment="1">
      <alignment horizontal="left"/>
    </xf>
    <xf numFmtId="0" fontId="30" fillId="38" borderId="7" xfId="0" applyFont="1" applyFill="1" applyBorder="1" applyAlignment="1">
      <alignment horizontal="left"/>
    </xf>
    <xf numFmtId="165" fontId="30" fillId="38" borderId="0" xfId="2" applyNumberFormat="1" applyFont="1" applyFill="1" applyBorder="1" applyAlignment="1">
      <alignment horizontal="left"/>
    </xf>
    <xf numFmtId="165" fontId="30" fillId="38" borderId="7" xfId="2" applyNumberFormat="1" applyFont="1" applyFill="1" applyBorder="1" applyAlignment="1">
      <alignment horizontal="left"/>
    </xf>
    <xf numFmtId="165" fontId="17" fillId="38" borderId="7" xfId="2" applyNumberFormat="1" applyFont="1" applyFill="1" applyBorder="1" applyAlignment="1">
      <alignment horizontal="left"/>
    </xf>
    <xf numFmtId="0" fontId="40" fillId="38" borderId="0" xfId="0" applyFont="1" applyFill="1" applyBorder="1" applyAlignment="1">
      <alignment horizontal="left"/>
    </xf>
    <xf numFmtId="0" fontId="17" fillId="38" borderId="7" xfId="0" applyFont="1" applyFill="1" applyBorder="1" applyAlignment="1">
      <alignment horizontal="left"/>
    </xf>
    <xf numFmtId="165" fontId="17" fillId="38" borderId="0" xfId="2" applyNumberFormat="1" applyFont="1" applyFill="1" applyBorder="1" applyAlignment="1">
      <alignment horizontal="left"/>
    </xf>
    <xf numFmtId="16" fontId="40" fillId="38" borderId="0" xfId="0" quotePrefix="1" applyNumberFormat="1" applyFont="1" applyFill="1" applyBorder="1" applyAlignment="1">
      <alignment horizontal="left"/>
    </xf>
    <xf numFmtId="0" fontId="40" fillId="38" borderId="4" xfId="0" applyFont="1" applyFill="1" applyBorder="1" applyAlignment="1">
      <alignment horizontal="left" wrapText="1"/>
    </xf>
    <xf numFmtId="0" fontId="17" fillId="38" borderId="8" xfId="0" applyFont="1" applyFill="1" applyBorder="1" applyAlignment="1">
      <alignment horizontal="left"/>
    </xf>
    <xf numFmtId="165" fontId="17" fillId="38" borderId="4" xfId="2" applyNumberFormat="1" applyFont="1" applyFill="1" applyBorder="1" applyAlignment="1">
      <alignment horizontal="left"/>
    </xf>
    <xf numFmtId="0" fontId="19" fillId="38" borderId="13" xfId="0" applyFont="1" applyFill="1" applyBorder="1" applyAlignment="1">
      <alignment horizontal="left"/>
    </xf>
    <xf numFmtId="0" fontId="17" fillId="38" borderId="6" xfId="0" applyFont="1" applyFill="1" applyBorder="1"/>
    <xf numFmtId="0" fontId="42" fillId="38" borderId="14" xfId="0" applyFont="1" applyFill="1" applyBorder="1" applyAlignment="1">
      <alignment horizontal="left"/>
    </xf>
    <xf numFmtId="0" fontId="30" fillId="38" borderId="6" xfId="0" applyFont="1" applyFill="1" applyBorder="1" applyAlignment="1">
      <alignment horizontal="left"/>
    </xf>
    <xf numFmtId="165" fontId="30" fillId="38" borderId="14" xfId="2" applyNumberFormat="1" applyFont="1" applyFill="1" applyBorder="1" applyAlignment="1">
      <alignment horizontal="left"/>
    </xf>
    <xf numFmtId="165" fontId="30" fillId="38" borderId="6" xfId="2" applyNumberFormat="1" applyFont="1" applyFill="1" applyBorder="1" applyAlignment="1">
      <alignment horizontal="left"/>
    </xf>
    <xf numFmtId="165" fontId="17" fillId="38" borderId="6" xfId="2" applyNumberFormat="1" applyFont="1" applyFill="1" applyBorder="1" applyAlignment="1">
      <alignment horizontal="left"/>
    </xf>
    <xf numFmtId="0" fontId="19" fillId="38" borderId="12" xfId="0" applyFont="1" applyFill="1" applyBorder="1" applyAlignment="1">
      <alignment horizontal="left"/>
    </xf>
    <xf numFmtId="0" fontId="17" fillId="38" borderId="8" xfId="0" applyFont="1" applyFill="1" applyBorder="1"/>
    <xf numFmtId="165" fontId="17" fillId="38" borderId="8" xfId="2" applyNumberFormat="1" applyFont="1" applyFill="1" applyBorder="1" applyAlignment="1">
      <alignment horizontal="left"/>
    </xf>
    <xf numFmtId="0" fontId="19" fillId="27" borderId="13" xfId="0" applyFont="1" applyFill="1" applyBorder="1" applyAlignment="1">
      <alignment horizontal="left"/>
    </xf>
    <xf numFmtId="0" fontId="17" fillId="27" borderId="6" xfId="0" applyFont="1" applyFill="1" applyBorder="1" applyAlignment="1">
      <alignment horizontal="left"/>
    </xf>
    <xf numFmtId="0" fontId="42" fillId="27" borderId="14" xfId="0" applyFont="1" applyFill="1" applyBorder="1" applyAlignment="1">
      <alignment horizontal="left"/>
    </xf>
    <xf numFmtId="0" fontId="30" fillId="27" borderId="6" xfId="0" applyFont="1" applyFill="1" applyBorder="1" applyAlignment="1">
      <alignment horizontal="left"/>
    </xf>
    <xf numFmtId="165" fontId="30" fillId="27" borderId="14" xfId="2" applyNumberFormat="1" applyFont="1" applyFill="1" applyBorder="1" applyAlignment="1">
      <alignment horizontal="left"/>
    </xf>
    <xf numFmtId="165" fontId="30" fillId="27" borderId="6" xfId="2" applyNumberFormat="1" applyFont="1" applyFill="1" applyBorder="1" applyAlignment="1">
      <alignment horizontal="left"/>
    </xf>
    <xf numFmtId="165" fontId="17" fillId="27" borderId="6" xfId="2" applyNumberFormat="1" applyFont="1" applyFill="1" applyBorder="1" applyAlignment="1">
      <alignment horizontal="left"/>
    </xf>
    <xf numFmtId="0" fontId="19" fillId="27" borderId="1" xfId="0" applyFont="1" applyFill="1" applyBorder="1" applyAlignment="1">
      <alignment horizontal="left"/>
    </xf>
    <xf numFmtId="0" fontId="17" fillId="27" borderId="7" xfId="0" applyFont="1" applyFill="1" applyBorder="1" applyAlignment="1">
      <alignment horizontal="left"/>
    </xf>
    <xf numFmtId="0" fontId="40" fillId="27" borderId="0" xfId="0" applyFont="1" applyFill="1" applyBorder="1" applyAlignment="1">
      <alignment horizontal="left"/>
    </xf>
    <xf numFmtId="165" fontId="17" fillId="27" borderId="0" xfId="2" applyNumberFormat="1" applyFont="1" applyFill="1" applyBorder="1" applyAlignment="1">
      <alignment horizontal="left"/>
    </xf>
    <xf numFmtId="165" fontId="17" fillId="27" borderId="7" xfId="2" applyNumberFormat="1" applyFont="1" applyFill="1" applyBorder="1" applyAlignment="1">
      <alignment horizontal="left"/>
    </xf>
    <xf numFmtId="16" fontId="40" fillId="27" borderId="0" xfId="0" quotePrefix="1" applyNumberFormat="1" applyFont="1" applyFill="1" applyBorder="1" applyAlignment="1">
      <alignment horizontal="left"/>
    </xf>
    <xf numFmtId="0" fontId="23" fillId="27" borderId="1" xfId="0" applyFont="1" applyFill="1" applyBorder="1" applyAlignment="1">
      <alignment horizontal="left"/>
    </xf>
    <xf numFmtId="165" fontId="30" fillId="27" borderId="7" xfId="2" applyNumberFormat="1" applyFont="1" applyFill="1" applyBorder="1" applyAlignment="1">
      <alignment horizontal="left"/>
    </xf>
    <xf numFmtId="165" fontId="30" fillId="27" borderId="0" xfId="2" applyNumberFormat="1" applyFont="1" applyFill="1" applyBorder="1" applyAlignment="1">
      <alignment horizontal="left"/>
    </xf>
    <xf numFmtId="0" fontId="42" fillId="27" borderId="0" xfId="0" applyFont="1" applyFill="1" applyBorder="1" applyAlignment="1">
      <alignment horizontal="left"/>
    </xf>
    <xf numFmtId="0" fontId="30" fillId="27" borderId="7" xfId="0" applyFont="1" applyFill="1" applyBorder="1" applyAlignment="1">
      <alignment horizontal="left"/>
    </xf>
    <xf numFmtId="0" fontId="23" fillId="27" borderId="12" xfId="0" applyFont="1" applyFill="1" applyBorder="1" applyAlignment="1">
      <alignment horizontal="left"/>
    </xf>
    <xf numFmtId="0" fontId="17" fillId="27" borderId="8" xfId="0" applyFont="1" applyFill="1" applyBorder="1" applyAlignment="1">
      <alignment horizontal="left"/>
    </xf>
    <xf numFmtId="0" fontId="40" fillId="27" borderId="4" xfId="0" applyFont="1" applyFill="1" applyBorder="1" applyAlignment="1">
      <alignment horizontal="left" wrapText="1"/>
    </xf>
    <xf numFmtId="165" fontId="17" fillId="27" borderId="4" xfId="2" applyNumberFormat="1" applyFont="1" applyFill="1" applyBorder="1" applyAlignment="1">
      <alignment horizontal="left"/>
    </xf>
    <xf numFmtId="165" fontId="17" fillId="27" borderId="8" xfId="2" applyNumberFormat="1" applyFont="1" applyFill="1" applyBorder="1" applyAlignment="1">
      <alignment horizontal="left"/>
    </xf>
    <xf numFmtId="0" fontId="19" fillId="39" borderId="1" xfId="0" applyFont="1" applyFill="1" applyBorder="1" applyAlignment="1">
      <alignment horizontal="left"/>
    </xf>
    <xf numFmtId="0" fontId="17" fillId="39" borderId="7" xfId="0" applyFont="1" applyFill="1" applyBorder="1" applyAlignment="1">
      <alignment horizontal="left"/>
    </xf>
    <xf numFmtId="0" fontId="42" fillId="39" borderId="0" xfId="0" applyFont="1" applyFill="1" applyBorder="1" applyAlignment="1">
      <alignment horizontal="left"/>
    </xf>
    <xf numFmtId="0" fontId="30" fillId="39" borderId="7" xfId="0" applyFont="1" applyFill="1" applyBorder="1" applyAlignment="1">
      <alignment horizontal="left"/>
    </xf>
    <xf numFmtId="165" fontId="30" fillId="39" borderId="0" xfId="2" applyNumberFormat="1" applyFont="1" applyFill="1" applyBorder="1" applyAlignment="1">
      <alignment horizontal="left"/>
    </xf>
    <xf numFmtId="165" fontId="30" fillId="39" borderId="7" xfId="2" applyNumberFormat="1" applyFont="1" applyFill="1" applyBorder="1" applyAlignment="1">
      <alignment horizontal="left"/>
    </xf>
    <xf numFmtId="165" fontId="17" fillId="39" borderId="7" xfId="2" applyNumberFormat="1" applyFont="1" applyFill="1" applyBorder="1" applyAlignment="1">
      <alignment horizontal="left"/>
    </xf>
    <xf numFmtId="0" fontId="40" fillId="39" borderId="0" xfId="0" applyFont="1" applyFill="1" applyBorder="1" applyAlignment="1">
      <alignment horizontal="left"/>
    </xf>
    <xf numFmtId="165" fontId="17" fillId="39" borderId="0" xfId="2" applyNumberFormat="1" applyFont="1" applyFill="1" applyBorder="1" applyAlignment="1">
      <alignment horizontal="left"/>
    </xf>
    <xf numFmtId="16" fontId="40" fillId="39" borderId="0" xfId="0" quotePrefix="1" applyNumberFormat="1" applyFont="1" applyFill="1" applyBorder="1" applyAlignment="1">
      <alignment horizontal="left"/>
    </xf>
    <xf numFmtId="0" fontId="40" fillId="39" borderId="4" xfId="0" applyFont="1" applyFill="1" applyBorder="1" applyAlignment="1">
      <alignment horizontal="left" wrapText="1"/>
    </xf>
    <xf numFmtId="0" fontId="17" fillId="39" borderId="8" xfId="0" applyFont="1" applyFill="1" applyBorder="1" applyAlignment="1">
      <alignment horizontal="left"/>
    </xf>
    <xf numFmtId="165" fontId="17" fillId="39" borderId="4" xfId="2" applyNumberFormat="1" applyFont="1" applyFill="1" applyBorder="1" applyAlignment="1">
      <alignment horizontal="left"/>
    </xf>
    <xf numFmtId="0" fontId="19" fillId="40" borderId="1" xfId="0" applyFont="1" applyFill="1" applyBorder="1" applyAlignment="1">
      <alignment horizontal="left"/>
    </xf>
    <xf numFmtId="0" fontId="30" fillId="40" borderId="7" xfId="0" applyFont="1" applyFill="1" applyBorder="1" applyAlignment="1">
      <alignment horizontal="left"/>
    </xf>
    <xf numFmtId="0" fontId="42" fillId="40" borderId="14" xfId="0" applyFont="1" applyFill="1" applyBorder="1" applyAlignment="1">
      <alignment horizontal="left"/>
    </xf>
    <xf numFmtId="0" fontId="30" fillId="40" borderId="6" xfId="0" applyFont="1" applyFill="1" applyBorder="1" applyAlignment="1">
      <alignment horizontal="left"/>
    </xf>
    <xf numFmtId="165" fontId="30" fillId="40" borderId="14" xfId="2" applyNumberFormat="1" applyFont="1" applyFill="1" applyBorder="1" applyAlignment="1">
      <alignment horizontal="left"/>
    </xf>
    <xf numFmtId="165" fontId="30" fillId="40" borderId="7" xfId="2" applyNumberFormat="1" applyFont="1" applyFill="1" applyBorder="1" applyAlignment="1">
      <alignment horizontal="left"/>
    </xf>
    <xf numFmtId="165" fontId="30" fillId="40" borderId="0" xfId="2" applyNumberFormat="1" applyFont="1" applyFill="1" applyBorder="1" applyAlignment="1">
      <alignment horizontal="left"/>
    </xf>
    <xf numFmtId="165" fontId="17" fillId="40" borderId="7" xfId="2" applyNumberFormat="1" applyFont="1" applyFill="1" applyBorder="1" applyAlignment="1">
      <alignment horizontal="left"/>
    </xf>
    <xf numFmtId="0" fontId="17" fillId="40" borderId="7" xfId="0" applyFont="1" applyFill="1" applyBorder="1" applyAlignment="1">
      <alignment horizontal="left"/>
    </xf>
    <xf numFmtId="0" fontId="40" fillId="40" borderId="0" xfId="0" applyFont="1" applyFill="1" applyBorder="1" applyAlignment="1">
      <alignment horizontal="left"/>
    </xf>
    <xf numFmtId="165" fontId="17" fillId="40" borderId="0" xfId="2" applyNumberFormat="1" applyFont="1" applyFill="1" applyBorder="1" applyAlignment="1">
      <alignment horizontal="left"/>
    </xf>
    <xf numFmtId="16" fontId="40" fillId="40" borderId="0" xfId="0" quotePrefix="1" applyNumberFormat="1" applyFont="1" applyFill="1" applyBorder="1" applyAlignment="1">
      <alignment horizontal="left"/>
    </xf>
    <xf numFmtId="0" fontId="42" fillId="40" borderId="0" xfId="0" applyFont="1" applyFill="1" applyBorder="1" applyAlignment="1">
      <alignment horizontal="left"/>
    </xf>
    <xf numFmtId="0" fontId="40" fillId="40" borderId="4" xfId="0" applyFont="1" applyFill="1" applyBorder="1" applyAlignment="1">
      <alignment horizontal="left" wrapText="1"/>
    </xf>
    <xf numFmtId="0" fontId="17" fillId="40" borderId="8" xfId="0" applyFont="1" applyFill="1" applyBorder="1" applyAlignment="1">
      <alignment horizontal="left"/>
    </xf>
    <xf numFmtId="165" fontId="17" fillId="40" borderId="4" xfId="2" applyNumberFormat="1" applyFont="1" applyFill="1" applyBorder="1" applyAlignment="1">
      <alignment horizontal="left"/>
    </xf>
    <xf numFmtId="0" fontId="19" fillId="39" borderId="13" xfId="0" applyFont="1" applyFill="1" applyBorder="1" applyAlignment="1">
      <alignment horizontal="left"/>
    </xf>
    <xf numFmtId="0" fontId="17" fillId="39" borderId="6" xfId="0" applyFont="1" applyFill="1" applyBorder="1" applyAlignment="1">
      <alignment horizontal="left"/>
    </xf>
    <xf numFmtId="0" fontId="42" fillId="39" borderId="14" xfId="0" applyFont="1" applyFill="1" applyBorder="1" applyAlignment="1">
      <alignment horizontal="left"/>
    </xf>
    <xf numFmtId="0" fontId="30" fillId="39" borderId="6" xfId="0" applyFont="1" applyFill="1" applyBorder="1" applyAlignment="1">
      <alignment horizontal="left"/>
    </xf>
    <xf numFmtId="165" fontId="30" fillId="39" borderId="14" xfId="2" applyNumberFormat="1" applyFont="1" applyFill="1" applyBorder="1" applyAlignment="1">
      <alignment horizontal="left"/>
    </xf>
    <xf numFmtId="165" fontId="30" fillId="39" borderId="6" xfId="2" applyNumberFormat="1" applyFont="1" applyFill="1" applyBorder="1" applyAlignment="1">
      <alignment horizontal="left"/>
    </xf>
    <xf numFmtId="165" fontId="17" fillId="39" borderId="6" xfId="2" applyNumberFormat="1" applyFont="1" applyFill="1" applyBorder="1" applyAlignment="1">
      <alignment horizontal="left"/>
    </xf>
    <xf numFmtId="0" fontId="19" fillId="39" borderId="12" xfId="0" applyFont="1" applyFill="1" applyBorder="1" applyAlignment="1">
      <alignment horizontal="left"/>
    </xf>
    <xf numFmtId="165" fontId="17" fillId="39" borderId="8" xfId="2" applyNumberFormat="1" applyFont="1" applyFill="1" applyBorder="1" applyAlignment="1">
      <alignment horizontal="left"/>
    </xf>
    <xf numFmtId="0" fontId="19" fillId="40" borderId="13" xfId="0" applyFont="1" applyFill="1" applyBorder="1" applyAlignment="1">
      <alignment horizontal="left"/>
    </xf>
    <xf numFmtId="165" fontId="30" fillId="40" borderId="6" xfId="2" applyNumberFormat="1" applyFont="1" applyFill="1" applyBorder="1" applyAlignment="1">
      <alignment horizontal="left"/>
    </xf>
    <xf numFmtId="165" fontId="17" fillId="40" borderId="6" xfId="2" applyNumberFormat="1" applyFont="1" applyFill="1" applyBorder="1" applyAlignment="1">
      <alignment horizontal="left"/>
    </xf>
    <xf numFmtId="0" fontId="19" fillId="40" borderId="12" xfId="0" applyFont="1" applyFill="1" applyBorder="1" applyAlignment="1">
      <alignment horizontal="left"/>
    </xf>
    <xf numFmtId="165" fontId="17" fillId="40" borderId="8" xfId="2" applyNumberFormat="1" applyFont="1" applyFill="1" applyBorder="1" applyAlignment="1">
      <alignment horizontal="left"/>
    </xf>
    <xf numFmtId="165" fontId="4" fillId="39" borderId="7" xfId="2" applyNumberFormat="1" applyFont="1" applyFill="1" applyBorder="1" applyAlignment="1">
      <alignment horizontal="left"/>
    </xf>
    <xf numFmtId="165" fontId="4" fillId="39" borderId="0" xfId="2" applyNumberFormat="1" applyFont="1" applyFill="1" applyBorder="1" applyAlignment="1">
      <alignment horizontal="left"/>
    </xf>
    <xf numFmtId="0" fontId="17" fillId="40" borderId="6" xfId="0" applyFont="1" applyFill="1" applyBorder="1" applyAlignment="1">
      <alignment horizontal="left"/>
    </xf>
    <xf numFmtId="0" fontId="19" fillId="41" borderId="1" xfId="0" applyFont="1" applyFill="1" applyBorder="1" applyAlignment="1">
      <alignment horizontal="left"/>
    </xf>
    <xf numFmtId="0" fontId="17" fillId="41" borderId="7" xfId="0" applyFont="1" applyFill="1" applyBorder="1" applyAlignment="1">
      <alignment horizontal="left"/>
    </xf>
    <xf numFmtId="165" fontId="30" fillId="41" borderId="0" xfId="2" applyNumberFormat="1" applyFont="1" applyFill="1" applyBorder="1" applyAlignment="1">
      <alignment horizontal="left"/>
    </xf>
    <xf numFmtId="165" fontId="30" fillId="41" borderId="7" xfId="2" applyNumberFormat="1" applyFont="1" applyFill="1" applyBorder="1" applyAlignment="1">
      <alignment horizontal="left"/>
    </xf>
    <xf numFmtId="0" fontId="7" fillId="41" borderId="7" xfId="0" applyFont="1" applyFill="1" applyBorder="1" applyAlignment="1">
      <alignment horizontal="left"/>
    </xf>
    <xf numFmtId="165" fontId="7" fillId="41" borderId="0" xfId="2" applyNumberFormat="1" applyFont="1" applyFill="1" applyBorder="1" applyAlignment="1">
      <alignment horizontal="left"/>
    </xf>
    <xf numFmtId="165" fontId="17" fillId="41" borderId="7" xfId="2" applyNumberFormat="1" applyFont="1" applyFill="1" applyBorder="1" applyAlignment="1">
      <alignment horizontal="left"/>
    </xf>
    <xf numFmtId="165" fontId="17" fillId="41" borderId="0" xfId="2" applyNumberFormat="1" applyFont="1" applyFill="1" applyBorder="1" applyAlignment="1">
      <alignment horizontal="left"/>
    </xf>
    <xf numFmtId="0" fontId="19" fillId="41" borderId="13" xfId="0" applyFont="1" applyFill="1" applyBorder="1" applyAlignment="1">
      <alignment horizontal="left"/>
    </xf>
    <xf numFmtId="0" fontId="17" fillId="41" borderId="6" xfId="0" applyFont="1" applyFill="1" applyBorder="1" applyAlignment="1">
      <alignment horizontal="left"/>
    </xf>
    <xf numFmtId="0" fontId="42" fillId="41" borderId="14" xfId="0" applyFont="1" applyFill="1" applyBorder="1" applyAlignment="1">
      <alignment horizontal="left" wrapText="1"/>
    </xf>
    <xf numFmtId="0" fontId="30" fillId="41" borderId="6" xfId="0" applyFont="1" applyFill="1" applyBorder="1" applyAlignment="1">
      <alignment horizontal="left"/>
    </xf>
    <xf numFmtId="165" fontId="30" fillId="41" borderId="14" xfId="2" applyNumberFormat="1" applyFont="1" applyFill="1" applyBorder="1" applyAlignment="1">
      <alignment horizontal="left"/>
    </xf>
    <xf numFmtId="165" fontId="30" fillId="41" borderId="6" xfId="2" applyNumberFormat="1" applyFont="1" applyFill="1" applyBorder="1" applyAlignment="1">
      <alignment horizontal="left"/>
    </xf>
    <xf numFmtId="0" fontId="11" fillId="41" borderId="0" xfId="0" applyFont="1" applyFill="1" applyBorder="1" applyAlignment="1">
      <alignment horizontal="left"/>
    </xf>
    <xf numFmtId="0" fontId="40" fillId="41" borderId="0" xfId="0" applyFont="1" applyFill="1" applyBorder="1" applyAlignment="1">
      <alignment horizontal="left"/>
    </xf>
    <xf numFmtId="0" fontId="19" fillId="41" borderId="12" xfId="0" applyFont="1" applyFill="1" applyBorder="1" applyAlignment="1">
      <alignment horizontal="left"/>
    </xf>
    <xf numFmtId="0" fontId="17" fillId="41" borderId="8" xfId="0" applyFont="1" applyFill="1" applyBorder="1" applyAlignment="1">
      <alignment horizontal="left"/>
    </xf>
    <xf numFmtId="0" fontId="40" fillId="41" borderId="4" xfId="0" applyFont="1" applyFill="1" applyBorder="1" applyAlignment="1">
      <alignment horizontal="left"/>
    </xf>
    <xf numFmtId="165" fontId="17" fillId="41" borderId="4" xfId="2" applyNumberFormat="1" applyFont="1" applyFill="1" applyBorder="1" applyAlignment="1">
      <alignment horizontal="left"/>
    </xf>
    <xf numFmtId="165" fontId="17" fillId="41" borderId="8" xfId="2" applyNumberFormat="1" applyFont="1" applyFill="1" applyBorder="1" applyAlignment="1">
      <alignment horizontal="left"/>
    </xf>
    <xf numFmtId="0" fontId="19" fillId="19" borderId="1" xfId="0" applyFont="1" applyFill="1" applyBorder="1" applyAlignment="1">
      <alignment horizontal="left"/>
    </xf>
    <xf numFmtId="0" fontId="42" fillId="19" borderId="0" xfId="0" applyFont="1" applyFill="1" applyBorder="1" applyAlignment="1">
      <alignment horizontal="left"/>
    </xf>
    <xf numFmtId="0" fontId="30" fillId="19" borderId="7" xfId="0" applyFont="1" applyFill="1" applyBorder="1" applyAlignment="1">
      <alignment horizontal="left"/>
    </xf>
    <xf numFmtId="165" fontId="30" fillId="19" borderId="0" xfId="2" applyNumberFormat="1" applyFont="1" applyFill="1" applyBorder="1" applyAlignment="1">
      <alignment horizontal="left"/>
    </xf>
    <xf numFmtId="165" fontId="30" fillId="19" borderId="7" xfId="2" applyNumberFormat="1" applyFont="1" applyFill="1" applyBorder="1" applyAlignment="1">
      <alignment horizontal="left"/>
    </xf>
    <xf numFmtId="165" fontId="17" fillId="19" borderId="7" xfId="2" applyNumberFormat="1" applyFont="1" applyFill="1" applyBorder="1" applyAlignment="1">
      <alignment horizontal="left"/>
    </xf>
    <xf numFmtId="0" fontId="17" fillId="19" borderId="7" xfId="0" applyFont="1" applyFill="1" applyBorder="1" applyAlignment="1">
      <alignment horizontal="left"/>
    </xf>
    <xf numFmtId="0" fontId="40" fillId="19" borderId="0" xfId="0" applyFont="1" applyFill="1" applyBorder="1" applyAlignment="1">
      <alignment horizontal="left"/>
    </xf>
    <xf numFmtId="165" fontId="17" fillId="19" borderId="0" xfId="2" applyNumberFormat="1" applyFont="1" applyFill="1" applyBorder="1" applyAlignment="1">
      <alignment horizontal="left"/>
    </xf>
    <xf numFmtId="0" fontId="19" fillId="19" borderId="13" xfId="0" applyFont="1" applyFill="1" applyBorder="1" applyAlignment="1">
      <alignment horizontal="left"/>
    </xf>
    <xf numFmtId="0" fontId="17" fillId="19" borderId="6" xfId="3" applyFont="1" applyFill="1" applyBorder="1"/>
    <xf numFmtId="0" fontId="42" fillId="19" borderId="14" xfId="0" applyFont="1" applyFill="1" applyBorder="1" applyAlignment="1">
      <alignment horizontal="left"/>
    </xf>
    <xf numFmtId="0" fontId="30" fillId="19" borderId="6" xfId="0" applyFont="1" applyFill="1" applyBorder="1" applyAlignment="1">
      <alignment horizontal="left"/>
    </xf>
    <xf numFmtId="165" fontId="30" fillId="19" borderId="14" xfId="2" applyNumberFormat="1" applyFont="1" applyFill="1" applyBorder="1" applyAlignment="1">
      <alignment horizontal="left"/>
    </xf>
    <xf numFmtId="165" fontId="30" fillId="19" borderId="6" xfId="2" applyNumberFormat="1" applyFont="1" applyFill="1" applyBorder="1" applyAlignment="1">
      <alignment horizontal="left"/>
    </xf>
    <xf numFmtId="165" fontId="17" fillId="19" borderId="6" xfId="2" applyNumberFormat="1" applyFont="1" applyFill="1" applyBorder="1" applyAlignment="1">
      <alignment horizontal="left"/>
    </xf>
    <xf numFmtId="0" fontId="19" fillId="19" borderId="12" xfId="0" applyFont="1" applyFill="1" applyBorder="1" applyAlignment="1">
      <alignment horizontal="left"/>
    </xf>
    <xf numFmtId="0" fontId="17" fillId="19" borderId="8" xfId="0" applyFont="1" applyFill="1" applyBorder="1" applyAlignment="1">
      <alignment horizontal="left"/>
    </xf>
    <xf numFmtId="0" fontId="40" fillId="19" borderId="4" xfId="0" applyFont="1" applyFill="1" applyBorder="1" applyAlignment="1">
      <alignment horizontal="left"/>
    </xf>
    <xf numFmtId="165" fontId="17" fillId="19" borderId="4" xfId="2" applyNumberFormat="1" applyFont="1" applyFill="1" applyBorder="1" applyAlignment="1">
      <alignment horizontal="left"/>
    </xf>
    <xf numFmtId="165" fontId="17" fillId="19" borderId="8" xfId="2" applyNumberFormat="1" applyFont="1" applyFill="1" applyBorder="1" applyAlignment="1">
      <alignment horizontal="left"/>
    </xf>
    <xf numFmtId="0" fontId="19" fillId="42" borderId="1" xfId="0" applyFont="1" applyFill="1" applyBorder="1" applyAlignment="1">
      <alignment horizontal="left"/>
    </xf>
    <xf numFmtId="0" fontId="17" fillId="42" borderId="7" xfId="0" applyFont="1" applyFill="1" applyBorder="1" applyAlignment="1">
      <alignment horizontal="left"/>
    </xf>
    <xf numFmtId="165" fontId="30" fillId="42" borderId="7" xfId="2" applyNumberFormat="1" applyFont="1" applyFill="1" applyBorder="1" applyAlignment="1">
      <alignment horizontal="left"/>
    </xf>
    <xf numFmtId="165" fontId="17" fillId="42" borderId="7" xfId="2" applyNumberFormat="1" applyFont="1" applyFill="1" applyBorder="1" applyAlignment="1">
      <alignment horizontal="left"/>
    </xf>
    <xf numFmtId="0" fontId="40" fillId="42" borderId="0" xfId="0" applyFont="1" applyFill="1" applyBorder="1" applyAlignment="1">
      <alignment horizontal="left"/>
    </xf>
    <xf numFmtId="165" fontId="17" fillId="42" borderId="0" xfId="2" applyNumberFormat="1" applyFont="1" applyFill="1" applyBorder="1" applyAlignment="1">
      <alignment horizontal="left"/>
    </xf>
    <xf numFmtId="0" fontId="19" fillId="30" borderId="1" xfId="0" applyFont="1" applyFill="1" applyBorder="1" applyAlignment="1">
      <alignment horizontal="left"/>
    </xf>
    <xf numFmtId="0" fontId="17" fillId="30" borderId="7" xfId="0" applyFont="1" applyFill="1" applyBorder="1" applyAlignment="1">
      <alignment horizontal="left"/>
    </xf>
    <xf numFmtId="0" fontId="42" fillId="30" borderId="0" xfId="0" applyFont="1" applyFill="1" applyBorder="1" applyAlignment="1">
      <alignment horizontal="left"/>
    </xf>
    <xf numFmtId="0" fontId="30" fillId="30" borderId="7" xfId="0" applyFont="1" applyFill="1" applyBorder="1" applyAlignment="1">
      <alignment horizontal="left"/>
    </xf>
    <xf numFmtId="165" fontId="30" fillId="30" borderId="0" xfId="2" applyNumberFormat="1" applyFont="1" applyFill="1" applyBorder="1" applyAlignment="1">
      <alignment horizontal="left"/>
    </xf>
    <xf numFmtId="165" fontId="30" fillId="30" borderId="7" xfId="2" applyNumberFormat="1" applyFont="1" applyFill="1" applyBorder="1" applyAlignment="1">
      <alignment horizontal="left"/>
    </xf>
    <xf numFmtId="165" fontId="17" fillId="30" borderId="7" xfId="2" applyNumberFormat="1" applyFont="1" applyFill="1" applyBorder="1" applyAlignment="1">
      <alignment horizontal="left"/>
    </xf>
    <xf numFmtId="0" fontId="40" fillId="30" borderId="0" xfId="0" applyFont="1" applyFill="1" applyBorder="1" applyAlignment="1">
      <alignment horizontal="left"/>
    </xf>
    <xf numFmtId="165" fontId="17" fillId="30" borderId="0" xfId="2" applyNumberFormat="1" applyFont="1" applyFill="1" applyBorder="1" applyAlignment="1">
      <alignment horizontal="left"/>
    </xf>
    <xf numFmtId="0" fontId="19" fillId="28" borderId="1" xfId="0" applyFont="1" applyFill="1" applyBorder="1" applyAlignment="1">
      <alignment horizontal="left"/>
    </xf>
    <xf numFmtId="0" fontId="17" fillId="28" borderId="7" xfId="0" applyFont="1" applyFill="1" applyBorder="1" applyAlignment="1">
      <alignment horizontal="left"/>
    </xf>
    <xf numFmtId="0" fontId="42" fillId="28" borderId="0" xfId="0" applyFont="1" applyFill="1" applyBorder="1" applyAlignment="1">
      <alignment horizontal="left"/>
    </xf>
    <xf numFmtId="0" fontId="30" fillId="28" borderId="7" xfId="0" applyFont="1" applyFill="1" applyBorder="1" applyAlignment="1">
      <alignment horizontal="left"/>
    </xf>
    <xf numFmtId="165" fontId="30" fillId="28" borderId="0" xfId="2" applyNumberFormat="1" applyFont="1" applyFill="1" applyBorder="1" applyAlignment="1">
      <alignment horizontal="left"/>
    </xf>
    <xf numFmtId="165" fontId="30" fillId="28" borderId="7" xfId="2" applyNumberFormat="1" applyFont="1" applyFill="1" applyBorder="1" applyAlignment="1">
      <alignment horizontal="left"/>
    </xf>
    <xf numFmtId="165" fontId="17" fillId="28" borderId="7" xfId="2" applyNumberFormat="1" applyFont="1" applyFill="1" applyBorder="1" applyAlignment="1">
      <alignment horizontal="left"/>
    </xf>
    <xf numFmtId="0" fontId="40" fillId="28" borderId="0" xfId="0" applyFont="1" applyFill="1" applyBorder="1" applyAlignment="1">
      <alignment horizontal="left"/>
    </xf>
    <xf numFmtId="165" fontId="17" fillId="28" borderId="0" xfId="2" applyNumberFormat="1" applyFont="1" applyFill="1" applyBorder="1" applyAlignment="1">
      <alignment horizontal="left"/>
    </xf>
    <xf numFmtId="0" fontId="17" fillId="28" borderId="0" xfId="0" applyFont="1" applyFill="1" applyBorder="1" applyAlignment="1">
      <alignment horizontal="left"/>
    </xf>
    <xf numFmtId="165" fontId="17" fillId="28" borderId="11" xfId="2" applyNumberFormat="1" applyFont="1" applyFill="1" applyBorder="1" applyAlignment="1">
      <alignment horizontal="left"/>
    </xf>
    <xf numFmtId="0" fontId="19" fillId="28" borderId="12" xfId="0" applyFont="1" applyFill="1" applyBorder="1" applyAlignment="1">
      <alignment horizontal="left"/>
    </xf>
    <xf numFmtId="0" fontId="17" fillId="28" borderId="8" xfId="0" applyFont="1" applyFill="1" applyBorder="1" applyAlignment="1">
      <alignment horizontal="left"/>
    </xf>
    <xf numFmtId="0" fontId="40" fillId="28" borderId="4" xfId="0" applyFont="1" applyFill="1" applyBorder="1" applyAlignment="1">
      <alignment horizontal="left"/>
    </xf>
    <xf numFmtId="165" fontId="17" fillId="28" borderId="4" xfId="2" applyNumberFormat="1" applyFont="1" applyFill="1" applyBorder="1" applyAlignment="1">
      <alignment horizontal="left"/>
    </xf>
    <xf numFmtId="165" fontId="17" fillId="28" borderId="8" xfId="2" applyNumberFormat="1" applyFont="1" applyFill="1" applyBorder="1" applyAlignment="1">
      <alignment horizontal="left"/>
    </xf>
    <xf numFmtId="0" fontId="19" fillId="43" borderId="1" xfId="0" applyFont="1" applyFill="1" applyBorder="1" applyAlignment="1">
      <alignment horizontal="left"/>
    </xf>
    <xf numFmtId="0" fontId="17" fillId="43" borderId="7" xfId="0" applyFont="1" applyFill="1" applyBorder="1" applyAlignment="1">
      <alignment horizontal="left"/>
    </xf>
    <xf numFmtId="0" fontId="42" fillId="43" borderId="0" xfId="0" applyFont="1" applyFill="1" applyBorder="1" applyAlignment="1">
      <alignment horizontal="left"/>
    </xf>
    <xf numFmtId="0" fontId="30" fillId="43" borderId="7" xfId="0" applyFont="1" applyFill="1" applyBorder="1" applyAlignment="1">
      <alignment horizontal="left"/>
    </xf>
    <xf numFmtId="165" fontId="30" fillId="43" borderId="0" xfId="2" applyNumberFormat="1" applyFont="1" applyFill="1" applyBorder="1" applyAlignment="1">
      <alignment horizontal="left"/>
    </xf>
    <xf numFmtId="165" fontId="30" fillId="43" borderId="7" xfId="2" applyNumberFormat="1" applyFont="1" applyFill="1" applyBorder="1" applyAlignment="1">
      <alignment horizontal="left"/>
    </xf>
    <xf numFmtId="165" fontId="17" fillId="43" borderId="7" xfId="2" applyNumberFormat="1" applyFont="1" applyFill="1" applyBorder="1" applyAlignment="1">
      <alignment horizontal="left"/>
    </xf>
    <xf numFmtId="0" fontId="40" fillId="43" borderId="0" xfId="0" applyFont="1" applyFill="1" applyBorder="1" applyAlignment="1">
      <alignment horizontal="left"/>
    </xf>
    <xf numFmtId="165" fontId="17" fillId="43" borderId="0" xfId="2" applyNumberFormat="1" applyFont="1" applyFill="1" applyBorder="1" applyAlignment="1">
      <alignment horizontal="left"/>
    </xf>
    <xf numFmtId="0" fontId="19" fillId="43" borderId="12" xfId="0" applyFont="1" applyFill="1" applyBorder="1" applyAlignment="1">
      <alignment horizontal="left"/>
    </xf>
    <xf numFmtId="0" fontId="17" fillId="43" borderId="8" xfId="0" applyFont="1" applyFill="1" applyBorder="1" applyAlignment="1">
      <alignment horizontal="left"/>
    </xf>
    <xf numFmtId="0" fontId="40" fillId="43" borderId="4" xfId="0" applyFont="1" applyFill="1" applyBorder="1" applyAlignment="1">
      <alignment horizontal="left"/>
    </xf>
    <xf numFmtId="165" fontId="17" fillId="43" borderId="4" xfId="2" applyNumberFormat="1" applyFont="1" applyFill="1" applyBorder="1" applyAlignment="1">
      <alignment horizontal="left"/>
    </xf>
    <xf numFmtId="165" fontId="17" fillId="43" borderId="8" xfId="2" applyNumberFormat="1" applyFont="1" applyFill="1" applyBorder="1" applyAlignment="1">
      <alignment horizontal="left"/>
    </xf>
    <xf numFmtId="0" fontId="19" fillId="30" borderId="12" xfId="0" applyFont="1" applyFill="1" applyBorder="1" applyAlignment="1">
      <alignment horizontal="left"/>
    </xf>
    <xf numFmtId="0" fontId="17" fillId="30" borderId="8" xfId="0" applyFont="1" applyFill="1" applyBorder="1" applyAlignment="1">
      <alignment horizontal="left"/>
    </xf>
    <xf numFmtId="0" fontId="40" fillId="30" borderId="4" xfId="0" applyFont="1" applyFill="1" applyBorder="1" applyAlignment="1">
      <alignment horizontal="left"/>
    </xf>
    <xf numFmtId="165" fontId="17" fillId="30" borderId="4" xfId="2" applyNumberFormat="1" applyFont="1" applyFill="1" applyBorder="1" applyAlignment="1">
      <alignment horizontal="left"/>
    </xf>
    <xf numFmtId="165" fontId="17" fillId="30" borderId="8" xfId="2" applyNumberFormat="1" applyFont="1" applyFill="1" applyBorder="1" applyAlignment="1">
      <alignment horizontal="left"/>
    </xf>
    <xf numFmtId="0" fontId="19" fillId="42" borderId="13" xfId="0" applyFont="1" applyFill="1" applyBorder="1" applyAlignment="1">
      <alignment horizontal="left"/>
    </xf>
    <xf numFmtId="0" fontId="17" fillId="42" borderId="6" xfId="0" applyFont="1" applyFill="1" applyBorder="1" applyAlignment="1">
      <alignment horizontal="left"/>
    </xf>
    <xf numFmtId="0" fontId="42" fillId="42" borderId="14" xfId="0" applyFont="1" applyFill="1" applyBorder="1" applyAlignment="1">
      <alignment horizontal="left"/>
    </xf>
    <xf numFmtId="0" fontId="30" fillId="42" borderId="6" xfId="0" applyFont="1" applyFill="1" applyBorder="1" applyAlignment="1">
      <alignment horizontal="left"/>
    </xf>
    <xf numFmtId="165" fontId="30" fillId="42" borderId="14" xfId="2" applyNumberFormat="1" applyFont="1" applyFill="1" applyBorder="1" applyAlignment="1">
      <alignment horizontal="left"/>
    </xf>
    <xf numFmtId="165" fontId="30" fillId="42" borderId="6" xfId="2" applyNumberFormat="1" applyFont="1" applyFill="1" applyBorder="1" applyAlignment="1">
      <alignment horizontal="left"/>
    </xf>
    <xf numFmtId="165" fontId="17" fillId="42" borderId="6" xfId="2" applyNumberFormat="1" applyFont="1" applyFill="1" applyBorder="1" applyAlignment="1">
      <alignment horizontal="left"/>
    </xf>
    <xf numFmtId="0" fontId="19" fillId="42" borderId="12" xfId="0" applyFont="1" applyFill="1" applyBorder="1" applyAlignment="1">
      <alignment horizontal="left"/>
    </xf>
    <xf numFmtId="0" fontId="17" fillId="42" borderId="8" xfId="0" applyFont="1" applyFill="1" applyBorder="1" applyAlignment="1">
      <alignment horizontal="left"/>
    </xf>
    <xf numFmtId="0" fontId="40" fillId="42" borderId="4" xfId="0" applyFont="1" applyFill="1" applyBorder="1" applyAlignment="1">
      <alignment horizontal="left"/>
    </xf>
    <xf numFmtId="165" fontId="17" fillId="42" borderId="4" xfId="2" applyNumberFormat="1" applyFont="1" applyFill="1" applyBorder="1" applyAlignment="1">
      <alignment horizontal="left"/>
    </xf>
    <xf numFmtId="165" fontId="17" fillId="42" borderId="8" xfId="2" applyNumberFormat="1" applyFont="1" applyFill="1" applyBorder="1" applyAlignment="1">
      <alignment horizontal="left"/>
    </xf>
    <xf numFmtId="0" fontId="19" fillId="29" borderId="13" xfId="0" applyFont="1" applyFill="1" applyBorder="1" applyAlignment="1">
      <alignment horizontal="left"/>
    </xf>
    <xf numFmtId="0" fontId="17" fillId="29" borderId="6" xfId="0" applyFont="1" applyFill="1" applyBorder="1" applyAlignment="1">
      <alignment horizontal="left"/>
    </xf>
    <xf numFmtId="0" fontId="42" fillId="29" borderId="14" xfId="0" applyFont="1" applyFill="1" applyBorder="1" applyAlignment="1">
      <alignment horizontal="left"/>
    </xf>
    <xf numFmtId="0" fontId="30" fillId="29" borderId="6" xfId="0" applyFont="1" applyFill="1" applyBorder="1" applyAlignment="1">
      <alignment horizontal="left"/>
    </xf>
    <xf numFmtId="165" fontId="30" fillId="29" borderId="14" xfId="2" applyNumberFormat="1" applyFont="1" applyFill="1" applyBorder="1" applyAlignment="1">
      <alignment horizontal="left"/>
    </xf>
    <xf numFmtId="165" fontId="30" fillId="29" borderId="6" xfId="2" applyNumberFormat="1" applyFont="1" applyFill="1" applyBorder="1" applyAlignment="1">
      <alignment horizontal="left"/>
    </xf>
    <xf numFmtId="165" fontId="17" fillId="29" borderId="6" xfId="2" applyNumberFormat="1" applyFont="1" applyFill="1" applyBorder="1" applyAlignment="1">
      <alignment horizontal="left"/>
    </xf>
    <xf numFmtId="0" fontId="19" fillId="29" borderId="1" xfId="0" applyFont="1" applyFill="1" applyBorder="1" applyAlignment="1">
      <alignment horizontal="left"/>
    </xf>
    <xf numFmtId="0" fontId="17" fillId="29" borderId="7" xfId="0" applyFont="1" applyFill="1" applyBorder="1" applyAlignment="1">
      <alignment horizontal="left"/>
    </xf>
    <xf numFmtId="0" fontId="40" fillId="29" borderId="0" xfId="0" applyFont="1" applyFill="1" applyBorder="1" applyAlignment="1">
      <alignment horizontal="left"/>
    </xf>
    <xf numFmtId="165" fontId="17" fillId="29" borderId="0" xfId="2" applyNumberFormat="1" applyFont="1" applyFill="1" applyBorder="1" applyAlignment="1">
      <alignment horizontal="left"/>
    </xf>
    <xf numFmtId="165" fontId="17" fillId="29" borderId="7" xfId="2" applyNumberFormat="1" applyFont="1" applyFill="1" applyBorder="1" applyAlignment="1">
      <alignment horizontal="left"/>
    </xf>
    <xf numFmtId="0" fontId="19" fillId="29" borderId="12" xfId="0" applyFont="1" applyFill="1" applyBorder="1" applyAlignment="1">
      <alignment horizontal="left"/>
    </xf>
    <xf numFmtId="0" fontId="17" fillId="29" borderId="8" xfId="0" applyFont="1" applyFill="1" applyBorder="1" applyAlignment="1">
      <alignment horizontal="left"/>
    </xf>
    <xf numFmtId="0" fontId="40" fillId="29" borderId="4" xfId="0" applyFont="1" applyFill="1" applyBorder="1" applyAlignment="1">
      <alignment horizontal="left"/>
    </xf>
    <xf numFmtId="165" fontId="17" fillId="29" borderId="4" xfId="2" applyNumberFormat="1" applyFont="1" applyFill="1" applyBorder="1" applyAlignment="1">
      <alignment horizontal="left"/>
    </xf>
    <xf numFmtId="165" fontId="17" fillId="29" borderId="8" xfId="2" applyNumberFormat="1" applyFont="1" applyFill="1" applyBorder="1" applyAlignment="1">
      <alignment horizontal="left"/>
    </xf>
    <xf numFmtId="0" fontId="19" fillId="44" borderId="13" xfId="0" applyFont="1" applyFill="1" applyBorder="1" applyAlignment="1">
      <alignment horizontal="left"/>
    </xf>
    <xf numFmtId="0" fontId="17" fillId="44" borderId="6" xfId="0" applyFont="1" applyFill="1" applyBorder="1" applyAlignment="1">
      <alignment horizontal="left"/>
    </xf>
    <xf numFmtId="0" fontId="42" fillId="44" borderId="14" xfId="0" applyFont="1" applyFill="1" applyBorder="1" applyAlignment="1">
      <alignment horizontal="left"/>
    </xf>
    <xf numFmtId="0" fontId="30" fillId="44" borderId="6" xfId="0" applyFont="1" applyFill="1" applyBorder="1" applyAlignment="1">
      <alignment horizontal="left"/>
    </xf>
    <xf numFmtId="165" fontId="30" fillId="44" borderId="14" xfId="2" applyNumberFormat="1" applyFont="1" applyFill="1" applyBorder="1" applyAlignment="1">
      <alignment horizontal="left"/>
    </xf>
    <xf numFmtId="165" fontId="30" fillId="44" borderId="6" xfId="2" applyNumberFormat="1" applyFont="1" applyFill="1" applyBorder="1" applyAlignment="1">
      <alignment horizontal="left"/>
    </xf>
    <xf numFmtId="165" fontId="17" fillId="44" borderId="6" xfId="2" applyNumberFormat="1" applyFont="1" applyFill="1" applyBorder="1" applyAlignment="1">
      <alignment horizontal="left"/>
    </xf>
    <xf numFmtId="0" fontId="19" fillId="44" borderId="1" xfId="0" applyFont="1" applyFill="1" applyBorder="1" applyAlignment="1">
      <alignment horizontal="left"/>
    </xf>
    <xf numFmtId="0" fontId="17" fillId="44" borderId="7" xfId="0" applyFont="1" applyFill="1" applyBorder="1" applyAlignment="1">
      <alignment horizontal="left"/>
    </xf>
    <xf numFmtId="0" fontId="40" fillId="44" borderId="0" xfId="0" applyFont="1" applyFill="1" applyBorder="1" applyAlignment="1">
      <alignment horizontal="left"/>
    </xf>
    <xf numFmtId="165" fontId="17" fillId="44" borderId="0" xfId="2" applyNumberFormat="1" applyFont="1" applyFill="1" applyBorder="1" applyAlignment="1">
      <alignment horizontal="left"/>
    </xf>
    <xf numFmtId="165" fontId="17" fillId="44" borderId="7" xfId="2" applyNumberFormat="1" applyFont="1" applyFill="1" applyBorder="1" applyAlignment="1">
      <alignment horizontal="left"/>
    </xf>
    <xf numFmtId="0" fontId="19" fillId="44" borderId="12" xfId="0" applyFont="1" applyFill="1" applyBorder="1" applyAlignment="1">
      <alignment horizontal="left"/>
    </xf>
    <xf numFmtId="0" fontId="17" fillId="44" borderId="8" xfId="0" applyFont="1" applyFill="1" applyBorder="1" applyAlignment="1">
      <alignment horizontal="left"/>
    </xf>
    <xf numFmtId="0" fontId="40" fillId="44" borderId="4" xfId="0" applyFont="1" applyFill="1" applyBorder="1" applyAlignment="1">
      <alignment horizontal="left"/>
    </xf>
    <xf numFmtId="165" fontId="17" fillId="44" borderId="4" xfId="2" applyNumberFormat="1" applyFont="1" applyFill="1" applyBorder="1" applyAlignment="1">
      <alignment horizontal="left"/>
    </xf>
    <xf numFmtId="165" fontId="17" fillId="44" borderId="8" xfId="2" applyNumberFormat="1" applyFont="1" applyFill="1" applyBorder="1" applyAlignment="1">
      <alignment horizontal="left"/>
    </xf>
    <xf numFmtId="0" fontId="19" fillId="45" borderId="13" xfId="0" applyFont="1" applyFill="1" applyBorder="1" applyAlignment="1">
      <alignment horizontal="left"/>
    </xf>
    <xf numFmtId="0" fontId="17" fillId="45" borderId="6" xfId="0" applyFont="1" applyFill="1" applyBorder="1" applyAlignment="1">
      <alignment horizontal="left"/>
    </xf>
    <xf numFmtId="0" fontId="42" fillId="45" borderId="14" xfId="0" applyFont="1" applyFill="1" applyBorder="1" applyAlignment="1">
      <alignment horizontal="left"/>
    </xf>
    <xf numFmtId="0" fontId="30" fillId="45" borderId="6" xfId="0" applyFont="1" applyFill="1" applyBorder="1" applyAlignment="1">
      <alignment horizontal="left"/>
    </xf>
    <xf numFmtId="165" fontId="30" fillId="45" borderId="14" xfId="2" applyNumberFormat="1" applyFont="1" applyFill="1" applyBorder="1" applyAlignment="1">
      <alignment horizontal="left"/>
    </xf>
    <xf numFmtId="165" fontId="30" fillId="45" borderId="6" xfId="2" applyNumberFormat="1" applyFont="1" applyFill="1" applyBorder="1" applyAlignment="1">
      <alignment horizontal="left"/>
    </xf>
    <xf numFmtId="165" fontId="17" fillId="45" borderId="6" xfId="2" applyNumberFormat="1" applyFont="1" applyFill="1" applyBorder="1" applyAlignment="1">
      <alignment horizontal="left"/>
    </xf>
    <xf numFmtId="0" fontId="19" fillId="45" borderId="1" xfId="0" applyFont="1" applyFill="1" applyBorder="1" applyAlignment="1">
      <alignment horizontal="left"/>
    </xf>
    <xf numFmtId="0" fontId="17" fillId="45" borderId="7" xfId="0" applyFont="1" applyFill="1" applyBorder="1" applyAlignment="1">
      <alignment horizontal="left"/>
    </xf>
    <xf numFmtId="0" fontId="40" fillId="45" borderId="0" xfId="0" applyFont="1" applyFill="1" applyBorder="1" applyAlignment="1">
      <alignment horizontal="left"/>
    </xf>
    <xf numFmtId="165" fontId="17" fillId="45" borderId="0" xfId="2" applyNumberFormat="1" applyFont="1" applyFill="1" applyBorder="1" applyAlignment="1">
      <alignment horizontal="left"/>
    </xf>
    <xf numFmtId="165" fontId="17" fillId="45" borderId="7" xfId="2" applyNumberFormat="1" applyFont="1" applyFill="1" applyBorder="1" applyAlignment="1">
      <alignment horizontal="left"/>
    </xf>
    <xf numFmtId="0" fontId="19" fillId="45" borderId="12" xfId="0" applyFont="1" applyFill="1" applyBorder="1" applyAlignment="1">
      <alignment horizontal="left"/>
    </xf>
    <xf numFmtId="0" fontId="17" fillId="45" borderId="8" xfId="0" applyFont="1" applyFill="1" applyBorder="1" applyAlignment="1">
      <alignment horizontal="left"/>
    </xf>
    <xf numFmtId="0" fontId="40" fillId="45" borderId="4" xfId="0" applyFont="1" applyFill="1" applyBorder="1" applyAlignment="1">
      <alignment horizontal="left"/>
    </xf>
    <xf numFmtId="165" fontId="17" fillId="45" borderId="4" xfId="2" applyNumberFormat="1" applyFont="1" applyFill="1" applyBorder="1" applyAlignment="1">
      <alignment horizontal="left"/>
    </xf>
    <xf numFmtId="165" fontId="17" fillId="45" borderId="8" xfId="2" applyNumberFormat="1" applyFont="1" applyFill="1" applyBorder="1" applyAlignment="1">
      <alignment horizontal="left"/>
    </xf>
    <xf numFmtId="0" fontId="19" fillId="46" borderId="13" xfId="0" applyFont="1" applyFill="1" applyBorder="1" applyAlignment="1">
      <alignment horizontal="left"/>
    </xf>
    <xf numFmtId="0" fontId="17" fillId="46" borderId="6" xfId="0" applyFont="1" applyFill="1" applyBorder="1" applyAlignment="1">
      <alignment horizontal="left"/>
    </xf>
    <xf numFmtId="0" fontId="42" fillId="46" borderId="14" xfId="0" applyFont="1" applyFill="1" applyBorder="1" applyAlignment="1">
      <alignment horizontal="left"/>
    </xf>
    <xf numFmtId="0" fontId="30" fillId="46" borderId="6" xfId="0" applyFont="1" applyFill="1" applyBorder="1" applyAlignment="1">
      <alignment horizontal="left"/>
    </xf>
    <xf numFmtId="165" fontId="30" fillId="46" borderId="14" xfId="2" applyNumberFormat="1" applyFont="1" applyFill="1" applyBorder="1" applyAlignment="1">
      <alignment horizontal="left"/>
    </xf>
    <xf numFmtId="165" fontId="30" fillId="46" borderId="6" xfId="2" applyNumberFormat="1" applyFont="1" applyFill="1" applyBorder="1" applyAlignment="1">
      <alignment horizontal="left"/>
    </xf>
    <xf numFmtId="165" fontId="17" fillId="46" borderId="6" xfId="2" applyNumberFormat="1" applyFont="1" applyFill="1" applyBorder="1" applyAlignment="1">
      <alignment horizontal="left"/>
    </xf>
    <xf numFmtId="0" fontId="19" fillId="46" borderId="1" xfId="0" applyFont="1" applyFill="1" applyBorder="1" applyAlignment="1">
      <alignment horizontal="left"/>
    </xf>
    <xf numFmtId="0" fontId="17" fillId="46" borderId="7" xfId="0" applyFont="1" applyFill="1" applyBorder="1" applyAlignment="1">
      <alignment horizontal="left"/>
    </xf>
    <xf numFmtId="0" fontId="40" fillId="46" borderId="0" xfId="0" applyFont="1" applyFill="1" applyBorder="1" applyAlignment="1">
      <alignment horizontal="left"/>
    </xf>
    <xf numFmtId="165" fontId="17" fillId="46" borderId="0" xfId="2" applyNumberFormat="1" applyFont="1" applyFill="1" applyBorder="1" applyAlignment="1">
      <alignment horizontal="left"/>
    </xf>
    <xf numFmtId="165" fontId="17" fillId="46" borderId="7" xfId="2" applyNumberFormat="1" applyFont="1" applyFill="1" applyBorder="1" applyAlignment="1">
      <alignment horizontal="left"/>
    </xf>
    <xf numFmtId="165" fontId="30" fillId="46" borderId="7" xfId="2" applyNumberFormat="1" applyFont="1" applyFill="1" applyBorder="1" applyAlignment="1">
      <alignment horizontal="left"/>
    </xf>
    <xf numFmtId="0" fontId="19" fillId="46" borderId="12" xfId="0" applyFont="1" applyFill="1" applyBorder="1" applyAlignment="1">
      <alignment horizontal="left"/>
    </xf>
    <xf numFmtId="0" fontId="17" fillId="46" borderId="8" xfId="0" applyFont="1" applyFill="1" applyBorder="1" applyAlignment="1">
      <alignment horizontal="left"/>
    </xf>
    <xf numFmtId="0" fontId="40" fillId="46" borderId="4" xfId="0" applyFont="1" applyFill="1" applyBorder="1" applyAlignment="1">
      <alignment horizontal="left"/>
    </xf>
    <xf numFmtId="165" fontId="17" fillId="46" borderId="4" xfId="2" applyNumberFormat="1" applyFont="1" applyFill="1" applyBorder="1" applyAlignment="1">
      <alignment horizontal="left"/>
    </xf>
    <xf numFmtId="165" fontId="17" fillId="46" borderId="8" xfId="2" applyNumberFormat="1" applyFont="1" applyFill="1" applyBorder="1" applyAlignment="1">
      <alignment horizontal="left"/>
    </xf>
    <xf numFmtId="0" fontId="41" fillId="42" borderId="0" xfId="0" applyFont="1" applyFill="1" applyBorder="1" applyAlignment="1">
      <alignment horizontal="left"/>
    </xf>
    <xf numFmtId="0" fontId="4" fillId="42" borderId="7" xfId="0" applyFont="1" applyFill="1" applyBorder="1" applyAlignment="1">
      <alignment horizontal="left"/>
    </xf>
    <xf numFmtId="165" fontId="4" fillId="42" borderId="0" xfId="2" applyNumberFormat="1" applyFont="1" applyFill="1" applyBorder="1" applyAlignment="1">
      <alignment horizontal="left"/>
    </xf>
    <xf numFmtId="165" fontId="4" fillId="42" borderId="7" xfId="2" applyNumberFormat="1" applyFont="1" applyFill="1" applyBorder="1" applyAlignment="1">
      <alignment horizontal="left"/>
    </xf>
    <xf numFmtId="0" fontId="41" fillId="30" borderId="0" xfId="0" applyFont="1" applyFill="1" applyBorder="1" applyAlignment="1">
      <alignment horizontal="left"/>
    </xf>
    <xf numFmtId="0" fontId="4" fillId="30" borderId="7" xfId="0" applyFont="1" applyFill="1" applyBorder="1" applyAlignment="1">
      <alignment horizontal="left"/>
    </xf>
    <xf numFmtId="165" fontId="4" fillId="30" borderId="0" xfId="2" applyNumberFormat="1" applyFont="1" applyFill="1" applyBorder="1" applyAlignment="1">
      <alignment horizontal="left"/>
    </xf>
    <xf numFmtId="165" fontId="4" fillId="30" borderId="7" xfId="2" applyNumberFormat="1" applyFont="1" applyFill="1" applyBorder="1" applyAlignment="1">
      <alignment horizontal="left"/>
    </xf>
    <xf numFmtId="0" fontId="4" fillId="28" borderId="7" xfId="0" applyFont="1" applyFill="1" applyBorder="1" applyAlignment="1">
      <alignment horizontal="left"/>
    </xf>
    <xf numFmtId="165" fontId="4" fillId="28" borderId="0" xfId="2" applyNumberFormat="1" applyFont="1" applyFill="1" applyBorder="1" applyAlignment="1">
      <alignment horizontal="left"/>
    </xf>
    <xf numFmtId="165" fontId="4" fillId="28" borderId="7" xfId="2" applyNumberFormat="1" applyFont="1" applyFill="1" applyBorder="1" applyAlignment="1">
      <alignment horizontal="left"/>
    </xf>
    <xf numFmtId="0" fontId="41" fillId="26" borderId="0" xfId="0" applyFont="1" applyFill="1" applyBorder="1" applyAlignment="1">
      <alignment horizontal="left"/>
    </xf>
    <xf numFmtId="0" fontId="41" fillId="46" borderId="0" xfId="0" applyFont="1" applyFill="1" applyBorder="1" applyAlignment="1">
      <alignment horizontal="left"/>
    </xf>
    <xf numFmtId="0" fontId="41" fillId="44" borderId="0" xfId="0" applyFont="1" applyFill="1" applyBorder="1" applyAlignment="1">
      <alignment horizontal="left"/>
    </xf>
    <xf numFmtId="0" fontId="41" fillId="29" borderId="0" xfId="0" applyFont="1" applyFill="1" applyBorder="1" applyAlignment="1">
      <alignment horizontal="left"/>
    </xf>
    <xf numFmtId="0" fontId="41" fillId="43" borderId="0" xfId="0" applyFont="1" applyFill="1" applyBorder="1" applyAlignment="1">
      <alignment horizontal="left"/>
    </xf>
    <xf numFmtId="0" fontId="4" fillId="43" borderId="7" xfId="0" applyFont="1" applyFill="1" applyBorder="1" applyAlignment="1">
      <alignment horizontal="left"/>
    </xf>
    <xf numFmtId="165" fontId="4" fillId="43" borderId="0" xfId="2" applyNumberFormat="1" applyFont="1" applyFill="1" applyBorder="1" applyAlignment="1">
      <alignment horizontal="left"/>
    </xf>
    <xf numFmtId="165" fontId="4" fillId="43" borderId="7" xfId="2" applyNumberFormat="1" applyFont="1" applyFill="1" applyBorder="1" applyAlignment="1">
      <alignment horizontal="left"/>
    </xf>
    <xf numFmtId="0" fontId="4" fillId="29" borderId="7" xfId="0" applyFont="1" applyFill="1" applyBorder="1" applyAlignment="1">
      <alignment horizontal="left"/>
    </xf>
    <xf numFmtId="165" fontId="4" fillId="29" borderId="0" xfId="2" applyNumberFormat="1" applyFont="1" applyFill="1" applyBorder="1" applyAlignment="1">
      <alignment horizontal="left"/>
    </xf>
    <xf numFmtId="165" fontId="4" fillId="29" borderId="7" xfId="2" applyNumberFormat="1" applyFont="1" applyFill="1" applyBorder="1" applyAlignment="1">
      <alignment horizontal="left"/>
    </xf>
    <xf numFmtId="0" fontId="4" fillId="44" borderId="7" xfId="0" applyFont="1" applyFill="1" applyBorder="1" applyAlignment="1">
      <alignment horizontal="left"/>
    </xf>
    <xf numFmtId="165" fontId="4" fillId="44" borderId="0" xfId="2" applyNumberFormat="1" applyFont="1" applyFill="1" applyBorder="1" applyAlignment="1">
      <alignment horizontal="left"/>
    </xf>
    <xf numFmtId="165" fontId="4" fillId="44" borderId="7" xfId="2" applyNumberFormat="1" applyFont="1" applyFill="1" applyBorder="1" applyAlignment="1">
      <alignment horizontal="left"/>
    </xf>
    <xf numFmtId="0" fontId="4" fillId="46" borderId="7" xfId="0" applyFont="1" applyFill="1" applyBorder="1" applyAlignment="1">
      <alignment horizontal="left"/>
    </xf>
    <xf numFmtId="165" fontId="4" fillId="46" borderId="0" xfId="2" applyNumberFormat="1" applyFont="1" applyFill="1" applyBorder="1" applyAlignment="1">
      <alignment horizontal="left"/>
    </xf>
    <xf numFmtId="165" fontId="4" fillId="46" borderId="7" xfId="2" applyNumberFormat="1" applyFont="1" applyFill="1" applyBorder="1" applyAlignment="1">
      <alignment horizontal="left"/>
    </xf>
    <xf numFmtId="0" fontId="4" fillId="26" borderId="7" xfId="0" applyFont="1" applyFill="1" applyBorder="1" applyAlignment="1">
      <alignment horizontal="left"/>
    </xf>
    <xf numFmtId="165" fontId="4" fillId="26" borderId="0" xfId="2" applyNumberFormat="1" applyFont="1" applyFill="1" applyBorder="1" applyAlignment="1">
      <alignment horizontal="left"/>
    </xf>
    <xf numFmtId="165" fontId="4" fillId="26" borderId="7" xfId="2" applyNumberFormat="1" applyFont="1" applyFill="1" applyBorder="1" applyAlignment="1">
      <alignment horizontal="left"/>
    </xf>
    <xf numFmtId="18" fontId="17" fillId="20" borderId="1" xfId="0" applyNumberFormat="1" applyFont="1" applyFill="1" applyBorder="1" applyAlignment="1">
      <alignment horizontal="left"/>
    </xf>
    <xf numFmtId="0" fontId="40" fillId="20" borderId="7" xfId="0" applyFont="1" applyFill="1" applyBorder="1" applyAlignment="1">
      <alignment horizontal="left"/>
    </xf>
    <xf numFmtId="0" fontId="17" fillId="20" borderId="0" xfId="0" applyFont="1" applyFill="1" applyBorder="1" applyAlignment="1">
      <alignment horizontal="left"/>
    </xf>
    <xf numFmtId="165" fontId="17" fillId="20" borderId="11" xfId="2" applyNumberFormat="1" applyFont="1" applyFill="1" applyBorder="1" applyAlignment="1">
      <alignment horizontal="left"/>
    </xf>
    <xf numFmtId="0" fontId="17" fillId="20" borderId="1" xfId="0" applyFont="1" applyFill="1" applyBorder="1" applyAlignment="1">
      <alignment horizontal="left"/>
    </xf>
    <xf numFmtId="18" fontId="17" fillId="21" borderId="1" xfId="0" applyNumberFormat="1" applyFont="1" applyFill="1" applyBorder="1" applyAlignment="1">
      <alignment horizontal="left"/>
    </xf>
    <xf numFmtId="0" fontId="40" fillId="21" borderId="7" xfId="0" applyFont="1" applyFill="1" applyBorder="1" applyAlignment="1">
      <alignment horizontal="left"/>
    </xf>
    <xf numFmtId="0" fontId="17" fillId="21" borderId="0" xfId="0" applyFont="1" applyFill="1" applyBorder="1" applyAlignment="1">
      <alignment horizontal="left"/>
    </xf>
    <xf numFmtId="165" fontId="17" fillId="21" borderId="11" xfId="2" applyNumberFormat="1" applyFont="1" applyFill="1" applyBorder="1" applyAlignment="1">
      <alignment horizontal="left"/>
    </xf>
    <xf numFmtId="0" fontId="17" fillId="21" borderId="1" xfId="0" applyFont="1" applyFill="1" applyBorder="1" applyAlignment="1">
      <alignment horizontal="left"/>
    </xf>
    <xf numFmtId="0" fontId="17" fillId="37" borderId="1" xfId="0" applyFont="1" applyFill="1" applyBorder="1" applyAlignment="1">
      <alignment horizontal="left"/>
    </xf>
    <xf numFmtId="0" fontId="40" fillId="37" borderId="7" xfId="0" applyFont="1" applyFill="1" applyBorder="1" applyAlignment="1">
      <alignment horizontal="left"/>
    </xf>
    <xf numFmtId="0" fontId="17" fillId="37" borderId="0" xfId="0" applyFont="1" applyFill="1" applyBorder="1" applyAlignment="1">
      <alignment horizontal="left"/>
    </xf>
    <xf numFmtId="165" fontId="17" fillId="37" borderId="11" xfId="2" applyNumberFormat="1" applyFont="1" applyFill="1" applyBorder="1" applyAlignment="1">
      <alignment horizontal="left"/>
    </xf>
    <xf numFmtId="0" fontId="17" fillId="22" borderId="1" xfId="0" applyFont="1" applyFill="1" applyBorder="1" applyAlignment="1">
      <alignment horizontal="left"/>
    </xf>
    <xf numFmtId="0" fontId="40" fillId="22" borderId="7" xfId="0" applyFont="1" applyFill="1" applyBorder="1" applyAlignment="1">
      <alignment horizontal="left"/>
    </xf>
    <xf numFmtId="0" fontId="17" fillId="22" borderId="0" xfId="0" applyFont="1" applyFill="1" applyBorder="1" applyAlignment="1">
      <alignment horizontal="left"/>
    </xf>
    <xf numFmtId="165" fontId="17" fillId="22" borderId="11" xfId="2" applyNumberFormat="1" applyFont="1" applyFill="1" applyBorder="1" applyAlignment="1">
      <alignment horizontal="left"/>
    </xf>
    <xf numFmtId="0" fontId="17" fillId="23" borderId="1" xfId="0" applyFont="1" applyFill="1" applyBorder="1" applyAlignment="1">
      <alignment horizontal="left"/>
    </xf>
    <xf numFmtId="0" fontId="40" fillId="23" borderId="7" xfId="0" applyFont="1" applyFill="1" applyBorder="1" applyAlignment="1">
      <alignment horizontal="left"/>
    </xf>
    <xf numFmtId="0" fontId="17" fillId="23" borderId="0" xfId="0" applyFont="1" applyFill="1" applyBorder="1" applyAlignment="1">
      <alignment horizontal="left"/>
    </xf>
    <xf numFmtId="165" fontId="17" fillId="23" borderId="11" xfId="2" applyNumberFormat="1" applyFont="1" applyFill="1" applyBorder="1" applyAlignment="1">
      <alignment horizontal="left"/>
    </xf>
    <xf numFmtId="0" fontId="40" fillId="24" borderId="7" xfId="0" applyFont="1" applyFill="1" applyBorder="1" applyAlignment="1">
      <alignment horizontal="left"/>
    </xf>
    <xf numFmtId="0" fontId="17" fillId="24" borderId="0" xfId="0" applyFont="1" applyFill="1" applyBorder="1" applyAlignment="1">
      <alignment horizontal="left"/>
    </xf>
    <xf numFmtId="165" fontId="17" fillId="24" borderId="11" xfId="2" applyNumberFormat="1" applyFont="1" applyFill="1" applyBorder="1" applyAlignment="1">
      <alignment horizontal="left"/>
    </xf>
    <xf numFmtId="0" fontId="17" fillId="25" borderId="1" xfId="0" applyFont="1" applyFill="1" applyBorder="1" applyAlignment="1">
      <alignment horizontal="left"/>
    </xf>
    <xf numFmtId="0" fontId="40" fillId="25" borderId="7" xfId="0" applyFont="1" applyFill="1" applyBorder="1" applyAlignment="1">
      <alignment horizontal="left"/>
    </xf>
    <xf numFmtId="0" fontId="17" fillId="25" borderId="0" xfId="0" applyFont="1" applyFill="1" applyBorder="1" applyAlignment="1">
      <alignment horizontal="left"/>
    </xf>
    <xf numFmtId="165" fontId="17" fillId="25" borderId="11" xfId="2" applyNumberFormat="1" applyFont="1" applyFill="1" applyBorder="1" applyAlignment="1">
      <alignment horizontal="left"/>
    </xf>
    <xf numFmtId="0" fontId="17" fillId="26" borderId="1" xfId="0" applyFont="1" applyFill="1" applyBorder="1" applyAlignment="1">
      <alignment horizontal="left"/>
    </xf>
    <xf numFmtId="0" fontId="40" fillId="26" borderId="7" xfId="0" applyFont="1" applyFill="1" applyBorder="1" applyAlignment="1">
      <alignment horizontal="left"/>
    </xf>
    <xf numFmtId="0" fontId="17" fillId="26" borderId="0" xfId="0" applyFont="1" applyFill="1" applyBorder="1" applyAlignment="1">
      <alignment horizontal="left"/>
    </xf>
    <xf numFmtId="165" fontId="17" fillId="26" borderId="11" xfId="2" applyNumberFormat="1" applyFont="1" applyFill="1" applyBorder="1" applyAlignment="1">
      <alignment horizontal="left"/>
    </xf>
    <xf numFmtId="0" fontId="17" fillId="38" borderId="1" xfId="0" applyFont="1" applyFill="1" applyBorder="1" applyAlignment="1">
      <alignment horizontal="left"/>
    </xf>
    <xf numFmtId="0" fontId="40" fillId="38" borderId="7" xfId="0" applyFont="1" applyFill="1" applyBorder="1" applyAlignment="1">
      <alignment horizontal="left"/>
    </xf>
    <xf numFmtId="0" fontId="17" fillId="38" borderId="0" xfId="0" applyFont="1" applyFill="1" applyBorder="1" applyAlignment="1">
      <alignment horizontal="left"/>
    </xf>
    <xf numFmtId="165" fontId="17" fillId="38" borderId="11" xfId="2" applyNumberFormat="1" applyFont="1" applyFill="1" applyBorder="1" applyAlignment="1">
      <alignment horizontal="left"/>
    </xf>
    <xf numFmtId="0" fontId="23" fillId="38" borderId="1" xfId="0" applyFont="1" applyFill="1" applyBorder="1" applyAlignment="1">
      <alignment horizontal="left"/>
    </xf>
    <xf numFmtId="0" fontId="17" fillId="27" borderId="1" xfId="0" applyFont="1" applyFill="1" applyBorder="1" applyAlignment="1">
      <alignment horizontal="left"/>
    </xf>
    <xf numFmtId="0" fontId="40" fillId="27" borderId="7" xfId="0" applyFont="1" applyFill="1" applyBorder="1" applyAlignment="1">
      <alignment horizontal="left"/>
    </xf>
    <xf numFmtId="0" fontId="17" fillId="27" borderId="0" xfId="0" applyFont="1" applyFill="1" applyBorder="1" applyAlignment="1">
      <alignment horizontal="left"/>
    </xf>
    <xf numFmtId="165" fontId="17" fillId="27" borderId="11" xfId="2" applyNumberFormat="1" applyFont="1" applyFill="1" applyBorder="1" applyAlignment="1">
      <alignment horizontal="left"/>
    </xf>
    <xf numFmtId="0" fontId="17" fillId="39" borderId="1" xfId="0" applyFont="1" applyFill="1" applyBorder="1" applyAlignment="1">
      <alignment horizontal="left"/>
    </xf>
    <xf numFmtId="0" fontId="40" fillId="39" borderId="7" xfId="0" applyFont="1" applyFill="1" applyBorder="1" applyAlignment="1">
      <alignment horizontal="left"/>
    </xf>
    <xf numFmtId="0" fontId="17" fillId="39" borderId="0" xfId="0" applyFont="1" applyFill="1" applyBorder="1" applyAlignment="1">
      <alignment horizontal="left"/>
    </xf>
    <xf numFmtId="165" fontId="17" fillId="39" borderId="11" xfId="2" applyNumberFormat="1" applyFont="1" applyFill="1" applyBorder="1" applyAlignment="1">
      <alignment horizontal="left"/>
    </xf>
    <xf numFmtId="0" fontId="17" fillId="40" borderId="1" xfId="0" applyFont="1" applyFill="1" applyBorder="1" applyAlignment="1">
      <alignment horizontal="left"/>
    </xf>
    <xf numFmtId="0" fontId="40" fillId="40" borderId="7" xfId="0" applyFont="1" applyFill="1" applyBorder="1" applyAlignment="1">
      <alignment horizontal="left"/>
    </xf>
    <xf numFmtId="0" fontId="17" fillId="40" borderId="0" xfId="0" applyFont="1" applyFill="1" applyBorder="1" applyAlignment="1">
      <alignment horizontal="left"/>
    </xf>
    <xf numFmtId="165" fontId="17" fillId="40" borderId="11" xfId="2" applyNumberFormat="1" applyFont="1" applyFill="1" applyBorder="1" applyAlignment="1">
      <alignment horizontal="left"/>
    </xf>
    <xf numFmtId="0" fontId="17" fillId="41" borderId="1" xfId="0" applyFont="1" applyFill="1" applyBorder="1" applyAlignment="1">
      <alignment horizontal="left"/>
    </xf>
    <xf numFmtId="0" fontId="40" fillId="41" borderId="7" xfId="0" applyFont="1" applyFill="1" applyBorder="1" applyAlignment="1">
      <alignment horizontal="left"/>
    </xf>
    <xf numFmtId="0" fontId="17" fillId="41" borderId="0" xfId="0" applyFont="1" applyFill="1" applyBorder="1" applyAlignment="1">
      <alignment horizontal="left"/>
    </xf>
    <xf numFmtId="165" fontId="17" fillId="41" borderId="11" xfId="2" applyNumberFormat="1" applyFont="1" applyFill="1" applyBorder="1" applyAlignment="1">
      <alignment horizontal="left"/>
    </xf>
    <xf numFmtId="0" fontId="17" fillId="19" borderId="1" xfId="0" applyFont="1" applyFill="1" applyBorder="1" applyAlignment="1">
      <alignment horizontal="left"/>
    </xf>
    <xf numFmtId="0" fontId="40" fillId="19" borderId="7" xfId="0" applyFont="1" applyFill="1" applyBorder="1" applyAlignment="1">
      <alignment horizontal="left"/>
    </xf>
    <xf numFmtId="0" fontId="17" fillId="19" borderId="0" xfId="0" applyFont="1" applyFill="1" applyBorder="1" applyAlignment="1">
      <alignment horizontal="left"/>
    </xf>
    <xf numFmtId="165" fontId="17" fillId="19" borderId="11" xfId="2" applyNumberFormat="1" applyFont="1" applyFill="1" applyBorder="1" applyAlignment="1">
      <alignment horizontal="left"/>
    </xf>
    <xf numFmtId="0" fontId="17" fillId="42" borderId="1" xfId="0" applyFont="1" applyFill="1" applyBorder="1" applyAlignment="1">
      <alignment horizontal="left"/>
    </xf>
    <xf numFmtId="0" fontId="40" fillId="42" borderId="7" xfId="0" applyFont="1" applyFill="1" applyBorder="1" applyAlignment="1">
      <alignment horizontal="left"/>
    </xf>
    <xf numFmtId="0" fontId="17" fillId="42" borderId="0" xfId="0" applyFont="1" applyFill="1" applyBorder="1" applyAlignment="1">
      <alignment horizontal="left"/>
    </xf>
    <xf numFmtId="165" fontId="17" fillId="42" borderId="11" xfId="2" applyNumberFormat="1" applyFont="1" applyFill="1" applyBorder="1" applyAlignment="1">
      <alignment horizontal="left"/>
    </xf>
    <xf numFmtId="0" fontId="17" fillId="30" borderId="1" xfId="0" applyFont="1" applyFill="1" applyBorder="1" applyAlignment="1">
      <alignment horizontal="left"/>
    </xf>
    <xf numFmtId="0" fontId="40" fillId="30" borderId="7" xfId="0" applyFont="1" applyFill="1" applyBorder="1" applyAlignment="1">
      <alignment horizontal="left"/>
    </xf>
    <xf numFmtId="0" fontId="17" fillId="30" borderId="0" xfId="0" applyFont="1" applyFill="1" applyBorder="1" applyAlignment="1">
      <alignment horizontal="left"/>
    </xf>
    <xf numFmtId="165" fontId="17" fillId="30" borderId="11" xfId="2" applyNumberFormat="1" applyFont="1" applyFill="1" applyBorder="1" applyAlignment="1">
      <alignment horizontal="left"/>
    </xf>
    <xf numFmtId="0" fontId="17" fillId="28" borderId="1" xfId="0" applyFont="1" applyFill="1" applyBorder="1" applyAlignment="1">
      <alignment horizontal="left"/>
    </xf>
    <xf numFmtId="0" fontId="40" fillId="28" borderId="7" xfId="0" applyFont="1" applyFill="1" applyBorder="1" applyAlignment="1">
      <alignment horizontal="left"/>
    </xf>
    <xf numFmtId="0" fontId="17" fillId="43" borderId="1" xfId="0" applyFont="1" applyFill="1" applyBorder="1" applyAlignment="1">
      <alignment horizontal="left"/>
    </xf>
    <xf numFmtId="0" fontId="40" fillId="43" borderId="7" xfId="0" applyFont="1" applyFill="1" applyBorder="1" applyAlignment="1">
      <alignment horizontal="left"/>
    </xf>
    <xf numFmtId="0" fontId="17" fillId="43" borderId="0" xfId="0" applyFont="1" applyFill="1" applyBorder="1" applyAlignment="1">
      <alignment horizontal="left"/>
    </xf>
    <xf numFmtId="165" fontId="17" fillId="43" borderId="11" xfId="2" applyNumberFormat="1" applyFont="1" applyFill="1" applyBorder="1" applyAlignment="1">
      <alignment horizontal="left"/>
    </xf>
    <xf numFmtId="0" fontId="17" fillId="29" borderId="1" xfId="0" applyFont="1" applyFill="1" applyBorder="1" applyAlignment="1">
      <alignment horizontal="left"/>
    </xf>
    <xf numFmtId="0" fontId="40" fillId="29" borderId="7" xfId="0" applyFont="1" applyFill="1" applyBorder="1" applyAlignment="1">
      <alignment horizontal="left"/>
    </xf>
    <xf numFmtId="0" fontId="17" fillId="29" borderId="0" xfId="0" applyFont="1" applyFill="1" applyBorder="1" applyAlignment="1">
      <alignment horizontal="left"/>
    </xf>
    <xf numFmtId="165" fontId="17" fillId="29" borderId="11" xfId="2" applyNumberFormat="1" applyFont="1" applyFill="1" applyBorder="1" applyAlignment="1">
      <alignment horizontal="left"/>
    </xf>
    <xf numFmtId="0" fontId="17" fillId="44" borderId="1" xfId="0" applyFont="1" applyFill="1" applyBorder="1" applyAlignment="1">
      <alignment horizontal="left"/>
    </xf>
    <xf numFmtId="0" fontId="40" fillId="44" borderId="7" xfId="0" applyFont="1" applyFill="1" applyBorder="1" applyAlignment="1">
      <alignment horizontal="left"/>
    </xf>
    <xf numFmtId="0" fontId="17" fillId="44" borderId="0" xfId="0" applyFont="1" applyFill="1" applyBorder="1" applyAlignment="1">
      <alignment horizontal="left"/>
    </xf>
    <xf numFmtId="165" fontId="17" fillId="44" borderId="11" xfId="2" applyNumberFormat="1" applyFont="1" applyFill="1" applyBorder="1" applyAlignment="1">
      <alignment horizontal="left"/>
    </xf>
    <xf numFmtId="0" fontId="17" fillId="45" borderId="1" xfId="0" applyFont="1" applyFill="1" applyBorder="1" applyAlignment="1">
      <alignment horizontal="left"/>
    </xf>
    <xf numFmtId="0" fontId="40" fillId="45" borderId="7" xfId="0" applyFont="1" applyFill="1" applyBorder="1" applyAlignment="1">
      <alignment horizontal="left"/>
    </xf>
    <xf numFmtId="0" fontId="17" fillId="45" borderId="0" xfId="0" applyFont="1" applyFill="1" applyBorder="1" applyAlignment="1">
      <alignment horizontal="left"/>
    </xf>
    <xf numFmtId="165" fontId="17" fillId="45" borderId="11" xfId="2" applyNumberFormat="1" applyFont="1" applyFill="1" applyBorder="1" applyAlignment="1">
      <alignment horizontal="left"/>
    </xf>
    <xf numFmtId="0" fontId="17" fillId="46" borderId="1" xfId="0" applyFont="1" applyFill="1" applyBorder="1" applyAlignment="1">
      <alignment horizontal="left"/>
    </xf>
    <xf numFmtId="0" fontId="40" fillId="46" borderId="7" xfId="0" applyFont="1" applyFill="1" applyBorder="1" applyAlignment="1">
      <alignment horizontal="left"/>
    </xf>
    <xf numFmtId="0" fontId="17" fillId="46" borderId="0" xfId="0" applyFont="1" applyFill="1" applyBorder="1" applyAlignment="1">
      <alignment horizontal="left"/>
    </xf>
    <xf numFmtId="165" fontId="17" fillId="46" borderId="11" xfId="2" applyNumberFormat="1" applyFont="1" applyFill="1" applyBorder="1" applyAlignment="1">
      <alignment horizontal="left"/>
    </xf>
    <xf numFmtId="0" fontId="17" fillId="3" borderId="6" xfId="0" applyFont="1" applyFill="1" applyBorder="1" applyAlignment="1">
      <alignment horizontal="left"/>
    </xf>
    <xf numFmtId="0" fontId="61" fillId="18" borderId="12" xfId="0" applyFont="1" applyFill="1" applyBorder="1" applyAlignment="1">
      <alignment horizontal="left"/>
    </xf>
    <xf numFmtId="0" fontId="62" fillId="18" borderId="8" xfId="0" applyFont="1" applyFill="1" applyBorder="1" applyAlignment="1">
      <alignment horizontal="left"/>
    </xf>
    <xf numFmtId="0" fontId="63" fillId="18" borderId="4" xfId="0" applyFont="1" applyFill="1" applyBorder="1" applyAlignment="1">
      <alignment horizontal="left"/>
    </xf>
    <xf numFmtId="0" fontId="64" fillId="18" borderId="8" xfId="0" applyFont="1" applyFill="1" applyBorder="1" applyAlignment="1">
      <alignment horizontal="left"/>
    </xf>
    <xf numFmtId="165" fontId="64" fillId="18" borderId="4" xfId="2" applyNumberFormat="1" applyFont="1" applyFill="1" applyBorder="1" applyAlignment="1">
      <alignment horizontal="left"/>
    </xf>
    <xf numFmtId="165" fontId="64" fillId="18" borderId="8" xfId="2" applyNumberFormat="1" applyFont="1" applyFill="1" applyBorder="1" applyAlignment="1">
      <alignment horizontal="left"/>
    </xf>
    <xf numFmtId="165" fontId="7" fillId="18" borderId="8" xfId="2" applyNumberFormat="1" applyFont="1" applyFill="1" applyBorder="1" applyAlignment="1">
      <alignment horizontal="left"/>
    </xf>
    <xf numFmtId="0" fontId="17" fillId="0" borderId="5" xfId="0" applyFont="1" applyBorder="1"/>
    <xf numFmtId="0" fontId="27" fillId="40" borderId="7" xfId="0" applyFont="1" applyFill="1" applyBorder="1" applyAlignment="1">
      <alignment horizontal="left"/>
    </xf>
    <xf numFmtId="165" fontId="4" fillId="40" borderId="7" xfId="2" applyNumberFormat="1" applyFont="1" applyFill="1" applyBorder="1" applyAlignment="1">
      <alignment horizontal="left"/>
    </xf>
    <xf numFmtId="165" fontId="4" fillId="40" borderId="0" xfId="2" applyNumberFormat="1" applyFont="1" applyFill="1" applyBorder="1" applyAlignment="1">
      <alignment horizontal="left"/>
    </xf>
    <xf numFmtId="0" fontId="0" fillId="18" borderId="6" xfId="0" applyFill="1" applyBorder="1" applyAlignment="1">
      <alignment horizontal="left"/>
    </xf>
    <xf numFmtId="165" fontId="0" fillId="18" borderId="6" xfId="2" applyNumberFormat="1" applyFont="1" applyFill="1" applyBorder="1" applyAlignment="1">
      <alignment horizontal="left"/>
    </xf>
    <xf numFmtId="0" fontId="19" fillId="18" borderId="13" xfId="0" applyFont="1" applyFill="1" applyBorder="1" applyAlignment="1">
      <alignment horizontal="left"/>
    </xf>
    <xf numFmtId="0" fontId="43" fillId="18" borderId="14" xfId="0" applyFont="1" applyFill="1" applyBorder="1" applyAlignment="1">
      <alignment horizontal="left"/>
    </xf>
    <xf numFmtId="165" fontId="2" fillId="18" borderId="14" xfId="2" applyNumberFormat="1" applyFont="1" applyFill="1" applyBorder="1" applyAlignment="1">
      <alignment horizontal="left"/>
    </xf>
    <xf numFmtId="165" fontId="0" fillId="18" borderId="14" xfId="2" applyNumberFormat="1" applyFont="1" applyFill="1" applyBorder="1" applyAlignment="1">
      <alignment horizontal="left"/>
    </xf>
    <xf numFmtId="0" fontId="19" fillId="18" borderId="12" xfId="0" applyFont="1" applyFill="1" applyBorder="1" applyAlignment="1">
      <alignment horizontal="left"/>
    </xf>
    <xf numFmtId="0" fontId="11" fillId="18" borderId="4" xfId="0" applyFont="1" applyFill="1" applyBorder="1" applyAlignment="1">
      <alignment horizontal="left"/>
    </xf>
    <xf numFmtId="165" fontId="2" fillId="18" borderId="4" xfId="2" applyNumberFormat="1" applyFont="1" applyFill="1" applyBorder="1" applyAlignment="1">
      <alignment horizontal="left"/>
    </xf>
    <xf numFmtId="165" fontId="0" fillId="18" borderId="8" xfId="2" applyNumberFormat="1" applyFont="1" applyFill="1" applyBorder="1" applyAlignment="1">
      <alignment horizontal="left"/>
    </xf>
    <xf numFmtId="165" fontId="0" fillId="18" borderId="4" xfId="2" applyNumberFormat="1" applyFont="1" applyFill="1" applyBorder="1" applyAlignment="1">
      <alignment horizontal="left"/>
    </xf>
    <xf numFmtId="0" fontId="17" fillId="22" borderId="6" xfId="0" applyFont="1" applyFill="1" applyBorder="1" applyAlignment="1">
      <alignment horizontal="left"/>
    </xf>
    <xf numFmtId="0" fontId="11" fillId="22" borderId="14" xfId="0" applyFont="1" applyFill="1" applyBorder="1" applyAlignment="1">
      <alignment horizontal="left"/>
    </xf>
    <xf numFmtId="165" fontId="2" fillId="22" borderId="14" xfId="2" applyNumberFormat="1" applyFont="1" applyFill="1" applyBorder="1" applyAlignment="1">
      <alignment horizontal="left"/>
    </xf>
    <xf numFmtId="165" fontId="0" fillId="22" borderId="6" xfId="2" applyNumberFormat="1" applyFont="1" applyFill="1" applyBorder="1" applyAlignment="1">
      <alignment horizontal="left"/>
    </xf>
    <xf numFmtId="0" fontId="11" fillId="22" borderId="0" xfId="0" applyFont="1" applyFill="1" applyBorder="1" applyAlignment="1">
      <alignment horizontal="left"/>
    </xf>
    <xf numFmtId="165" fontId="2" fillId="22" borderId="0" xfId="2" applyNumberFormat="1" applyFont="1" applyFill="1" applyBorder="1" applyAlignment="1">
      <alignment horizontal="left"/>
    </xf>
    <xf numFmtId="165" fontId="0" fillId="22" borderId="7" xfId="2" applyNumberFormat="1" applyFont="1" applyFill="1" applyBorder="1" applyAlignment="1">
      <alignment horizontal="left"/>
    </xf>
    <xf numFmtId="165" fontId="2" fillId="22" borderId="4" xfId="2" applyNumberFormat="1" applyFont="1" applyFill="1" applyBorder="1" applyAlignment="1">
      <alignment horizontal="left"/>
    </xf>
    <xf numFmtId="165" fontId="0" fillId="22" borderId="8" xfId="2" applyNumberFormat="1" applyFont="1" applyFill="1" applyBorder="1" applyAlignment="1">
      <alignment horizontal="left"/>
    </xf>
    <xf numFmtId="165" fontId="0" fillId="22" borderId="12" xfId="2" applyNumberFormat="1" applyFont="1" applyFill="1" applyBorder="1" applyAlignment="1">
      <alignment horizontal="left"/>
    </xf>
    <xf numFmtId="165" fontId="0" fillId="22" borderId="13" xfId="2" applyNumberFormat="1" applyFont="1" applyFill="1" applyBorder="1" applyAlignment="1">
      <alignment horizontal="left"/>
    </xf>
    <xf numFmtId="165" fontId="0" fillId="22" borderId="1" xfId="2" applyNumberFormat="1" applyFont="1" applyFill="1" applyBorder="1" applyAlignment="1">
      <alignment horizontal="left"/>
    </xf>
    <xf numFmtId="165" fontId="0" fillId="22" borderId="10" xfId="2" applyNumberFormat="1" applyFont="1" applyFill="1" applyBorder="1" applyAlignment="1">
      <alignment horizontal="left"/>
    </xf>
    <xf numFmtId="165" fontId="0" fillId="22" borderId="15" xfId="2" applyNumberFormat="1" applyFont="1" applyFill="1" applyBorder="1" applyAlignment="1">
      <alignment horizontal="left"/>
    </xf>
    <xf numFmtId="165" fontId="0" fillId="22" borderId="11" xfId="2" applyNumberFormat="1" applyFont="1" applyFill="1" applyBorder="1" applyAlignment="1">
      <alignment horizontal="left"/>
    </xf>
    <xf numFmtId="165" fontId="2" fillId="24" borderId="14" xfId="2" applyNumberFormat="1" applyFont="1" applyFill="1" applyBorder="1" applyAlignment="1">
      <alignment horizontal="left"/>
    </xf>
    <xf numFmtId="165" fontId="0" fillId="24" borderId="13" xfId="2" applyNumberFormat="1" applyFont="1" applyFill="1" applyBorder="1" applyAlignment="1">
      <alignment horizontal="left"/>
    </xf>
    <xf numFmtId="165" fontId="0" fillId="24" borderId="6" xfId="2" applyNumberFormat="1" applyFont="1" applyFill="1" applyBorder="1" applyAlignment="1">
      <alignment horizontal="left"/>
    </xf>
    <xf numFmtId="165" fontId="0" fillId="24" borderId="15" xfId="2" applyNumberFormat="1" applyFont="1" applyFill="1" applyBorder="1" applyAlignment="1">
      <alignment horizontal="left"/>
    </xf>
    <xf numFmtId="165" fontId="2" fillId="24" borderId="0" xfId="2" applyNumberFormat="1" applyFont="1" applyFill="1" applyBorder="1" applyAlignment="1">
      <alignment horizontal="left"/>
    </xf>
    <xf numFmtId="165" fontId="0" fillId="24" borderId="1" xfId="2" applyNumberFormat="1" applyFont="1" applyFill="1" applyBorder="1" applyAlignment="1">
      <alignment horizontal="left"/>
    </xf>
    <xf numFmtId="165" fontId="0" fillId="24" borderId="7" xfId="2" applyNumberFormat="1" applyFont="1" applyFill="1" applyBorder="1" applyAlignment="1">
      <alignment horizontal="left"/>
    </xf>
    <xf numFmtId="165" fontId="0" fillId="24" borderId="11" xfId="2" applyNumberFormat="1" applyFont="1" applyFill="1" applyBorder="1" applyAlignment="1">
      <alignment horizontal="left"/>
    </xf>
    <xf numFmtId="0" fontId="19" fillId="24" borderId="12" xfId="0" applyFont="1" applyFill="1" applyBorder="1" applyAlignment="1">
      <alignment horizontal="left"/>
    </xf>
    <xf numFmtId="165" fontId="2" fillId="24" borderId="4" xfId="2" applyNumberFormat="1" applyFont="1" applyFill="1" applyBorder="1" applyAlignment="1">
      <alignment horizontal="left"/>
    </xf>
    <xf numFmtId="165" fontId="0" fillId="24" borderId="12" xfId="2" applyNumberFormat="1" applyFont="1" applyFill="1" applyBorder="1" applyAlignment="1">
      <alignment horizontal="left"/>
    </xf>
    <xf numFmtId="165" fontId="0" fillId="24" borderId="8" xfId="2" applyNumberFormat="1" applyFont="1" applyFill="1" applyBorder="1" applyAlignment="1">
      <alignment horizontal="left"/>
    </xf>
    <xf numFmtId="165" fontId="0" fillId="24" borderId="10" xfId="2" applyNumberFormat="1" applyFont="1" applyFill="1" applyBorder="1" applyAlignment="1">
      <alignment horizontal="left"/>
    </xf>
    <xf numFmtId="165" fontId="2" fillId="25" borderId="14" xfId="2" applyNumberFormat="1" applyFont="1" applyFill="1" applyBorder="1" applyAlignment="1">
      <alignment horizontal="left"/>
    </xf>
    <xf numFmtId="165" fontId="0" fillId="25" borderId="13" xfId="2" applyNumberFormat="1" applyFont="1" applyFill="1" applyBorder="1" applyAlignment="1">
      <alignment horizontal="left"/>
    </xf>
    <xf numFmtId="165" fontId="0" fillId="25" borderId="6" xfId="2" applyNumberFormat="1" applyFont="1" applyFill="1" applyBorder="1" applyAlignment="1">
      <alignment horizontal="left"/>
    </xf>
    <xf numFmtId="165" fontId="0" fillId="25" borderId="15" xfId="2" applyNumberFormat="1" applyFont="1" applyFill="1" applyBorder="1" applyAlignment="1">
      <alignment horizontal="left"/>
    </xf>
    <xf numFmtId="165" fontId="2" fillId="25" borderId="0" xfId="2" applyNumberFormat="1" applyFont="1" applyFill="1" applyBorder="1" applyAlignment="1">
      <alignment horizontal="left"/>
    </xf>
    <xf numFmtId="165" fontId="0" fillId="25" borderId="1" xfId="2" applyNumberFormat="1" applyFont="1" applyFill="1" applyBorder="1" applyAlignment="1">
      <alignment horizontal="left"/>
    </xf>
    <xf numFmtId="165" fontId="0" fillId="25" borderId="7" xfId="2" applyNumberFormat="1" applyFont="1" applyFill="1" applyBorder="1" applyAlignment="1">
      <alignment horizontal="left"/>
    </xf>
    <xf numFmtId="165" fontId="0" fillId="25" borderId="11" xfId="2" applyNumberFormat="1" applyFont="1" applyFill="1" applyBorder="1" applyAlignment="1">
      <alignment horizontal="left"/>
    </xf>
    <xf numFmtId="165" fontId="2" fillId="25" borderId="4" xfId="2" applyNumberFormat="1" applyFont="1" applyFill="1" applyBorder="1" applyAlignment="1">
      <alignment horizontal="left"/>
    </xf>
    <xf numFmtId="165" fontId="0" fillId="25" borderId="12" xfId="2" applyNumberFormat="1" applyFont="1" applyFill="1" applyBorder="1" applyAlignment="1">
      <alignment horizontal="left"/>
    </xf>
    <xf numFmtId="165" fontId="0" fillId="25" borderId="8" xfId="2" applyNumberFormat="1" applyFont="1" applyFill="1" applyBorder="1" applyAlignment="1">
      <alignment horizontal="left"/>
    </xf>
    <xf numFmtId="165" fontId="0" fillId="25" borderId="10" xfId="2" applyNumberFormat="1" applyFont="1" applyFill="1" applyBorder="1" applyAlignment="1">
      <alignment horizontal="left"/>
    </xf>
    <xf numFmtId="0" fontId="11" fillId="26" borderId="0" xfId="0" applyFont="1" applyFill="1" applyBorder="1" applyAlignment="1">
      <alignment horizontal="left"/>
    </xf>
    <xf numFmtId="165" fontId="2" fillId="26" borderId="0" xfId="2" applyNumberFormat="1" applyFont="1" applyFill="1" applyBorder="1" applyAlignment="1">
      <alignment horizontal="left"/>
    </xf>
    <xf numFmtId="165" fontId="0" fillId="26" borderId="1" xfId="2" applyNumberFormat="1" applyFont="1" applyFill="1" applyBorder="1" applyAlignment="1">
      <alignment horizontal="left"/>
    </xf>
    <xf numFmtId="165" fontId="0" fillId="26" borderId="7" xfId="2" applyNumberFormat="1" applyFont="1" applyFill="1" applyBorder="1" applyAlignment="1">
      <alignment horizontal="left"/>
    </xf>
    <xf numFmtId="165" fontId="0" fillId="26" borderId="11" xfId="2" applyNumberFormat="1" applyFont="1" applyFill="1" applyBorder="1" applyAlignment="1">
      <alignment horizontal="left"/>
    </xf>
    <xf numFmtId="0" fontId="11" fillId="26" borderId="4" xfId="0" applyFont="1" applyFill="1" applyBorder="1" applyAlignment="1">
      <alignment horizontal="left"/>
    </xf>
    <xf numFmtId="165" fontId="2" fillId="26" borderId="4" xfId="2" applyNumberFormat="1" applyFont="1" applyFill="1" applyBorder="1" applyAlignment="1">
      <alignment horizontal="left"/>
    </xf>
    <xf numFmtId="165" fontId="0" fillId="26" borderId="12" xfId="2" applyNumberFormat="1" applyFont="1" applyFill="1" applyBorder="1" applyAlignment="1">
      <alignment horizontal="left"/>
    </xf>
    <xf numFmtId="165" fontId="0" fillId="26" borderId="8" xfId="2" applyNumberFormat="1" applyFont="1" applyFill="1" applyBorder="1" applyAlignment="1">
      <alignment horizontal="left"/>
    </xf>
    <xf numFmtId="165" fontId="0" fillId="38" borderId="11" xfId="2" applyNumberFormat="1" applyFont="1" applyFill="1" applyBorder="1" applyAlignment="1">
      <alignment horizontal="left"/>
    </xf>
    <xf numFmtId="0" fontId="11" fillId="38" borderId="0" xfId="0" applyFont="1" applyFill="1" applyBorder="1" applyAlignment="1">
      <alignment horizontal="left"/>
    </xf>
    <xf numFmtId="165" fontId="2" fillId="38" borderId="0" xfId="2" applyNumberFormat="1" applyFont="1" applyFill="1" applyBorder="1" applyAlignment="1">
      <alignment horizontal="left"/>
    </xf>
    <xf numFmtId="165" fontId="0" fillId="38" borderId="1" xfId="2" applyNumberFormat="1" applyFont="1" applyFill="1" applyBorder="1" applyAlignment="1">
      <alignment horizontal="left"/>
    </xf>
    <xf numFmtId="165" fontId="0" fillId="38" borderId="7" xfId="2" applyNumberFormat="1" applyFont="1" applyFill="1" applyBorder="1" applyAlignment="1">
      <alignment horizontal="left"/>
    </xf>
    <xf numFmtId="0" fontId="11" fillId="38" borderId="4" xfId="0" applyFont="1" applyFill="1" applyBorder="1" applyAlignment="1">
      <alignment horizontal="left"/>
    </xf>
    <xf numFmtId="165" fontId="2" fillId="38" borderId="4" xfId="2" applyNumberFormat="1" applyFont="1" applyFill="1" applyBorder="1" applyAlignment="1">
      <alignment horizontal="left"/>
    </xf>
    <xf numFmtId="165" fontId="0" fillId="38" borderId="12" xfId="2" applyNumberFormat="1" applyFont="1" applyFill="1" applyBorder="1" applyAlignment="1">
      <alignment horizontal="left"/>
    </xf>
    <xf numFmtId="165" fontId="0" fillId="38" borderId="8" xfId="2" applyNumberFormat="1" applyFont="1" applyFill="1" applyBorder="1" applyAlignment="1">
      <alignment horizontal="left"/>
    </xf>
    <xf numFmtId="165" fontId="0" fillId="27" borderId="11" xfId="2" applyNumberFormat="1" applyFont="1" applyFill="1" applyBorder="1" applyAlignment="1">
      <alignment horizontal="left"/>
    </xf>
    <xf numFmtId="0" fontId="11" fillId="27" borderId="0" xfId="0" applyFont="1" applyFill="1" applyBorder="1" applyAlignment="1">
      <alignment horizontal="left"/>
    </xf>
    <xf numFmtId="165" fontId="2" fillId="27" borderId="0" xfId="2" applyNumberFormat="1" applyFont="1" applyFill="1" applyBorder="1" applyAlignment="1">
      <alignment horizontal="left"/>
    </xf>
    <xf numFmtId="165" fontId="0" fillId="27" borderId="1" xfId="2" applyNumberFormat="1" applyFont="1" applyFill="1" applyBorder="1" applyAlignment="1">
      <alignment horizontal="left"/>
    </xf>
    <xf numFmtId="165" fontId="0" fillId="27" borderId="7" xfId="2" applyNumberFormat="1" applyFont="1" applyFill="1" applyBorder="1" applyAlignment="1">
      <alignment horizontal="left"/>
    </xf>
    <xf numFmtId="0" fontId="19" fillId="27" borderId="12" xfId="0" applyFont="1" applyFill="1" applyBorder="1" applyAlignment="1">
      <alignment horizontal="left"/>
    </xf>
    <xf numFmtId="0" fontId="11" fillId="27" borderId="4" xfId="0" applyFont="1" applyFill="1" applyBorder="1" applyAlignment="1">
      <alignment horizontal="left"/>
    </xf>
    <xf numFmtId="165" fontId="2" fillId="27" borderId="4" xfId="2" applyNumberFormat="1" applyFont="1" applyFill="1" applyBorder="1" applyAlignment="1">
      <alignment horizontal="left"/>
    </xf>
    <xf numFmtId="165" fontId="0" fillId="27" borderId="12" xfId="2" applyNumberFormat="1" applyFont="1" applyFill="1" applyBorder="1" applyAlignment="1">
      <alignment horizontal="left"/>
    </xf>
    <xf numFmtId="165" fontId="0" fillId="27" borderId="8" xfId="2" applyNumberFormat="1" applyFont="1" applyFill="1" applyBorder="1" applyAlignment="1">
      <alignment horizontal="left"/>
    </xf>
    <xf numFmtId="165" fontId="0" fillId="27" borderId="10" xfId="2" applyNumberFormat="1" applyFont="1" applyFill="1" applyBorder="1" applyAlignment="1">
      <alignment horizontal="left"/>
    </xf>
    <xf numFmtId="165" fontId="0" fillId="26" borderId="10" xfId="2" applyNumberFormat="1" applyFont="1" applyFill="1" applyBorder="1" applyAlignment="1">
      <alignment horizontal="left"/>
    </xf>
    <xf numFmtId="165" fontId="0" fillId="38" borderId="10" xfId="2" applyNumberFormat="1" applyFont="1" applyFill="1" applyBorder="1" applyAlignment="1">
      <alignment horizontal="left"/>
    </xf>
    <xf numFmtId="0" fontId="11" fillId="39" borderId="14" xfId="0" applyFont="1" applyFill="1" applyBorder="1" applyAlignment="1">
      <alignment horizontal="left"/>
    </xf>
    <xf numFmtId="165" fontId="2" fillId="39" borderId="14" xfId="2" applyNumberFormat="1" applyFont="1" applyFill="1" applyBorder="1" applyAlignment="1">
      <alignment horizontal="left"/>
    </xf>
    <xf numFmtId="165" fontId="0" fillId="39" borderId="13" xfId="2" applyNumberFormat="1" applyFont="1" applyFill="1" applyBorder="1" applyAlignment="1">
      <alignment horizontal="left"/>
    </xf>
    <xf numFmtId="165" fontId="0" fillId="39" borderId="6" xfId="2" applyNumberFormat="1" applyFont="1" applyFill="1" applyBorder="1" applyAlignment="1">
      <alignment horizontal="left"/>
    </xf>
    <xf numFmtId="165" fontId="0" fillId="39" borderId="15" xfId="2" applyNumberFormat="1" applyFont="1" applyFill="1" applyBorder="1" applyAlignment="1">
      <alignment horizontal="left"/>
    </xf>
    <xf numFmtId="0" fontId="11" fillId="39" borderId="0" xfId="0" applyFont="1" applyFill="1" applyBorder="1" applyAlignment="1">
      <alignment horizontal="left"/>
    </xf>
    <xf numFmtId="165" fontId="2" fillId="39" borderId="0" xfId="2" applyNumberFormat="1" applyFont="1" applyFill="1" applyBorder="1" applyAlignment="1">
      <alignment horizontal="left"/>
    </xf>
    <xf numFmtId="165" fontId="0" fillId="39" borderId="1" xfId="2" applyNumberFormat="1" applyFont="1" applyFill="1" applyBorder="1" applyAlignment="1">
      <alignment horizontal="left"/>
    </xf>
    <xf numFmtId="165" fontId="0" fillId="39" borderId="7" xfId="2" applyNumberFormat="1" applyFont="1" applyFill="1" applyBorder="1" applyAlignment="1">
      <alignment horizontal="left"/>
    </xf>
    <xf numFmtId="165" fontId="0" fillId="39" borderId="11" xfId="2" applyNumberFormat="1" applyFont="1" applyFill="1" applyBorder="1" applyAlignment="1">
      <alignment horizontal="left"/>
    </xf>
    <xf numFmtId="0" fontId="11" fillId="39" borderId="4" xfId="0" applyFont="1" applyFill="1" applyBorder="1" applyAlignment="1">
      <alignment horizontal="left"/>
    </xf>
    <xf numFmtId="165" fontId="2" fillId="39" borderId="4" xfId="2" applyNumberFormat="1" applyFont="1" applyFill="1" applyBorder="1" applyAlignment="1">
      <alignment horizontal="left"/>
    </xf>
    <xf numFmtId="165" fontId="0" fillId="39" borderId="12" xfId="2" applyNumberFormat="1" applyFont="1" applyFill="1" applyBorder="1" applyAlignment="1">
      <alignment horizontal="left"/>
    </xf>
    <xf numFmtId="165" fontId="0" fillId="39" borderId="8" xfId="2" applyNumberFormat="1" applyFont="1" applyFill="1" applyBorder="1" applyAlignment="1">
      <alignment horizontal="left"/>
    </xf>
    <xf numFmtId="165" fontId="0" fillId="39" borderId="10" xfId="2" applyNumberFormat="1" applyFont="1" applyFill="1" applyBorder="1" applyAlignment="1">
      <alignment horizontal="left"/>
    </xf>
    <xf numFmtId="0" fontId="11" fillId="40" borderId="0" xfId="0" applyFont="1" applyFill="1" applyBorder="1" applyAlignment="1">
      <alignment horizontal="left"/>
    </xf>
    <xf numFmtId="165" fontId="2" fillId="40" borderId="0" xfId="2" applyNumberFormat="1" applyFont="1" applyFill="1" applyBorder="1" applyAlignment="1">
      <alignment horizontal="left"/>
    </xf>
    <xf numFmtId="165" fontId="0" fillId="40" borderId="1" xfId="2" applyNumberFormat="1" applyFont="1" applyFill="1" applyBorder="1" applyAlignment="1">
      <alignment horizontal="left"/>
    </xf>
    <xf numFmtId="165" fontId="0" fillId="40" borderId="7" xfId="2" applyNumberFormat="1" applyFont="1" applyFill="1" applyBorder="1" applyAlignment="1">
      <alignment horizontal="left"/>
    </xf>
    <xf numFmtId="165" fontId="0" fillId="40" borderId="11" xfId="2" applyNumberFormat="1" applyFont="1" applyFill="1" applyBorder="1" applyAlignment="1">
      <alignment horizontal="left"/>
    </xf>
    <xf numFmtId="0" fontId="11" fillId="40" borderId="4" xfId="0" applyFont="1" applyFill="1" applyBorder="1" applyAlignment="1">
      <alignment horizontal="left"/>
    </xf>
    <xf numFmtId="165" fontId="2" fillId="40" borderId="4" xfId="2" applyNumberFormat="1" applyFont="1" applyFill="1" applyBorder="1" applyAlignment="1">
      <alignment horizontal="left"/>
    </xf>
    <xf numFmtId="165" fontId="0" fillId="40" borderId="12" xfId="2" applyNumberFormat="1" applyFont="1" applyFill="1" applyBorder="1" applyAlignment="1">
      <alignment horizontal="left"/>
    </xf>
    <xf numFmtId="165" fontId="0" fillId="40" borderId="8" xfId="2" applyNumberFormat="1" applyFont="1" applyFill="1" applyBorder="1" applyAlignment="1">
      <alignment horizontal="left"/>
    </xf>
    <xf numFmtId="0" fontId="17" fillId="25" borderId="13" xfId="0" applyFont="1" applyFill="1" applyBorder="1" applyAlignment="1">
      <alignment horizontal="left"/>
    </xf>
    <xf numFmtId="0" fontId="17" fillId="25" borderId="12" xfId="0" applyFont="1" applyFill="1" applyBorder="1" applyAlignment="1">
      <alignment horizontal="left"/>
    </xf>
    <xf numFmtId="0" fontId="17" fillId="25" borderId="15" xfId="0" applyFont="1" applyFill="1" applyBorder="1" applyAlignment="1">
      <alignment horizontal="left"/>
    </xf>
    <xf numFmtId="0" fontId="17" fillId="25" borderId="11" xfId="0" applyFont="1" applyFill="1" applyBorder="1" applyAlignment="1">
      <alignment horizontal="left"/>
    </xf>
    <xf numFmtId="0" fontId="17" fillId="25" borderId="10" xfId="0" applyFont="1" applyFill="1" applyBorder="1" applyAlignment="1">
      <alignment horizontal="left"/>
    </xf>
    <xf numFmtId="0" fontId="11" fillId="25" borderId="7" xfId="0" applyFont="1" applyFill="1" applyBorder="1" applyAlignment="1">
      <alignment horizontal="left"/>
    </xf>
    <xf numFmtId="0" fontId="11" fillId="25" borderId="8" xfId="0" applyFont="1" applyFill="1" applyBorder="1" applyAlignment="1">
      <alignment horizontal="left"/>
    </xf>
    <xf numFmtId="0" fontId="17" fillId="24" borderId="13" xfId="0" applyFont="1" applyFill="1" applyBorder="1" applyAlignment="1">
      <alignment horizontal="left"/>
    </xf>
    <xf numFmtId="0" fontId="17" fillId="24" borderId="12" xfId="0" applyFont="1" applyFill="1" applyBorder="1" applyAlignment="1">
      <alignment horizontal="left"/>
    </xf>
    <xf numFmtId="0" fontId="17" fillId="24" borderId="15" xfId="0" applyFont="1" applyFill="1" applyBorder="1" applyAlignment="1">
      <alignment horizontal="left"/>
    </xf>
    <xf numFmtId="0" fontId="17" fillId="24" borderId="11" xfId="0" applyFont="1" applyFill="1" applyBorder="1" applyAlignment="1">
      <alignment horizontal="left"/>
    </xf>
    <xf numFmtId="0" fontId="17" fillId="24" borderId="10" xfId="0" applyFont="1" applyFill="1" applyBorder="1" applyAlignment="1">
      <alignment horizontal="left"/>
    </xf>
    <xf numFmtId="0" fontId="11" fillId="24" borderId="6" xfId="0" applyFont="1" applyFill="1" applyBorder="1" applyAlignment="1">
      <alignment horizontal="left"/>
    </xf>
    <xf numFmtId="0" fontId="11" fillId="24" borderId="7" xfId="0" applyFont="1" applyFill="1" applyBorder="1" applyAlignment="1">
      <alignment horizontal="left"/>
    </xf>
    <xf numFmtId="0" fontId="11" fillId="24" borderId="8" xfId="0" applyFont="1" applyFill="1" applyBorder="1" applyAlignment="1">
      <alignment horizontal="left"/>
    </xf>
    <xf numFmtId="0" fontId="19" fillId="3" borderId="13" xfId="0" applyFont="1" applyFill="1" applyBorder="1" applyAlignment="1">
      <alignment horizontal="left"/>
    </xf>
    <xf numFmtId="165" fontId="17" fillId="3" borderId="14" xfId="2" applyNumberFormat="1" applyFont="1" applyFill="1" applyBorder="1" applyAlignment="1">
      <alignment horizontal="left"/>
    </xf>
    <xf numFmtId="0" fontId="17" fillId="40" borderId="12" xfId="0" applyFont="1" applyFill="1" applyBorder="1" applyAlignment="1">
      <alignment horizontal="left"/>
    </xf>
    <xf numFmtId="0" fontId="40" fillId="40" borderId="8" xfId="0" applyFont="1" applyFill="1" applyBorder="1" applyAlignment="1">
      <alignment horizontal="left"/>
    </xf>
    <xf numFmtId="0" fontId="17" fillId="40" borderId="4" xfId="0" applyFont="1" applyFill="1" applyBorder="1" applyAlignment="1">
      <alignment horizontal="left"/>
    </xf>
    <xf numFmtId="165" fontId="17" fillId="40" borderId="10" xfId="2" applyNumberFormat="1" applyFont="1" applyFill="1" applyBorder="1" applyAlignment="1">
      <alignment horizontal="left"/>
    </xf>
    <xf numFmtId="0" fontId="20" fillId="3" borderId="5" xfId="0" applyFont="1" applyFill="1" applyBorder="1" applyAlignment="1">
      <alignment horizontal="left"/>
    </xf>
    <xf numFmtId="0" fontId="42" fillId="3" borderId="5" xfId="0" applyFont="1" applyFill="1" applyBorder="1" applyAlignment="1">
      <alignment horizontal="left"/>
    </xf>
    <xf numFmtId="165" fontId="27" fillId="3" borderId="5" xfId="2" applyNumberFormat="1" applyFont="1" applyFill="1" applyBorder="1" applyAlignment="1">
      <alignment horizontal="left"/>
    </xf>
    <xf numFmtId="0" fontId="3" fillId="19" borderId="0" xfId="0" applyFont="1" applyFill="1"/>
    <xf numFmtId="165" fontId="3" fillId="19" borderId="0" xfId="2" applyNumberFormat="1" applyFont="1" applyFill="1"/>
    <xf numFmtId="167" fontId="58" fillId="0" borderId="0" xfId="10" applyFont="1"/>
    <xf numFmtId="0" fontId="4" fillId="21" borderId="7" xfId="0" applyFont="1" applyFill="1" applyBorder="1" applyAlignment="1">
      <alignment horizontal="left"/>
    </xf>
    <xf numFmtId="165" fontId="4" fillId="21" borderId="0" xfId="2" applyNumberFormat="1" applyFont="1" applyFill="1" applyBorder="1" applyAlignment="1">
      <alignment horizontal="left"/>
    </xf>
    <xf numFmtId="165" fontId="4" fillId="21" borderId="7" xfId="2" applyNumberFormat="1" applyFont="1" applyFill="1" applyBorder="1" applyAlignment="1">
      <alignment horizontal="left"/>
    </xf>
    <xf numFmtId="0" fontId="40" fillId="20" borderId="0" xfId="0" applyFont="1" applyFill="1" applyAlignment="1">
      <alignment horizontal="left" wrapText="1"/>
    </xf>
    <xf numFmtId="0" fontId="40" fillId="21" borderId="0" xfId="0" applyFont="1" applyFill="1" applyAlignment="1">
      <alignment horizontal="left" wrapText="1"/>
    </xf>
    <xf numFmtId="0" fontId="40" fillId="37" borderId="0" xfId="0" applyFont="1" applyFill="1" applyBorder="1" applyAlignment="1">
      <alignment horizontal="left" wrapText="1"/>
    </xf>
    <xf numFmtId="0" fontId="40" fillId="22" borderId="0" xfId="0" applyFont="1" applyFill="1" applyBorder="1" applyAlignment="1">
      <alignment horizontal="left" wrapText="1"/>
    </xf>
    <xf numFmtId="16" fontId="40" fillId="22" borderId="0" xfId="0" quotePrefix="1" applyNumberFormat="1" applyFont="1" applyFill="1" applyBorder="1" applyAlignment="1">
      <alignment horizontal="left" wrapText="1"/>
    </xf>
    <xf numFmtId="165" fontId="7" fillId="22" borderId="8" xfId="2" applyNumberFormat="1" applyFont="1" applyFill="1" applyBorder="1" applyAlignment="1">
      <alignment horizontal="left"/>
    </xf>
    <xf numFmtId="0" fontId="19" fillId="49" borderId="1" xfId="0" applyFont="1" applyFill="1" applyBorder="1" applyAlignment="1">
      <alignment horizontal="left"/>
    </xf>
    <xf numFmtId="0" fontId="11" fillId="38" borderId="7" xfId="0" applyFont="1" applyFill="1" applyBorder="1" applyAlignment="1">
      <alignment horizontal="left"/>
    </xf>
    <xf numFmtId="0" fontId="11" fillId="39" borderId="7" xfId="0" applyFont="1" applyFill="1" applyBorder="1" applyAlignment="1">
      <alignment horizontal="left"/>
    </xf>
    <xf numFmtId="0" fontId="40" fillId="24" borderId="8" xfId="0" applyFont="1" applyFill="1" applyBorder="1" applyAlignment="1">
      <alignment horizontal="left"/>
    </xf>
    <xf numFmtId="0" fontId="30" fillId="29" borderId="7" xfId="0" applyFont="1" applyFill="1" applyBorder="1" applyAlignment="1">
      <alignment horizontal="left"/>
    </xf>
    <xf numFmtId="165" fontId="30" fillId="29" borderId="0" xfId="2" applyNumberFormat="1" applyFont="1" applyFill="1" applyBorder="1" applyAlignment="1">
      <alignment horizontal="left"/>
    </xf>
    <xf numFmtId="165" fontId="30" fillId="29" borderId="7" xfId="2" applyNumberFormat="1" applyFont="1" applyFill="1" applyBorder="1" applyAlignment="1">
      <alignment horizontal="left"/>
    </xf>
    <xf numFmtId="0" fontId="42" fillId="44" borderId="0" xfId="0" applyFont="1" applyFill="1" applyBorder="1" applyAlignment="1">
      <alignment horizontal="left"/>
    </xf>
    <xf numFmtId="0" fontId="30" fillId="44" borderId="7" xfId="0" applyFont="1" applyFill="1" applyBorder="1" applyAlignment="1">
      <alignment horizontal="left"/>
    </xf>
    <xf numFmtId="165" fontId="30" fillId="44" borderId="0" xfId="2" applyNumberFormat="1" applyFont="1" applyFill="1" applyBorder="1" applyAlignment="1">
      <alignment horizontal="left"/>
    </xf>
    <xf numFmtId="165" fontId="30" fillId="44" borderId="7" xfId="2" applyNumberFormat="1" applyFont="1" applyFill="1" applyBorder="1" applyAlignment="1">
      <alignment horizontal="left"/>
    </xf>
    <xf numFmtId="0" fontId="30" fillId="45" borderId="7" xfId="0" applyFont="1" applyFill="1" applyBorder="1" applyAlignment="1">
      <alignment horizontal="left"/>
    </xf>
    <xf numFmtId="165" fontId="30" fillId="45" borderId="0" xfId="2" applyNumberFormat="1" applyFont="1" applyFill="1" applyBorder="1" applyAlignment="1">
      <alignment horizontal="left"/>
    </xf>
    <xf numFmtId="165" fontId="30" fillId="45" borderId="7" xfId="2" applyNumberFormat="1" applyFont="1" applyFill="1" applyBorder="1" applyAlignment="1">
      <alignment horizontal="left"/>
    </xf>
    <xf numFmtId="0" fontId="30" fillId="46" borderId="7" xfId="0" applyFont="1" applyFill="1" applyBorder="1" applyAlignment="1">
      <alignment horizontal="left"/>
    </xf>
    <xf numFmtId="165" fontId="30" fillId="46" borderId="0" xfId="2" applyNumberFormat="1" applyFont="1" applyFill="1" applyBorder="1" applyAlignment="1">
      <alignment horizontal="left"/>
    </xf>
    <xf numFmtId="165" fontId="27" fillId="3" borderId="4" xfId="2" applyNumberFormat="1" applyFont="1" applyFill="1" applyBorder="1" applyAlignment="1">
      <alignment horizontal="left"/>
    </xf>
    <xf numFmtId="0" fontId="40" fillId="40" borderId="1" xfId="0" applyFont="1" applyFill="1" applyBorder="1" applyAlignment="1">
      <alignment horizontal="left"/>
    </xf>
    <xf numFmtId="0" fontId="19" fillId="52" borderId="1" xfId="0" applyFont="1" applyFill="1" applyBorder="1" applyAlignment="1">
      <alignment horizontal="left"/>
    </xf>
    <xf numFmtId="0" fontId="17" fillId="52" borderId="7" xfId="0" applyFont="1" applyFill="1" applyBorder="1" applyAlignment="1">
      <alignment horizontal="left"/>
    </xf>
    <xf numFmtId="0" fontId="40" fillId="52" borderId="0" xfId="0" applyFont="1" applyFill="1" applyBorder="1" applyAlignment="1">
      <alignment horizontal="left"/>
    </xf>
    <xf numFmtId="165" fontId="17" fillId="52" borderId="0" xfId="2" applyNumberFormat="1" applyFont="1" applyFill="1" applyBorder="1" applyAlignment="1">
      <alignment horizontal="left"/>
    </xf>
    <xf numFmtId="165" fontId="17" fillId="52" borderId="7" xfId="2" applyNumberFormat="1" applyFont="1" applyFill="1" applyBorder="1" applyAlignment="1">
      <alignment horizontal="left"/>
    </xf>
    <xf numFmtId="0" fontId="40" fillId="26" borderId="4" xfId="0" applyFont="1" applyFill="1" applyBorder="1" applyAlignment="1">
      <alignment horizontal="left"/>
    </xf>
    <xf numFmtId="0" fontId="0" fillId="22" borderId="13" xfId="0" applyFill="1" applyBorder="1" applyAlignment="1">
      <alignment horizontal="left"/>
    </xf>
    <xf numFmtId="0" fontId="40" fillId="22" borderId="6" xfId="0" applyFont="1" applyFill="1" applyBorder="1" applyAlignment="1">
      <alignment horizontal="left"/>
    </xf>
    <xf numFmtId="0" fontId="0" fillId="22" borderId="14" xfId="0" applyFill="1" applyBorder="1" applyAlignment="1">
      <alignment horizontal="left"/>
    </xf>
    <xf numFmtId="165" fontId="28" fillId="22" borderId="6" xfId="2" applyNumberFormat="1" applyFont="1" applyFill="1" applyBorder="1" applyAlignment="1">
      <alignment horizontal="left"/>
    </xf>
    <xf numFmtId="165" fontId="17" fillId="22" borderId="15" xfId="2" applyNumberFormat="1" applyFont="1" applyFill="1" applyBorder="1" applyAlignment="1">
      <alignment horizontal="left"/>
    </xf>
    <xf numFmtId="165" fontId="0" fillId="22" borderId="14" xfId="2" applyNumberFormat="1" applyFont="1" applyFill="1" applyBorder="1" applyAlignment="1">
      <alignment horizontal="left"/>
    </xf>
    <xf numFmtId="0" fontId="0" fillId="22" borderId="0" xfId="0" applyFill="1" applyBorder="1" applyAlignment="1">
      <alignment horizontal="left"/>
    </xf>
    <xf numFmtId="165" fontId="28" fillId="22" borderId="7" xfId="2" applyNumberFormat="1" applyFont="1" applyFill="1" applyBorder="1" applyAlignment="1">
      <alignment horizontal="left"/>
    </xf>
    <xf numFmtId="165" fontId="0" fillId="22" borderId="0" xfId="2" applyNumberFormat="1" applyFont="1" applyFill="1" applyBorder="1" applyAlignment="1">
      <alignment horizontal="left"/>
    </xf>
    <xf numFmtId="0" fontId="2" fillId="22" borderId="1" xfId="0" applyFont="1" applyFill="1" applyBorder="1" applyAlignment="1">
      <alignment horizontal="left"/>
    </xf>
    <xf numFmtId="0" fontId="0" fillId="22" borderId="11" xfId="0" applyFill="1" applyBorder="1" applyAlignment="1">
      <alignment horizontal="left"/>
    </xf>
    <xf numFmtId="165" fontId="28" fillId="22" borderId="0" xfId="2" applyNumberFormat="1" applyFont="1" applyFill="1" applyBorder="1" applyAlignment="1">
      <alignment horizontal="left"/>
    </xf>
    <xf numFmtId="0" fontId="7" fillId="22" borderId="8" xfId="0" applyFont="1" applyFill="1" applyBorder="1" applyAlignment="1">
      <alignment horizontal="left"/>
    </xf>
    <xf numFmtId="0" fontId="11" fillId="22" borderId="4" xfId="0" applyFont="1" applyFill="1" applyBorder="1" applyAlignment="1">
      <alignment horizontal="left"/>
    </xf>
    <xf numFmtId="165" fontId="7" fillId="22" borderId="4" xfId="2" applyNumberFormat="1" applyFont="1" applyFill="1" applyBorder="1" applyAlignment="1">
      <alignment horizontal="left"/>
    </xf>
    <xf numFmtId="0" fontId="40" fillId="49" borderId="0" xfId="0" applyFont="1" applyFill="1" applyBorder="1" applyAlignment="1">
      <alignment horizontal="left"/>
    </xf>
    <xf numFmtId="165" fontId="28" fillId="49" borderId="0" xfId="2" applyNumberFormat="1" applyFont="1" applyFill="1" applyBorder="1" applyAlignment="1">
      <alignment horizontal="left"/>
    </xf>
    <xf numFmtId="165" fontId="0" fillId="49" borderId="7" xfId="2" applyNumberFormat="1" applyFont="1" applyFill="1" applyBorder="1" applyAlignment="1">
      <alignment horizontal="left"/>
    </xf>
    <xf numFmtId="165" fontId="0" fillId="49" borderId="0" xfId="2" applyNumberFormat="1" applyFont="1" applyFill="1" applyBorder="1" applyAlignment="1">
      <alignment horizontal="left"/>
    </xf>
    <xf numFmtId="0" fontId="19" fillId="49" borderId="13" xfId="0" applyFont="1" applyFill="1" applyBorder="1" applyAlignment="1">
      <alignment horizontal="left"/>
    </xf>
    <xf numFmtId="0" fontId="0" fillId="49" borderId="6" xfId="0" applyFill="1" applyBorder="1" applyAlignment="1">
      <alignment horizontal="left"/>
    </xf>
    <xf numFmtId="0" fontId="40" fillId="49" borderId="14" xfId="0" applyFont="1" applyFill="1" applyBorder="1" applyAlignment="1">
      <alignment horizontal="left"/>
    </xf>
    <xf numFmtId="165" fontId="28" fillId="49" borderId="14" xfId="2" applyNumberFormat="1" applyFont="1" applyFill="1" applyBorder="1" applyAlignment="1">
      <alignment horizontal="left"/>
    </xf>
    <xf numFmtId="165" fontId="0" fillId="49" borderId="6" xfId="2" applyNumberFormat="1" applyFont="1" applyFill="1" applyBorder="1" applyAlignment="1">
      <alignment horizontal="left"/>
    </xf>
    <xf numFmtId="165" fontId="0" fillId="49" borderId="14" xfId="2" applyNumberFormat="1" applyFont="1" applyFill="1" applyBorder="1" applyAlignment="1">
      <alignment horizontal="left"/>
    </xf>
    <xf numFmtId="0" fontId="19" fillId="49" borderId="12" xfId="0" applyFont="1" applyFill="1" applyBorder="1" applyAlignment="1">
      <alignment horizontal="left"/>
    </xf>
    <xf numFmtId="0" fontId="0" fillId="49" borderId="8" xfId="0" applyFill="1" applyBorder="1" applyAlignment="1">
      <alignment horizontal="left"/>
    </xf>
    <xf numFmtId="0" fontId="40" fillId="49" borderId="4" xfId="0" applyFont="1" applyFill="1" applyBorder="1" applyAlignment="1">
      <alignment horizontal="left"/>
    </xf>
    <xf numFmtId="165" fontId="28" fillId="49" borderId="4" xfId="2" applyNumberFormat="1" applyFont="1" applyFill="1" applyBorder="1" applyAlignment="1">
      <alignment horizontal="left"/>
    </xf>
    <xf numFmtId="165" fontId="0" fillId="49" borderId="8" xfId="2" applyNumberFormat="1" applyFont="1" applyFill="1" applyBorder="1" applyAlignment="1">
      <alignment horizontal="left"/>
    </xf>
    <xf numFmtId="165" fontId="0" fillId="49" borderId="4" xfId="2" applyNumberFormat="1" applyFont="1" applyFill="1" applyBorder="1" applyAlignment="1">
      <alignment horizontal="left"/>
    </xf>
    <xf numFmtId="0" fontId="0" fillId="26" borderId="6" xfId="0" applyFill="1" applyBorder="1" applyAlignment="1">
      <alignment horizontal="left"/>
    </xf>
    <xf numFmtId="0" fontId="40" fillId="26" borderId="14" xfId="0" applyFont="1" applyFill="1" applyBorder="1" applyAlignment="1">
      <alignment horizontal="left"/>
    </xf>
    <xf numFmtId="165" fontId="28" fillId="26" borderId="14" xfId="2" applyNumberFormat="1" applyFont="1" applyFill="1" applyBorder="1" applyAlignment="1">
      <alignment horizontal="left"/>
    </xf>
    <xf numFmtId="165" fontId="0" fillId="26" borderId="6" xfId="2" applyNumberFormat="1" applyFont="1" applyFill="1" applyBorder="1" applyAlignment="1">
      <alignment horizontal="left"/>
    </xf>
    <xf numFmtId="165" fontId="0" fillId="26" borderId="14" xfId="2" applyNumberFormat="1" applyFont="1" applyFill="1" applyBorder="1" applyAlignment="1">
      <alignment horizontal="left"/>
    </xf>
    <xf numFmtId="0" fontId="0" fillId="26" borderId="8" xfId="0" applyFill="1" applyBorder="1" applyAlignment="1">
      <alignment horizontal="left"/>
    </xf>
    <xf numFmtId="165" fontId="28" fillId="26" borderId="4" xfId="2" applyNumberFormat="1" applyFont="1" applyFill="1" applyBorder="1" applyAlignment="1">
      <alignment horizontal="left"/>
    </xf>
    <xf numFmtId="165" fontId="0" fillId="26" borderId="4" xfId="2" applyNumberFormat="1" applyFont="1" applyFill="1" applyBorder="1" applyAlignment="1">
      <alignment horizontal="left"/>
    </xf>
    <xf numFmtId="0" fontId="0" fillId="25" borderId="6" xfId="0" applyFill="1" applyBorder="1" applyAlignment="1">
      <alignment horizontal="left"/>
    </xf>
    <xf numFmtId="0" fontId="40" fillId="25" borderId="14" xfId="0" applyFont="1" applyFill="1" applyBorder="1" applyAlignment="1">
      <alignment horizontal="left"/>
    </xf>
    <xf numFmtId="165" fontId="28" fillId="25" borderId="14" xfId="2" applyNumberFormat="1" applyFont="1" applyFill="1" applyBorder="1" applyAlignment="1">
      <alignment horizontal="left"/>
    </xf>
    <xf numFmtId="165" fontId="0" fillId="25" borderId="14" xfId="2" applyNumberFormat="1" applyFont="1" applyFill="1" applyBorder="1" applyAlignment="1">
      <alignment horizontal="left"/>
    </xf>
    <xf numFmtId="0" fontId="0" fillId="25" borderId="8" xfId="0" applyFill="1" applyBorder="1" applyAlignment="1">
      <alignment horizontal="left"/>
    </xf>
    <xf numFmtId="0" fontId="40" fillId="25" borderId="4" xfId="0" applyFont="1" applyFill="1" applyBorder="1" applyAlignment="1">
      <alignment horizontal="left"/>
    </xf>
    <xf numFmtId="165" fontId="28" fillId="25" borderId="4" xfId="2" applyNumberFormat="1" applyFont="1" applyFill="1" applyBorder="1" applyAlignment="1">
      <alignment horizontal="left"/>
    </xf>
    <xf numFmtId="165" fontId="0" fillId="25" borderId="4" xfId="2" applyNumberFormat="1" applyFont="1" applyFill="1" applyBorder="1" applyAlignment="1">
      <alignment horizontal="left"/>
    </xf>
    <xf numFmtId="0" fontId="0" fillId="38" borderId="7" xfId="0" applyFill="1" applyBorder="1" applyAlignment="1">
      <alignment horizontal="left"/>
    </xf>
    <xf numFmtId="165" fontId="28" fillId="38" borderId="0" xfId="2" applyNumberFormat="1" applyFont="1" applyFill="1" applyBorder="1" applyAlignment="1">
      <alignment horizontal="left"/>
    </xf>
    <xf numFmtId="165" fontId="0" fillId="38" borderId="0" xfId="2" applyNumberFormat="1" applyFont="1" applyFill="1" applyBorder="1" applyAlignment="1">
      <alignment horizontal="left"/>
    </xf>
    <xf numFmtId="165" fontId="28" fillId="27" borderId="0" xfId="2" applyNumberFormat="1" applyFont="1" applyFill="1" applyBorder="1" applyAlignment="1">
      <alignment horizontal="left"/>
    </xf>
    <xf numFmtId="165" fontId="0" fillId="27" borderId="0" xfId="2" applyNumberFormat="1" applyFont="1" applyFill="1" applyBorder="1" applyAlignment="1">
      <alignment horizontal="left"/>
    </xf>
    <xf numFmtId="0" fontId="0" fillId="27" borderId="8" xfId="0" applyFill="1" applyBorder="1" applyAlignment="1">
      <alignment horizontal="left"/>
    </xf>
    <xf numFmtId="0" fontId="40" fillId="27" borderId="4" xfId="0" applyFont="1" applyFill="1" applyBorder="1" applyAlignment="1">
      <alignment horizontal="left"/>
    </xf>
    <xf numFmtId="165" fontId="28" fillId="27" borderId="4" xfId="2" applyNumberFormat="1" applyFont="1" applyFill="1" applyBorder="1" applyAlignment="1">
      <alignment horizontal="left"/>
    </xf>
    <xf numFmtId="165" fontId="0" fillId="27" borderId="4" xfId="2" applyNumberFormat="1" applyFont="1" applyFill="1" applyBorder="1" applyAlignment="1">
      <alignment horizontal="left"/>
    </xf>
    <xf numFmtId="0" fontId="0" fillId="27" borderId="6" xfId="0" applyFill="1" applyBorder="1" applyAlignment="1">
      <alignment horizontal="left"/>
    </xf>
    <xf numFmtId="0" fontId="40" fillId="27" borderId="14" xfId="0" applyFont="1" applyFill="1" applyBorder="1" applyAlignment="1">
      <alignment horizontal="left"/>
    </xf>
    <xf numFmtId="165" fontId="28" fillId="27" borderId="14" xfId="2" applyNumberFormat="1" applyFont="1" applyFill="1" applyBorder="1" applyAlignment="1">
      <alignment horizontal="left"/>
    </xf>
    <xf numFmtId="165" fontId="0" fillId="27" borderId="6" xfId="2" applyNumberFormat="1" applyFont="1" applyFill="1" applyBorder="1" applyAlignment="1">
      <alignment horizontal="left"/>
    </xf>
    <xf numFmtId="165" fontId="0" fillId="27" borderId="14" xfId="2" applyNumberFormat="1" applyFont="1" applyFill="1" applyBorder="1" applyAlignment="1">
      <alignment horizontal="left"/>
    </xf>
    <xf numFmtId="0" fontId="19" fillId="43" borderId="13" xfId="0" applyFont="1" applyFill="1" applyBorder="1" applyAlignment="1">
      <alignment horizontal="left"/>
    </xf>
    <xf numFmtId="0" fontId="0" fillId="43" borderId="6" xfId="0" applyFill="1" applyBorder="1" applyAlignment="1">
      <alignment horizontal="left"/>
    </xf>
    <xf numFmtId="0" fontId="40" fillId="43" borderId="14" xfId="0" applyFont="1" applyFill="1" applyBorder="1" applyAlignment="1">
      <alignment horizontal="left"/>
    </xf>
    <xf numFmtId="165" fontId="28" fillId="43" borderId="14" xfId="2" applyNumberFormat="1" applyFont="1" applyFill="1" applyBorder="1" applyAlignment="1">
      <alignment horizontal="left"/>
    </xf>
    <xf numFmtId="165" fontId="0" fillId="43" borderId="6" xfId="2" applyNumberFormat="1" applyFont="1" applyFill="1" applyBorder="1" applyAlignment="1">
      <alignment horizontal="left"/>
    </xf>
    <xf numFmtId="165" fontId="0" fillId="43" borderId="14" xfId="2" applyNumberFormat="1" applyFont="1" applyFill="1" applyBorder="1" applyAlignment="1">
      <alignment horizontal="left"/>
    </xf>
    <xf numFmtId="0" fontId="0" fillId="43" borderId="7" xfId="0" applyFill="1" applyBorder="1" applyAlignment="1">
      <alignment horizontal="left"/>
    </xf>
    <xf numFmtId="165" fontId="28" fillId="43" borderId="0" xfId="2" applyNumberFormat="1" applyFont="1" applyFill="1" applyBorder="1" applyAlignment="1">
      <alignment horizontal="left"/>
    </xf>
    <xf numFmtId="165" fontId="0" fillId="43" borderId="7" xfId="2" applyNumberFormat="1" applyFont="1" applyFill="1" applyBorder="1" applyAlignment="1">
      <alignment horizontal="left"/>
    </xf>
    <xf numFmtId="165" fontId="0" fillId="43" borderId="0" xfId="2" applyNumberFormat="1" applyFont="1" applyFill="1" applyBorder="1" applyAlignment="1">
      <alignment horizontal="left"/>
    </xf>
    <xf numFmtId="0" fontId="0" fillId="43" borderId="8" xfId="0" applyFill="1" applyBorder="1" applyAlignment="1">
      <alignment horizontal="left"/>
    </xf>
    <xf numFmtId="165" fontId="28" fillId="43" borderId="4" xfId="2" applyNumberFormat="1" applyFont="1" applyFill="1" applyBorder="1" applyAlignment="1">
      <alignment horizontal="left"/>
    </xf>
    <xf numFmtId="165" fontId="0" fillId="43" borderId="8" xfId="2" applyNumberFormat="1" applyFont="1" applyFill="1" applyBorder="1" applyAlignment="1">
      <alignment horizontal="left"/>
    </xf>
    <xf numFmtId="165" fontId="0" fillId="43" borderId="4" xfId="2" applyNumberFormat="1" applyFont="1" applyFill="1" applyBorder="1" applyAlignment="1">
      <alignment horizontal="left"/>
    </xf>
    <xf numFmtId="0" fontId="0" fillId="40" borderId="7" xfId="0" applyFill="1" applyBorder="1" applyAlignment="1">
      <alignment horizontal="left"/>
    </xf>
    <xf numFmtId="165" fontId="28" fillId="40" borderId="0" xfId="2" applyNumberFormat="1" applyFont="1" applyFill="1" applyBorder="1" applyAlignment="1">
      <alignment horizontal="left"/>
    </xf>
    <xf numFmtId="165" fontId="0" fillId="40" borderId="0" xfId="2" applyNumberFormat="1" applyFont="1" applyFill="1" applyBorder="1" applyAlignment="1">
      <alignment horizontal="left"/>
    </xf>
    <xf numFmtId="0" fontId="17" fillId="43" borderId="6" xfId="0" applyFont="1" applyFill="1" applyBorder="1" applyAlignment="1">
      <alignment horizontal="left"/>
    </xf>
    <xf numFmtId="0" fontId="17" fillId="49" borderId="8" xfId="0" applyFont="1" applyFill="1" applyBorder="1" applyAlignment="1">
      <alignment horizontal="left"/>
    </xf>
    <xf numFmtId="165" fontId="28" fillId="25" borderId="0" xfId="2" applyNumberFormat="1" applyFont="1" applyFill="1" applyBorder="1" applyAlignment="1">
      <alignment horizontal="left"/>
    </xf>
    <xf numFmtId="165" fontId="0" fillId="25" borderId="0" xfId="2" applyNumberFormat="1" applyFont="1" applyFill="1" applyBorder="1" applyAlignment="1">
      <alignment horizontal="left"/>
    </xf>
    <xf numFmtId="165" fontId="28" fillId="26" borderId="0" xfId="2" applyNumberFormat="1" applyFont="1" applyFill="1" applyBorder="1" applyAlignment="1">
      <alignment horizontal="left"/>
    </xf>
    <xf numFmtId="165" fontId="0" fillId="26" borderId="0" xfId="2" applyNumberFormat="1" applyFont="1" applyFill="1" applyBorder="1" applyAlignment="1">
      <alignment horizontal="left"/>
    </xf>
    <xf numFmtId="0" fontId="17" fillId="49" borderId="7" xfId="0" applyFont="1" applyFill="1" applyBorder="1" applyAlignment="1">
      <alignment horizontal="left"/>
    </xf>
    <xf numFmtId="165" fontId="0" fillId="23" borderId="6" xfId="2" applyNumberFormat="1" applyFont="1" applyFill="1" applyBorder="1" applyAlignment="1">
      <alignment horizontal="left"/>
    </xf>
    <xf numFmtId="0" fontId="0" fillId="23" borderId="7" xfId="0" applyFill="1" applyBorder="1" applyAlignment="1">
      <alignment horizontal="left"/>
    </xf>
    <xf numFmtId="0" fontId="11" fillId="23" borderId="0" xfId="0" applyFont="1" applyFill="1" applyBorder="1" applyAlignment="1">
      <alignment horizontal="left" wrapText="1"/>
    </xf>
    <xf numFmtId="0" fontId="2" fillId="23" borderId="7" xfId="0" applyFont="1" applyFill="1" applyBorder="1" applyAlignment="1">
      <alignment horizontal="left"/>
    </xf>
    <xf numFmtId="165" fontId="2" fillId="23" borderId="0" xfId="2" applyNumberFormat="1" applyFont="1" applyFill="1" applyBorder="1" applyAlignment="1">
      <alignment horizontal="left"/>
    </xf>
    <xf numFmtId="165" fontId="0" fillId="23" borderId="7" xfId="2" applyNumberFormat="1" applyFont="1" applyFill="1" applyBorder="1" applyAlignment="1">
      <alignment horizontal="left"/>
    </xf>
    <xf numFmtId="165" fontId="0" fillId="23" borderId="0" xfId="2" applyNumberFormat="1" applyFont="1" applyFill="1" applyBorder="1" applyAlignment="1">
      <alignment horizontal="left"/>
    </xf>
    <xf numFmtId="0" fontId="11" fillId="23" borderId="0" xfId="0" applyFont="1" applyFill="1" applyBorder="1" applyAlignment="1">
      <alignment horizontal="left"/>
    </xf>
    <xf numFmtId="165" fontId="30" fillId="23" borderId="7" xfId="2" applyNumberFormat="1" applyFont="1" applyFill="1" applyBorder="1" applyAlignment="1">
      <alignment horizontal="left"/>
    </xf>
    <xf numFmtId="0" fontId="18" fillId="23" borderId="7" xfId="0" applyFont="1" applyFill="1" applyBorder="1"/>
    <xf numFmtId="165" fontId="28" fillId="23" borderId="0" xfId="2" applyNumberFormat="1" applyFont="1" applyFill="1" applyBorder="1" applyAlignment="1">
      <alignment horizontal="left"/>
    </xf>
    <xf numFmtId="0" fontId="21" fillId="23" borderId="12" xfId="0" applyFont="1" applyFill="1" applyBorder="1" applyAlignment="1">
      <alignment horizontal="left"/>
    </xf>
    <xf numFmtId="0" fontId="12" fillId="23" borderId="8" xfId="0" applyFont="1" applyFill="1" applyBorder="1" applyAlignment="1">
      <alignment horizontal="left"/>
    </xf>
    <xf numFmtId="165" fontId="0" fillId="23" borderId="8" xfId="2" applyNumberFormat="1" applyFont="1" applyFill="1" applyBorder="1" applyAlignment="1">
      <alignment horizontal="left"/>
    </xf>
    <xf numFmtId="165" fontId="0" fillId="23" borderId="4" xfId="2" applyNumberFormat="1" applyFont="1" applyFill="1" applyBorder="1" applyAlignment="1">
      <alignment horizontal="left"/>
    </xf>
    <xf numFmtId="0" fontId="11" fillId="23" borderId="4" xfId="0" applyFont="1" applyFill="1" applyBorder="1" applyAlignment="1">
      <alignment horizontal="left"/>
    </xf>
    <xf numFmtId="165" fontId="7" fillId="23" borderId="4" xfId="2" applyNumberFormat="1" applyFont="1" applyFill="1" applyBorder="1" applyAlignment="1">
      <alignment horizontal="left"/>
    </xf>
    <xf numFmtId="16" fontId="41" fillId="38" borderId="0" xfId="0" quotePrefix="1" applyNumberFormat="1" applyFont="1" applyFill="1" applyBorder="1" applyAlignment="1">
      <alignment horizontal="left"/>
    </xf>
    <xf numFmtId="165" fontId="4" fillId="38" borderId="0" xfId="2" applyNumberFormat="1" applyFont="1" applyFill="1" applyBorder="1" applyAlignment="1">
      <alignment horizontal="left"/>
    </xf>
    <xf numFmtId="165" fontId="4" fillId="38" borderId="7" xfId="2" applyNumberFormat="1" applyFont="1" applyFill="1" applyBorder="1" applyAlignment="1">
      <alignment horizontal="left"/>
    </xf>
    <xf numFmtId="0" fontId="18" fillId="22" borderId="7" xfId="0" applyFont="1" applyFill="1" applyBorder="1"/>
    <xf numFmtId="0" fontId="42" fillId="22" borderId="0" xfId="0" applyFont="1" applyFill="1" applyAlignment="1">
      <alignment horizontal="left"/>
    </xf>
    <xf numFmtId="165" fontId="30" fillId="22" borderId="7" xfId="2" applyNumberFormat="1" applyFont="1" applyFill="1" applyBorder="1" applyAlignment="1">
      <alignment horizontal="left"/>
    </xf>
    <xf numFmtId="0" fontId="40" fillId="22" borderId="0" xfId="0" applyFont="1" applyFill="1" applyAlignment="1">
      <alignment horizontal="left"/>
    </xf>
    <xf numFmtId="0" fontId="11" fillId="22" borderId="0" xfId="0" applyFont="1" applyFill="1" applyAlignment="1">
      <alignment horizontal="left"/>
    </xf>
    <xf numFmtId="0" fontId="0" fillId="22" borderId="7" xfId="0" applyFill="1" applyBorder="1" applyAlignment="1">
      <alignment horizontal="left"/>
    </xf>
    <xf numFmtId="0" fontId="0" fillId="37" borderId="7" xfId="0" applyFill="1" applyBorder="1" applyAlignment="1">
      <alignment horizontal="left"/>
    </xf>
    <xf numFmtId="0" fontId="41" fillId="37" borderId="0" xfId="0" applyFont="1" applyFill="1" applyBorder="1" applyAlignment="1">
      <alignment horizontal="left"/>
    </xf>
    <xf numFmtId="165" fontId="0" fillId="37" borderId="7" xfId="2" applyNumberFormat="1" applyFont="1" applyFill="1" applyBorder="1" applyAlignment="1">
      <alignment horizontal="left"/>
    </xf>
    <xf numFmtId="0" fontId="11" fillId="37" borderId="0" xfId="0" applyFont="1" applyFill="1" applyBorder="1" applyAlignment="1">
      <alignment horizontal="left"/>
    </xf>
    <xf numFmtId="0" fontId="2" fillId="37" borderId="7" xfId="0" applyFont="1" applyFill="1" applyBorder="1" applyAlignment="1">
      <alignment horizontal="left"/>
    </xf>
    <xf numFmtId="165" fontId="2" fillId="37" borderId="0" xfId="2" applyNumberFormat="1" applyFont="1" applyFill="1" applyBorder="1" applyAlignment="1">
      <alignment horizontal="left"/>
    </xf>
    <xf numFmtId="165" fontId="0" fillId="37" borderId="0" xfId="2" applyNumberFormat="1" applyFont="1" applyFill="1" applyBorder="1" applyAlignment="1">
      <alignment horizontal="left"/>
    </xf>
    <xf numFmtId="0" fontId="0" fillId="37" borderId="8" xfId="0" applyFill="1" applyBorder="1" applyAlignment="1">
      <alignment horizontal="left"/>
    </xf>
    <xf numFmtId="0" fontId="11" fillId="37" borderId="4" xfId="0" applyFont="1" applyFill="1" applyBorder="1" applyAlignment="1">
      <alignment horizontal="left"/>
    </xf>
    <xf numFmtId="0" fontId="2" fillId="37" borderId="8" xfId="0" applyFont="1" applyFill="1" applyBorder="1" applyAlignment="1">
      <alignment horizontal="left"/>
    </xf>
    <xf numFmtId="165" fontId="2" fillId="37" borderId="4" xfId="2" applyNumberFormat="1" applyFont="1" applyFill="1" applyBorder="1" applyAlignment="1">
      <alignment horizontal="left"/>
    </xf>
    <xf numFmtId="165" fontId="0" fillId="37" borderId="8" xfId="2" applyNumberFormat="1" applyFont="1" applyFill="1" applyBorder="1" applyAlignment="1">
      <alignment horizontal="left"/>
    </xf>
    <xf numFmtId="165" fontId="0" fillId="37" borderId="4" xfId="2" applyNumberFormat="1" applyFont="1" applyFill="1" applyBorder="1" applyAlignment="1">
      <alignment horizontal="left"/>
    </xf>
    <xf numFmtId="0" fontId="2" fillId="21" borderId="7" xfId="0" applyFont="1" applyFill="1" applyBorder="1" applyAlignment="1">
      <alignment horizontal="left"/>
    </xf>
    <xf numFmtId="0" fontId="42" fillId="21" borderId="0" xfId="0" applyFont="1" applyFill="1" applyBorder="1" applyAlignment="1">
      <alignment horizontal="left"/>
    </xf>
    <xf numFmtId="0" fontId="11" fillId="21" borderId="0" xfId="0" applyFont="1" applyFill="1" applyBorder="1" applyAlignment="1">
      <alignment horizontal="left"/>
    </xf>
    <xf numFmtId="0" fontId="0" fillId="21" borderId="7" xfId="0" applyFill="1" applyBorder="1" applyAlignment="1">
      <alignment horizontal="left"/>
    </xf>
    <xf numFmtId="165" fontId="28" fillId="21" borderId="0" xfId="2" applyNumberFormat="1" applyFont="1" applyFill="1" applyBorder="1" applyAlignment="1">
      <alignment horizontal="left"/>
    </xf>
    <xf numFmtId="165" fontId="0" fillId="21" borderId="7" xfId="2" applyNumberFormat="1" applyFont="1" applyFill="1" applyBorder="1" applyAlignment="1">
      <alignment horizontal="left"/>
    </xf>
    <xf numFmtId="165" fontId="0" fillId="21" borderId="0" xfId="2" applyNumberFormat="1" applyFont="1" applyFill="1" applyBorder="1" applyAlignment="1">
      <alignment horizontal="left"/>
    </xf>
    <xf numFmtId="0" fontId="2" fillId="21" borderId="8" xfId="0" applyFont="1" applyFill="1" applyBorder="1" applyAlignment="1">
      <alignment horizontal="left"/>
    </xf>
    <xf numFmtId="0" fontId="11" fillId="21" borderId="4" xfId="0" applyFont="1" applyFill="1" applyBorder="1" applyAlignment="1">
      <alignment horizontal="left"/>
    </xf>
    <xf numFmtId="0" fontId="0" fillId="21" borderId="8" xfId="0" applyFill="1" applyBorder="1" applyAlignment="1">
      <alignment horizontal="left"/>
    </xf>
    <xf numFmtId="165" fontId="28" fillId="21" borderId="4" xfId="2" applyNumberFormat="1" applyFont="1" applyFill="1" applyBorder="1" applyAlignment="1">
      <alignment horizontal="left"/>
    </xf>
    <xf numFmtId="165" fontId="0" fillId="21" borderId="8" xfId="2" applyNumberFormat="1" applyFont="1" applyFill="1" applyBorder="1" applyAlignment="1">
      <alignment horizontal="left"/>
    </xf>
    <xf numFmtId="165" fontId="0" fillId="21" borderId="4" xfId="2" applyNumberFormat="1" applyFont="1" applyFill="1" applyBorder="1" applyAlignment="1">
      <alignment horizontal="left"/>
    </xf>
    <xf numFmtId="0" fontId="19" fillId="20" borderId="13" xfId="0" applyFont="1" applyFill="1" applyBorder="1" applyAlignment="1">
      <alignment horizontal="left"/>
    </xf>
    <xf numFmtId="0" fontId="17" fillId="20" borderId="6" xfId="0" applyFont="1" applyFill="1" applyBorder="1" applyAlignment="1">
      <alignment horizontal="left"/>
    </xf>
    <xf numFmtId="0" fontId="44" fillId="20" borderId="14" xfId="0" applyFont="1" applyFill="1" applyBorder="1" applyAlignment="1">
      <alignment horizontal="left"/>
    </xf>
    <xf numFmtId="0" fontId="30" fillId="20" borderId="6" xfId="0" applyFont="1" applyFill="1" applyBorder="1" applyAlignment="1">
      <alignment horizontal="left"/>
    </xf>
    <xf numFmtId="165" fontId="30" fillId="20" borderId="14" xfId="2" applyNumberFormat="1" applyFont="1" applyFill="1" applyBorder="1" applyAlignment="1">
      <alignment horizontal="left"/>
    </xf>
    <xf numFmtId="165" fontId="30" fillId="20" borderId="6" xfId="2" applyNumberFormat="1" applyFont="1" applyFill="1" applyBorder="1" applyAlignment="1">
      <alignment horizontal="left"/>
    </xf>
    <xf numFmtId="0" fontId="11" fillId="20" borderId="0" xfId="0" applyFont="1" applyFill="1" applyBorder="1" applyAlignment="1">
      <alignment horizontal="left"/>
    </xf>
    <xf numFmtId="0" fontId="41" fillId="20" borderId="0" xfId="0" applyFont="1" applyFill="1" applyBorder="1" applyAlignment="1">
      <alignment horizontal="left"/>
    </xf>
    <xf numFmtId="0" fontId="4" fillId="20" borderId="7" xfId="0" applyFont="1" applyFill="1" applyBorder="1" applyAlignment="1">
      <alignment horizontal="left"/>
    </xf>
    <xf numFmtId="165" fontId="4" fillId="20" borderId="0" xfId="2" applyNumberFormat="1" applyFont="1" applyFill="1" applyBorder="1" applyAlignment="1">
      <alignment horizontal="left"/>
    </xf>
    <xf numFmtId="165" fontId="4" fillId="20" borderId="7" xfId="2" applyNumberFormat="1" applyFont="1" applyFill="1" applyBorder="1" applyAlignment="1">
      <alignment horizontal="left"/>
    </xf>
    <xf numFmtId="0" fontId="0" fillId="20" borderId="8" xfId="0" applyFill="1" applyBorder="1" applyAlignment="1">
      <alignment horizontal="left"/>
    </xf>
    <xf numFmtId="0" fontId="11" fillId="20" borderId="4" xfId="0" applyFont="1" applyFill="1" applyBorder="1" applyAlignment="1">
      <alignment horizontal="left"/>
    </xf>
    <xf numFmtId="0" fontId="2" fillId="20" borderId="8" xfId="0" applyFont="1" applyFill="1" applyBorder="1" applyAlignment="1">
      <alignment horizontal="left"/>
    </xf>
    <xf numFmtId="165" fontId="28" fillId="20" borderId="4" xfId="2" applyNumberFormat="1" applyFont="1" applyFill="1" applyBorder="1" applyAlignment="1">
      <alignment horizontal="left"/>
    </xf>
    <xf numFmtId="165" fontId="0" fillId="20" borderId="8" xfId="2" applyNumberFormat="1" applyFont="1" applyFill="1" applyBorder="1" applyAlignment="1">
      <alignment horizontal="left"/>
    </xf>
    <xf numFmtId="165" fontId="0" fillId="20" borderId="4" xfId="2" applyNumberFormat="1" applyFont="1" applyFill="1" applyBorder="1" applyAlignment="1">
      <alignment horizontal="left"/>
    </xf>
    <xf numFmtId="0" fontId="40" fillId="21" borderId="0" xfId="0" applyFont="1" applyFill="1" applyBorder="1" applyAlignment="1">
      <alignment horizontal="left"/>
    </xf>
    <xf numFmtId="0" fontId="20" fillId="0" borderId="1" xfId="0" applyFont="1" applyBorder="1" applyAlignment="1">
      <alignment horizontal="left"/>
    </xf>
    <xf numFmtId="0" fontId="4" fillId="0" borderId="0" xfId="0" applyFont="1" applyBorder="1" applyAlignment="1">
      <alignment horizontal="left"/>
    </xf>
    <xf numFmtId="0" fontId="44" fillId="0" borderId="0" xfId="0" applyFont="1" applyBorder="1" applyAlignment="1">
      <alignment horizontal="left"/>
    </xf>
    <xf numFmtId="165" fontId="4" fillId="0" borderId="0" xfId="2" applyNumberFormat="1" applyFont="1" applyBorder="1" applyAlignment="1">
      <alignment horizontal="left"/>
    </xf>
    <xf numFmtId="165" fontId="4" fillId="0" borderId="11" xfId="2" applyNumberFormat="1" applyFont="1" applyBorder="1" applyAlignment="1">
      <alignment horizontal="left"/>
    </xf>
    <xf numFmtId="0" fontId="7" fillId="23" borderId="1" xfId="0" applyFont="1" applyFill="1" applyBorder="1" applyAlignment="1">
      <alignment horizontal="left"/>
    </xf>
    <xf numFmtId="0" fontId="11" fillId="23" borderId="6" xfId="0" applyFont="1" applyFill="1" applyBorder="1" applyAlignment="1">
      <alignment horizontal="left"/>
    </xf>
    <xf numFmtId="0" fontId="7" fillId="23" borderId="11" xfId="0" applyFont="1" applyFill="1" applyBorder="1" applyAlignment="1">
      <alignment horizontal="left"/>
    </xf>
    <xf numFmtId="165" fontId="7" fillId="23" borderId="0" xfId="2" applyNumberFormat="1" applyFont="1" applyFill="1" applyBorder="1" applyAlignment="1">
      <alignment horizontal="left"/>
    </xf>
    <xf numFmtId="165" fontId="7" fillId="23" borderId="7" xfId="2" applyNumberFormat="1" applyFont="1" applyFill="1" applyBorder="1" applyAlignment="1">
      <alignment horizontal="left"/>
    </xf>
    <xf numFmtId="0" fontId="11" fillId="18" borderId="14" xfId="0" applyFont="1" applyFill="1" applyBorder="1" applyAlignment="1">
      <alignment horizontal="left"/>
    </xf>
    <xf numFmtId="165" fontId="28" fillId="18" borderId="14" xfId="2" applyNumberFormat="1" applyFont="1" applyFill="1" applyBorder="1" applyAlignment="1">
      <alignment horizontal="left"/>
    </xf>
    <xf numFmtId="0" fontId="0" fillId="18" borderId="8" xfId="0" applyFill="1" applyBorder="1" applyAlignment="1">
      <alignment horizontal="left"/>
    </xf>
    <xf numFmtId="165" fontId="28" fillId="18" borderId="4" xfId="2" applyNumberFormat="1" applyFont="1" applyFill="1" applyBorder="1" applyAlignment="1">
      <alignment horizontal="left"/>
    </xf>
    <xf numFmtId="0" fontId="17" fillId="18" borderId="6" xfId="0" applyFont="1" applyFill="1" applyBorder="1" applyAlignment="1">
      <alignment horizontal="left"/>
    </xf>
    <xf numFmtId="0" fontId="11" fillId="3" borderId="8" xfId="0" applyFont="1" applyFill="1" applyBorder="1" applyAlignment="1">
      <alignment horizontal="left" wrapText="1"/>
    </xf>
    <xf numFmtId="165" fontId="4" fillId="37" borderId="0" xfId="2" applyNumberFormat="1" applyFont="1" applyFill="1" applyBorder="1" applyAlignment="1">
      <alignment horizontal="left"/>
    </xf>
    <xf numFmtId="165" fontId="4" fillId="37" borderId="7" xfId="2" applyNumberFormat="1" applyFont="1" applyFill="1" applyBorder="1" applyAlignment="1">
      <alignment horizontal="left"/>
    </xf>
    <xf numFmtId="0" fontId="65" fillId="0" borderId="0" xfId="0" applyFont="1" applyFill="1" applyAlignment="1">
      <alignment horizontal="left"/>
    </xf>
    <xf numFmtId="0" fontId="11" fillId="20" borderId="0" xfId="0" applyFont="1" applyFill="1" applyAlignment="1">
      <alignment horizontal="left"/>
    </xf>
    <xf numFmtId="0" fontId="11" fillId="20" borderId="0" xfId="0" applyFont="1" applyFill="1" applyAlignment="1">
      <alignment horizontal="left" wrapText="1"/>
    </xf>
    <xf numFmtId="0" fontId="0" fillId="39" borderId="1" xfId="0" applyFill="1" applyBorder="1" applyAlignment="1">
      <alignment horizontal="left"/>
    </xf>
    <xf numFmtId="0" fontId="42" fillId="39" borderId="7" xfId="0" applyFont="1" applyFill="1" applyBorder="1" applyAlignment="1">
      <alignment horizontal="left"/>
    </xf>
    <xf numFmtId="0" fontId="30" fillId="39" borderId="11" xfId="0" applyFont="1" applyFill="1" applyBorder="1" applyAlignment="1">
      <alignment horizontal="left"/>
    </xf>
    <xf numFmtId="0" fontId="11" fillId="39" borderId="7" xfId="0" applyFont="1" applyFill="1" applyBorder="1" applyAlignment="1">
      <alignment horizontal="left" wrapText="1"/>
    </xf>
    <xf numFmtId="0" fontId="2" fillId="39" borderId="11" xfId="0" applyFont="1" applyFill="1" applyBorder="1" applyAlignment="1">
      <alignment horizontal="left"/>
    </xf>
    <xf numFmtId="165" fontId="0" fillId="39" borderId="0" xfId="2" applyNumberFormat="1" applyFont="1" applyFill="1" applyBorder="1" applyAlignment="1">
      <alignment horizontal="left"/>
    </xf>
    <xf numFmtId="16" fontId="11" fillId="39" borderId="7" xfId="0" applyNumberFormat="1" applyFont="1" applyFill="1" applyBorder="1" applyAlignment="1">
      <alignment horizontal="left"/>
    </xf>
    <xf numFmtId="0" fontId="0" fillId="39" borderId="11" xfId="0" applyFill="1" applyBorder="1" applyAlignment="1">
      <alignment horizontal="left"/>
    </xf>
    <xf numFmtId="0" fontId="0" fillId="39" borderId="12" xfId="0" applyFill="1" applyBorder="1" applyAlignment="1">
      <alignment horizontal="left"/>
    </xf>
    <xf numFmtId="0" fontId="11" fillId="39" borderId="8" xfId="0" applyFont="1" applyFill="1" applyBorder="1" applyAlignment="1">
      <alignment horizontal="left"/>
    </xf>
    <xf numFmtId="0" fontId="0" fillId="39" borderId="10" xfId="0" applyFill="1" applyBorder="1" applyAlignment="1">
      <alignment horizontal="left"/>
    </xf>
    <xf numFmtId="165" fontId="0" fillId="39" borderId="4" xfId="2" applyNumberFormat="1" applyFont="1" applyFill="1" applyBorder="1" applyAlignment="1">
      <alignment horizontal="left"/>
    </xf>
    <xf numFmtId="0" fontId="11" fillId="23" borderId="0" xfId="0" applyFont="1" applyFill="1" applyAlignment="1">
      <alignment horizontal="left"/>
    </xf>
    <xf numFmtId="0" fontId="18" fillId="22" borderId="8" xfId="0" applyFont="1" applyFill="1" applyBorder="1"/>
    <xf numFmtId="0" fontId="0" fillId="22" borderId="8" xfId="0" applyFill="1" applyBorder="1" applyAlignment="1">
      <alignment horizontal="left"/>
    </xf>
    <xf numFmtId="165" fontId="28" fillId="22" borderId="4" xfId="2" applyNumberFormat="1" applyFont="1" applyFill="1" applyBorder="1" applyAlignment="1">
      <alignment horizontal="left"/>
    </xf>
    <xf numFmtId="165" fontId="0" fillId="22" borderId="4" xfId="2" applyNumberFormat="1" applyFont="1" applyFill="1" applyBorder="1" applyAlignment="1">
      <alignment horizontal="left"/>
    </xf>
    <xf numFmtId="0" fontId="4" fillId="23" borderId="7" xfId="0" applyFont="1" applyFill="1" applyBorder="1" applyAlignment="1">
      <alignment horizontal="left"/>
    </xf>
    <xf numFmtId="0" fontId="41" fillId="23" borderId="0" xfId="0" applyFont="1" applyFill="1" applyAlignment="1">
      <alignment horizontal="left"/>
    </xf>
    <xf numFmtId="0" fontId="41" fillId="24" borderId="0" xfId="0" applyFont="1" applyFill="1" applyBorder="1" applyAlignment="1">
      <alignment horizontal="left"/>
    </xf>
    <xf numFmtId="0" fontId="4" fillId="24" borderId="7" xfId="0" applyFont="1" applyFill="1" applyBorder="1" applyAlignment="1">
      <alignment horizontal="left"/>
    </xf>
    <xf numFmtId="165" fontId="4" fillId="24" borderId="0" xfId="2" applyNumberFormat="1" applyFont="1" applyFill="1" applyBorder="1" applyAlignment="1">
      <alignment horizontal="left"/>
    </xf>
    <xf numFmtId="165" fontId="4" fillId="24" borderId="7" xfId="2" applyNumberFormat="1" applyFont="1" applyFill="1" applyBorder="1" applyAlignment="1">
      <alignment horizontal="left"/>
    </xf>
    <xf numFmtId="16" fontId="41" fillId="26" borderId="0" xfId="0" quotePrefix="1" applyNumberFormat="1" applyFont="1" applyFill="1" applyBorder="1" applyAlignment="1">
      <alignment horizontal="left"/>
    </xf>
    <xf numFmtId="0" fontId="4" fillId="38" borderId="7" xfId="0" applyFont="1" applyFill="1" applyBorder="1" applyAlignment="1">
      <alignment horizontal="left"/>
    </xf>
    <xf numFmtId="0" fontId="17" fillId="19" borderId="7" xfId="3" applyFont="1" applyFill="1" applyBorder="1"/>
    <xf numFmtId="0" fontId="27" fillId="19" borderId="7" xfId="0" applyFont="1" applyFill="1" applyBorder="1" applyAlignment="1">
      <alignment horizontal="left"/>
    </xf>
    <xf numFmtId="0" fontId="27" fillId="44" borderId="7" xfId="0" applyFont="1" applyFill="1" applyBorder="1" applyAlignment="1">
      <alignment horizontal="left"/>
    </xf>
    <xf numFmtId="0" fontId="27" fillId="26" borderId="7" xfId="0" applyFont="1" applyFill="1" applyBorder="1" applyAlignment="1">
      <alignment horizontal="left"/>
    </xf>
    <xf numFmtId="0" fontId="27" fillId="28" borderId="7" xfId="0" applyFont="1" applyFill="1" applyBorder="1" applyAlignment="1">
      <alignment horizontal="left"/>
    </xf>
    <xf numFmtId="0" fontId="17" fillId="19" borderId="5" xfId="0" applyFont="1" applyFill="1" applyBorder="1" applyAlignment="1">
      <alignment horizontal="left"/>
    </xf>
    <xf numFmtId="0" fontId="40" fillId="19" borderId="5" xfId="0" applyFont="1" applyFill="1" applyBorder="1" applyAlignment="1">
      <alignment horizontal="left"/>
    </xf>
    <xf numFmtId="165" fontId="17" fillId="19" borderId="5" xfId="2" applyNumberFormat="1" applyFont="1" applyFill="1" applyBorder="1" applyAlignment="1">
      <alignment horizontal="left"/>
    </xf>
    <xf numFmtId="0" fontId="17" fillId="44" borderId="5" xfId="0" applyFont="1" applyFill="1" applyBorder="1" applyAlignment="1">
      <alignment horizontal="left"/>
    </xf>
    <xf numFmtId="0" fontId="40" fillId="44" borderId="5" xfId="0" applyFont="1" applyFill="1" applyBorder="1" applyAlignment="1">
      <alignment horizontal="left"/>
    </xf>
    <xf numFmtId="165" fontId="17" fillId="44" borderId="5" xfId="2" applyNumberFormat="1" applyFont="1" applyFill="1" applyBorder="1" applyAlignment="1">
      <alignment horizontal="left"/>
    </xf>
    <xf numFmtId="0" fontId="17" fillId="26" borderId="5" xfId="0" applyFont="1" applyFill="1" applyBorder="1" applyAlignment="1">
      <alignment horizontal="left"/>
    </xf>
    <xf numFmtId="0" fontId="40" fillId="26" borderId="5" xfId="0" applyFont="1" applyFill="1" applyBorder="1" applyAlignment="1">
      <alignment horizontal="left"/>
    </xf>
    <xf numFmtId="165" fontId="17" fillId="26" borderId="5" xfId="2" applyNumberFormat="1" applyFont="1" applyFill="1" applyBorder="1" applyAlignment="1">
      <alignment horizontal="left"/>
    </xf>
    <xf numFmtId="0" fontId="39" fillId="39" borderId="1" xfId="0" applyFont="1" applyFill="1" applyBorder="1" applyAlignment="1">
      <alignment horizontal="left"/>
    </xf>
    <xf numFmtId="165" fontId="17" fillId="39" borderId="10" xfId="2" applyNumberFormat="1" applyFont="1" applyFill="1" applyBorder="1" applyAlignment="1">
      <alignment horizontal="left"/>
    </xf>
    <xf numFmtId="0" fontId="19" fillId="38" borderId="6" xfId="0" applyFont="1" applyFill="1" applyBorder="1" applyAlignment="1">
      <alignment horizontal="left"/>
    </xf>
    <xf numFmtId="0" fontId="0" fillId="38" borderId="15" xfId="0" applyFill="1" applyBorder="1" applyAlignment="1">
      <alignment horizontal="left"/>
    </xf>
    <xf numFmtId="0" fontId="0" fillId="38" borderId="0" xfId="0" applyFill="1" applyBorder="1" applyAlignment="1">
      <alignment horizontal="left"/>
    </xf>
    <xf numFmtId="165" fontId="28" fillId="38" borderId="6" xfId="2" applyNumberFormat="1" applyFont="1" applyFill="1" applyBorder="1" applyAlignment="1">
      <alignment horizontal="left"/>
    </xf>
    <xf numFmtId="165" fontId="2" fillId="38" borderId="6" xfId="2" applyNumberFormat="1" applyFont="1" applyFill="1" applyBorder="1" applyAlignment="1">
      <alignment horizontal="left"/>
    </xf>
    <xf numFmtId="165" fontId="0" fillId="38" borderId="6" xfId="2" applyNumberFormat="1" applyFont="1" applyFill="1" applyBorder="1" applyAlignment="1">
      <alignment horizontal="left"/>
    </xf>
    <xf numFmtId="0" fontId="19" fillId="38" borderId="7" xfId="0" applyFont="1" applyFill="1" applyBorder="1" applyAlignment="1">
      <alignment horizontal="left"/>
    </xf>
    <xf numFmtId="0" fontId="2" fillId="38" borderId="0" xfId="0" applyFont="1" applyFill="1" applyBorder="1" applyAlignment="1">
      <alignment horizontal="left"/>
    </xf>
    <xf numFmtId="165" fontId="28" fillId="38" borderId="7" xfId="2" applyNumberFormat="1" applyFont="1" applyFill="1" applyBorder="1" applyAlignment="1">
      <alignment horizontal="left"/>
    </xf>
    <xf numFmtId="0" fontId="5" fillId="18" borderId="5" xfId="0" applyFont="1" applyFill="1" applyBorder="1"/>
    <xf numFmtId="165" fontId="5" fillId="18" borderId="5" xfId="2" applyNumberFormat="1" applyFont="1" applyFill="1" applyBorder="1"/>
    <xf numFmtId="0" fontId="19" fillId="54" borderId="1" xfId="0" applyFont="1" applyFill="1" applyBorder="1" applyAlignment="1">
      <alignment horizontal="left"/>
    </xf>
    <xf numFmtId="0" fontId="11" fillId="54" borderId="7" xfId="0" applyFont="1" applyFill="1" applyBorder="1" applyAlignment="1">
      <alignment horizontal="left"/>
    </xf>
    <xf numFmtId="165" fontId="2" fillId="54" borderId="7" xfId="2" applyNumberFormat="1" applyFont="1" applyFill="1" applyBorder="1" applyAlignment="1">
      <alignment horizontal="left"/>
    </xf>
    <xf numFmtId="165" fontId="2" fillId="54" borderId="11" xfId="2" applyNumberFormat="1" applyFont="1" applyFill="1" applyBorder="1" applyAlignment="1">
      <alignment horizontal="left"/>
    </xf>
    <xf numFmtId="165" fontId="0" fillId="54" borderId="0" xfId="2" applyNumberFormat="1" applyFont="1" applyFill="1" applyBorder="1" applyAlignment="1">
      <alignment horizontal="left"/>
    </xf>
    <xf numFmtId="165" fontId="0" fillId="54" borderId="7" xfId="2" applyNumberFormat="1" applyFont="1" applyFill="1" applyBorder="1" applyAlignment="1">
      <alignment horizontal="left"/>
    </xf>
    <xf numFmtId="0" fontId="17" fillId="54" borderId="1" xfId="0" applyFont="1" applyFill="1" applyBorder="1" applyAlignment="1">
      <alignment horizontal="left"/>
    </xf>
    <xf numFmtId="0" fontId="17" fillId="54" borderId="0" xfId="0" applyFont="1" applyFill="1" applyBorder="1" applyAlignment="1">
      <alignment horizontal="left"/>
    </xf>
    <xf numFmtId="0" fontId="11" fillId="40" borderId="14" xfId="0" applyFont="1" applyFill="1" applyBorder="1" applyAlignment="1">
      <alignment horizontal="left"/>
    </xf>
    <xf numFmtId="0" fontId="20" fillId="40" borderId="1" xfId="0" applyFont="1" applyFill="1" applyBorder="1" applyAlignment="1">
      <alignment horizontal="left"/>
    </xf>
    <xf numFmtId="0" fontId="20" fillId="40" borderId="12" xfId="0" applyFont="1" applyFill="1" applyBorder="1" applyAlignment="1">
      <alignment horizontal="left"/>
    </xf>
    <xf numFmtId="0" fontId="4" fillId="40" borderId="7" xfId="0" applyFont="1" applyFill="1" applyBorder="1" applyAlignment="1">
      <alignment horizontal="left"/>
    </xf>
    <xf numFmtId="0" fontId="4" fillId="40" borderId="8" xfId="0" applyFont="1" applyFill="1" applyBorder="1" applyAlignment="1">
      <alignment horizontal="left"/>
    </xf>
    <xf numFmtId="0" fontId="39" fillId="40" borderId="13" xfId="0" applyFont="1" applyFill="1" applyBorder="1" applyAlignment="1">
      <alignment horizontal="left"/>
    </xf>
    <xf numFmtId="165" fontId="17" fillId="40" borderId="14" xfId="2" applyNumberFormat="1" applyFont="1" applyFill="1" applyBorder="1" applyAlignment="1">
      <alignment horizontal="left"/>
    </xf>
    <xf numFmtId="0" fontId="17" fillId="26" borderId="6" xfId="0" applyFont="1" applyFill="1" applyBorder="1"/>
    <xf numFmtId="0" fontId="17" fillId="26" borderId="7" xfId="0" applyFont="1" applyFill="1" applyBorder="1"/>
    <xf numFmtId="0" fontId="23" fillId="26" borderId="12" xfId="0" applyFont="1" applyFill="1" applyBorder="1" applyAlignment="1">
      <alignment horizontal="left"/>
    </xf>
    <xf numFmtId="165" fontId="27" fillId="20" borderId="0" xfId="2" applyNumberFormat="1" applyFont="1" applyFill="1" applyBorder="1" applyAlignment="1">
      <alignment horizontal="left"/>
    </xf>
    <xf numFmtId="0" fontId="44" fillId="0" borderId="14" xfId="0" applyFont="1" applyBorder="1" applyAlignment="1">
      <alignment horizontal="left"/>
    </xf>
    <xf numFmtId="0" fontId="19" fillId="37" borderId="2" xfId="0" applyFont="1" applyFill="1" applyBorder="1" applyAlignment="1">
      <alignment horizontal="left"/>
    </xf>
    <xf numFmtId="0" fontId="7" fillId="37" borderId="2" xfId="0" applyFont="1" applyFill="1" applyBorder="1" applyAlignment="1">
      <alignment horizontal="left"/>
    </xf>
    <xf numFmtId="0" fontId="11" fillId="37" borderId="5" xfId="0" applyFont="1" applyFill="1" applyBorder="1" applyAlignment="1">
      <alignment horizontal="left"/>
    </xf>
    <xf numFmtId="0" fontId="7" fillId="37" borderId="9" xfId="0" applyFont="1" applyFill="1" applyBorder="1" applyAlignment="1">
      <alignment horizontal="left"/>
    </xf>
    <xf numFmtId="165" fontId="7" fillId="37" borderId="3" xfId="2" applyNumberFormat="1" applyFont="1" applyFill="1" applyBorder="1" applyAlignment="1">
      <alignment horizontal="left"/>
    </xf>
    <xf numFmtId="165" fontId="7" fillId="37" borderId="5" xfId="2" applyNumberFormat="1" applyFont="1" applyFill="1" applyBorder="1" applyAlignment="1">
      <alignment horizontal="left"/>
    </xf>
    <xf numFmtId="0" fontId="41" fillId="25" borderId="0" xfId="0" applyFont="1" applyFill="1" applyBorder="1" applyAlignment="1">
      <alignment horizontal="left"/>
    </xf>
    <xf numFmtId="0" fontId="4" fillId="25" borderId="7" xfId="0" applyFont="1" applyFill="1" applyBorder="1" applyAlignment="1">
      <alignment horizontal="left"/>
    </xf>
    <xf numFmtId="0" fontId="41" fillId="40" borderId="0" xfId="0" applyFont="1" applyFill="1" applyBorder="1" applyAlignment="1">
      <alignment horizontal="left"/>
    </xf>
    <xf numFmtId="0" fontId="17" fillId="24" borderId="1" xfId="0" applyFont="1" applyFill="1" applyBorder="1"/>
    <xf numFmtId="0" fontId="17" fillId="24" borderId="13" xfId="0" applyFont="1" applyFill="1" applyBorder="1"/>
    <xf numFmtId="0" fontId="30" fillId="24" borderId="15" xfId="0" applyFont="1" applyFill="1" applyBorder="1" applyAlignment="1">
      <alignment horizontal="left"/>
    </xf>
    <xf numFmtId="0" fontId="42" fillId="24" borderId="6" xfId="0" applyFont="1" applyFill="1" applyBorder="1" applyAlignment="1">
      <alignment horizontal="left"/>
    </xf>
    <xf numFmtId="0" fontId="40" fillId="24" borderId="7" xfId="0" applyFont="1" applyFill="1" applyBorder="1" applyAlignment="1">
      <alignment horizontal="left" wrapText="1"/>
    </xf>
    <xf numFmtId="0" fontId="41" fillId="24" borderId="7" xfId="0" applyFont="1" applyFill="1" applyBorder="1" applyAlignment="1">
      <alignment horizontal="left"/>
    </xf>
    <xf numFmtId="0" fontId="4" fillId="24" borderId="11" xfId="0" applyFont="1" applyFill="1" applyBorder="1" applyAlignment="1">
      <alignment horizontal="left"/>
    </xf>
    <xf numFmtId="0" fontId="41" fillId="41" borderId="0" xfId="0" applyFont="1" applyFill="1" applyBorder="1" applyAlignment="1">
      <alignment horizontal="left"/>
    </xf>
    <xf numFmtId="0" fontId="4" fillId="41" borderId="7" xfId="0" applyFont="1" applyFill="1" applyBorder="1" applyAlignment="1">
      <alignment horizontal="left"/>
    </xf>
    <xf numFmtId="165" fontId="4" fillId="41" borderId="0" xfId="2" applyNumberFormat="1" applyFont="1" applyFill="1" applyBorder="1" applyAlignment="1">
      <alignment horizontal="left"/>
    </xf>
    <xf numFmtId="165" fontId="4" fillId="41" borderId="7" xfId="2" applyNumberFormat="1" applyFont="1" applyFill="1" applyBorder="1" applyAlignment="1">
      <alignment horizontal="left"/>
    </xf>
    <xf numFmtId="0" fontId="11" fillId="20" borderId="7" xfId="0" applyFont="1" applyFill="1" applyBorder="1" applyAlignment="1">
      <alignment horizontal="left"/>
    </xf>
    <xf numFmtId="165" fontId="2" fillId="20" borderId="7" xfId="2" applyNumberFormat="1" applyFont="1" applyFill="1" applyBorder="1" applyAlignment="1">
      <alignment horizontal="left"/>
    </xf>
    <xf numFmtId="165" fontId="2" fillId="20" borderId="11" xfId="2" applyNumberFormat="1" applyFont="1" applyFill="1" applyBorder="1" applyAlignment="1">
      <alignment horizontal="left"/>
    </xf>
    <xf numFmtId="0" fontId="19" fillId="55" borderId="1" xfId="0" applyFont="1" applyFill="1" applyBorder="1" applyAlignment="1">
      <alignment horizontal="left"/>
    </xf>
    <xf numFmtId="0" fontId="17" fillId="55" borderId="1" xfId="0" applyFont="1" applyFill="1" applyBorder="1" applyAlignment="1">
      <alignment horizontal="left"/>
    </xf>
    <xf numFmtId="0" fontId="11" fillId="55" borderId="7" xfId="0" applyFont="1" applyFill="1" applyBorder="1" applyAlignment="1">
      <alignment horizontal="left"/>
    </xf>
    <xf numFmtId="0" fontId="2" fillId="55" borderId="0" xfId="0" applyFont="1" applyFill="1" applyBorder="1" applyAlignment="1">
      <alignment horizontal="left"/>
    </xf>
    <xf numFmtId="165" fontId="2" fillId="55" borderId="7" xfId="2" applyNumberFormat="1" applyFont="1" applyFill="1" applyBorder="1" applyAlignment="1">
      <alignment horizontal="left"/>
    </xf>
    <xf numFmtId="165" fontId="2" fillId="55" borderId="11" xfId="2" applyNumberFormat="1" applyFont="1" applyFill="1" applyBorder="1" applyAlignment="1">
      <alignment horizontal="left"/>
    </xf>
    <xf numFmtId="165" fontId="0" fillId="55" borderId="0" xfId="2" applyNumberFormat="1" applyFont="1" applyFill="1" applyBorder="1" applyAlignment="1">
      <alignment horizontal="left"/>
    </xf>
    <xf numFmtId="165" fontId="0" fillId="55" borderId="7" xfId="2" applyNumberFormat="1" applyFont="1" applyFill="1" applyBorder="1" applyAlignment="1">
      <alignment horizontal="left"/>
    </xf>
    <xf numFmtId="0" fontId="2" fillId="55" borderId="1" xfId="0" applyFont="1" applyFill="1" applyBorder="1" applyAlignment="1">
      <alignment horizontal="left"/>
    </xf>
    <xf numFmtId="0" fontId="17" fillId="55" borderId="7" xfId="0" applyFont="1" applyFill="1" applyBorder="1" applyAlignment="1">
      <alignment horizontal="left"/>
    </xf>
    <xf numFmtId="0" fontId="11" fillId="55" borderId="0" xfId="0" applyFont="1" applyFill="1" applyBorder="1" applyAlignment="1">
      <alignment horizontal="left"/>
    </xf>
    <xf numFmtId="0" fontId="2" fillId="37" borderId="1" xfId="0" applyFont="1" applyFill="1" applyBorder="1" applyAlignment="1">
      <alignment horizontal="left"/>
    </xf>
    <xf numFmtId="0" fontId="11" fillId="37" borderId="7" xfId="0" applyFont="1" applyFill="1" applyBorder="1" applyAlignment="1">
      <alignment horizontal="left"/>
    </xf>
    <xf numFmtId="0" fontId="2" fillId="37" borderId="0" xfId="0" applyFont="1" applyFill="1" applyBorder="1" applyAlignment="1">
      <alignment horizontal="left"/>
    </xf>
    <xf numFmtId="165" fontId="2" fillId="37" borderId="7" xfId="2" applyNumberFormat="1" applyFont="1" applyFill="1" applyBorder="1" applyAlignment="1">
      <alignment horizontal="left"/>
    </xf>
    <xf numFmtId="165" fontId="2" fillId="37" borderId="11" xfId="2" applyNumberFormat="1" applyFont="1" applyFill="1" applyBorder="1" applyAlignment="1">
      <alignment horizontal="left"/>
    </xf>
    <xf numFmtId="0" fontId="2" fillId="21" borderId="0" xfId="0" applyFont="1" applyFill="1" applyBorder="1" applyAlignment="1">
      <alignment horizontal="left"/>
    </xf>
    <xf numFmtId="0" fontId="11" fillId="22" borderId="7" xfId="0" applyFont="1" applyFill="1" applyBorder="1" applyAlignment="1">
      <alignment horizontal="left"/>
    </xf>
    <xf numFmtId="0" fontId="2" fillId="22" borderId="0" xfId="0" applyFont="1" applyFill="1" applyBorder="1" applyAlignment="1">
      <alignment horizontal="left"/>
    </xf>
    <xf numFmtId="165" fontId="2" fillId="22" borderId="7" xfId="2" applyNumberFormat="1" applyFont="1" applyFill="1" applyBorder="1" applyAlignment="1">
      <alignment horizontal="left"/>
    </xf>
    <xf numFmtId="165" fontId="2" fillId="22" borderId="11" xfId="2" applyNumberFormat="1" applyFont="1" applyFill="1" applyBorder="1" applyAlignment="1">
      <alignment horizontal="left"/>
    </xf>
    <xf numFmtId="0" fontId="11" fillId="23" borderId="7" xfId="0" applyFont="1" applyFill="1" applyBorder="1" applyAlignment="1">
      <alignment horizontal="left"/>
    </xf>
    <xf numFmtId="0" fontId="2" fillId="23" borderId="0" xfId="0" applyFont="1" applyFill="1" applyBorder="1" applyAlignment="1">
      <alignment horizontal="left"/>
    </xf>
    <xf numFmtId="0" fontId="0" fillId="23" borderId="1" xfId="0" applyFill="1" applyBorder="1" applyAlignment="1">
      <alignment horizontal="left"/>
    </xf>
    <xf numFmtId="165" fontId="0" fillId="23" borderId="11" xfId="2" applyNumberFormat="1" applyFont="1" applyFill="1" applyBorder="1" applyAlignment="1">
      <alignment horizontal="left"/>
    </xf>
    <xf numFmtId="0" fontId="0" fillId="20" borderId="1" xfId="0" applyFill="1" applyBorder="1" applyAlignment="1">
      <alignment horizontal="left"/>
    </xf>
    <xf numFmtId="165" fontId="0" fillId="20" borderId="11" xfId="2" applyNumberFormat="1" applyFont="1" applyFill="1" applyBorder="1" applyAlignment="1">
      <alignment horizontal="left"/>
    </xf>
    <xf numFmtId="0" fontId="0" fillId="55" borderId="0" xfId="0" applyFill="1" applyBorder="1" applyAlignment="1">
      <alignment horizontal="left"/>
    </xf>
    <xf numFmtId="165" fontId="0" fillId="55" borderId="11" xfId="2" applyNumberFormat="1" applyFont="1" applyFill="1" applyBorder="1" applyAlignment="1">
      <alignment horizontal="left"/>
    </xf>
    <xf numFmtId="0" fontId="0" fillId="55" borderId="1" xfId="0" applyFill="1" applyBorder="1" applyAlignment="1">
      <alignment horizontal="left"/>
    </xf>
    <xf numFmtId="0" fontId="17" fillId="55" borderId="0" xfId="0" applyFont="1" applyFill="1" applyBorder="1" applyAlignment="1">
      <alignment horizontal="left"/>
    </xf>
    <xf numFmtId="0" fontId="17" fillId="25" borderId="5" xfId="0" applyFont="1" applyFill="1" applyBorder="1" applyAlignment="1">
      <alignment horizontal="left"/>
    </xf>
    <xf numFmtId="0" fontId="40" fillId="25" borderId="5" xfId="0" applyFont="1" applyFill="1" applyBorder="1" applyAlignment="1">
      <alignment horizontal="left"/>
    </xf>
    <xf numFmtId="165" fontId="17" fillId="25" borderId="5" xfId="2" applyNumberFormat="1" applyFont="1" applyFill="1" applyBorder="1" applyAlignment="1">
      <alignment horizontal="left"/>
    </xf>
    <xf numFmtId="0" fontId="17" fillId="41" borderId="5" xfId="0" applyFont="1" applyFill="1" applyBorder="1" applyAlignment="1">
      <alignment horizontal="left"/>
    </xf>
    <xf numFmtId="0" fontId="40" fillId="41" borderId="5" xfId="0" applyFont="1" applyFill="1" applyBorder="1" applyAlignment="1">
      <alignment horizontal="left"/>
    </xf>
    <xf numFmtId="165" fontId="17" fillId="41" borderId="5" xfId="2" applyNumberFormat="1" applyFont="1" applyFill="1" applyBorder="1" applyAlignment="1">
      <alignment horizontal="left"/>
    </xf>
    <xf numFmtId="0" fontId="19" fillId="51" borderId="5" xfId="0" applyFont="1" applyFill="1" applyBorder="1" applyAlignment="1">
      <alignment horizontal="left"/>
    </xf>
    <xf numFmtId="0" fontId="17" fillId="51" borderId="5" xfId="0" applyFont="1" applyFill="1" applyBorder="1" applyAlignment="1">
      <alignment horizontal="left"/>
    </xf>
    <xf numFmtId="0" fontId="40" fillId="51" borderId="5" xfId="0" applyFont="1" applyFill="1" applyBorder="1" applyAlignment="1">
      <alignment horizontal="left"/>
    </xf>
    <xf numFmtId="165" fontId="17" fillId="51" borderId="5" xfId="2" applyNumberFormat="1" applyFont="1" applyFill="1" applyBorder="1" applyAlignment="1">
      <alignment horizontal="left"/>
    </xf>
    <xf numFmtId="0" fontId="17" fillId="30" borderId="5" xfId="0" applyFont="1" applyFill="1" applyBorder="1" applyAlignment="1">
      <alignment horizontal="left"/>
    </xf>
    <xf numFmtId="0" fontId="40" fillId="30" borderId="5" xfId="0" applyFont="1" applyFill="1" applyBorder="1" applyAlignment="1">
      <alignment horizontal="left"/>
    </xf>
    <xf numFmtId="165" fontId="17" fillId="30" borderId="5" xfId="2" applyNumberFormat="1" applyFont="1" applyFill="1" applyBorder="1" applyAlignment="1">
      <alignment horizontal="left"/>
    </xf>
    <xf numFmtId="0" fontId="17" fillId="43" borderId="5" xfId="0" applyFont="1" applyFill="1" applyBorder="1" applyAlignment="1">
      <alignment horizontal="left"/>
    </xf>
    <xf numFmtId="0" fontId="40" fillId="43" borderId="5" xfId="0" applyFont="1" applyFill="1" applyBorder="1" applyAlignment="1">
      <alignment horizontal="left"/>
    </xf>
    <xf numFmtId="165" fontId="17" fillId="43" borderId="5" xfId="2" applyNumberFormat="1" applyFont="1" applyFill="1" applyBorder="1" applyAlignment="1">
      <alignment horizontal="left"/>
    </xf>
    <xf numFmtId="0" fontId="19" fillId="53" borderId="5" xfId="0" applyFont="1" applyFill="1" applyBorder="1" applyAlignment="1">
      <alignment horizontal="left"/>
    </xf>
    <xf numFmtId="0" fontId="17" fillId="53" borderId="5" xfId="0" applyFont="1" applyFill="1" applyBorder="1" applyAlignment="1">
      <alignment horizontal="left"/>
    </xf>
    <xf numFmtId="0" fontId="40" fillId="53" borderId="5" xfId="0" applyFont="1" applyFill="1" applyBorder="1" applyAlignment="1">
      <alignment horizontal="left"/>
    </xf>
    <xf numFmtId="165" fontId="17" fillId="53" borderId="5" xfId="2" applyNumberFormat="1" applyFont="1" applyFill="1" applyBorder="1" applyAlignment="1">
      <alignment horizontal="left"/>
    </xf>
    <xf numFmtId="0" fontId="17" fillId="46" borderId="5" xfId="0" applyFont="1" applyFill="1" applyBorder="1" applyAlignment="1">
      <alignment horizontal="left"/>
    </xf>
    <xf numFmtId="0" fontId="40" fillId="46" borderId="5" xfId="0" applyFont="1" applyFill="1" applyBorder="1" applyAlignment="1">
      <alignment horizontal="left"/>
    </xf>
    <xf numFmtId="165" fontId="17" fillId="46" borderId="5" xfId="2" applyNumberFormat="1" applyFont="1" applyFill="1" applyBorder="1" applyAlignment="1">
      <alignment horizontal="left"/>
    </xf>
    <xf numFmtId="0" fontId="0" fillId="20" borderId="6" xfId="0" applyFill="1" applyBorder="1" applyAlignment="1">
      <alignment horizontal="left"/>
    </xf>
    <xf numFmtId="0" fontId="43" fillId="20" borderId="14" xfId="0" applyFont="1" applyFill="1" applyBorder="1" applyAlignment="1">
      <alignment horizontal="left"/>
    </xf>
    <xf numFmtId="165" fontId="2" fillId="20" borderId="14" xfId="2" applyNumberFormat="1" applyFont="1" applyFill="1" applyBorder="1" applyAlignment="1">
      <alignment horizontal="left"/>
    </xf>
    <xf numFmtId="165" fontId="0" fillId="20" borderId="6" xfId="2" applyNumberFormat="1" applyFont="1" applyFill="1" applyBorder="1" applyAlignment="1">
      <alignment horizontal="left"/>
    </xf>
    <xf numFmtId="165" fontId="0" fillId="20" borderId="14" xfId="2" applyNumberFormat="1" applyFont="1" applyFill="1" applyBorder="1" applyAlignment="1">
      <alignment horizontal="left"/>
    </xf>
    <xf numFmtId="165" fontId="2" fillId="20" borderId="0" xfId="2" applyNumberFormat="1" applyFont="1" applyFill="1" applyBorder="1" applyAlignment="1">
      <alignment horizontal="left"/>
    </xf>
    <xf numFmtId="165" fontId="2" fillId="20" borderId="4" xfId="2" applyNumberFormat="1" applyFont="1" applyFill="1" applyBorder="1" applyAlignment="1">
      <alignment horizontal="left"/>
    </xf>
    <xf numFmtId="16" fontId="40" fillId="21" borderId="0" xfId="0" quotePrefix="1" applyNumberFormat="1" applyFont="1" applyFill="1" applyAlignment="1">
      <alignment horizontal="left" wrapText="1"/>
    </xf>
    <xf numFmtId="0" fontId="40" fillId="21" borderId="8" xfId="0" applyFont="1" applyFill="1" applyBorder="1" applyAlignment="1">
      <alignment horizontal="left"/>
    </xf>
    <xf numFmtId="0" fontId="40" fillId="24" borderId="0" xfId="0" applyFont="1" applyFill="1" applyBorder="1" applyAlignment="1">
      <alignment horizontal="left" wrapText="1"/>
    </xf>
    <xf numFmtId="0" fontId="27" fillId="25" borderId="7" xfId="0" applyFont="1" applyFill="1" applyBorder="1" applyAlignment="1">
      <alignment horizontal="left"/>
    </xf>
    <xf numFmtId="0" fontId="42" fillId="41" borderId="0" xfId="0" applyFont="1" applyFill="1" applyBorder="1" applyAlignment="1">
      <alignment horizontal="left" wrapText="1"/>
    </xf>
    <xf numFmtId="0" fontId="30" fillId="41" borderId="7" xfId="0" applyFont="1" applyFill="1" applyBorder="1" applyAlignment="1">
      <alignment horizontal="left"/>
    </xf>
    <xf numFmtId="0" fontId="42" fillId="42" borderId="0" xfId="0" applyFont="1" applyFill="1" applyBorder="1" applyAlignment="1">
      <alignment horizontal="left"/>
    </xf>
    <xf numFmtId="0" fontId="30" fillId="42" borderId="7" xfId="0" applyFont="1" applyFill="1" applyBorder="1" applyAlignment="1">
      <alignment horizontal="left"/>
    </xf>
    <xf numFmtId="165" fontId="30" fillId="42" borderId="0" xfId="2" applyNumberFormat="1" applyFont="1" applyFill="1" applyBorder="1" applyAlignment="1">
      <alignment horizontal="left"/>
    </xf>
    <xf numFmtId="0" fontId="42" fillId="29" borderId="0" xfId="0" applyFont="1" applyFill="1" applyBorder="1" applyAlignment="1">
      <alignment horizontal="left"/>
    </xf>
    <xf numFmtId="0" fontId="42" fillId="46" borderId="0" xfId="0" applyFont="1" applyFill="1" applyBorder="1" applyAlignment="1">
      <alignment horizontal="left"/>
    </xf>
    <xf numFmtId="0" fontId="40" fillId="41" borderId="0" xfId="0" applyFont="1" applyFill="1" applyBorder="1" applyAlignment="1">
      <alignment horizontal="left" wrapText="1"/>
    </xf>
    <xf numFmtId="0" fontId="42" fillId="43" borderId="14" xfId="0" applyFont="1" applyFill="1" applyBorder="1" applyAlignment="1">
      <alignment horizontal="left"/>
    </xf>
    <xf numFmtId="0" fontId="30" fillId="43" borderId="6" xfId="0" applyFont="1" applyFill="1" applyBorder="1" applyAlignment="1">
      <alignment horizontal="left"/>
    </xf>
    <xf numFmtId="165" fontId="30" fillId="43" borderId="14" xfId="2" applyNumberFormat="1" applyFont="1" applyFill="1" applyBorder="1" applyAlignment="1">
      <alignment horizontal="left"/>
    </xf>
    <xf numFmtId="165" fontId="30" fillId="43" borderId="6" xfId="2" applyNumberFormat="1" applyFont="1" applyFill="1" applyBorder="1" applyAlignment="1">
      <alignment horizontal="left"/>
    </xf>
    <xf numFmtId="165" fontId="17" fillId="43" borderId="6" xfId="2" applyNumberFormat="1" applyFont="1" applyFill="1" applyBorder="1" applyAlignment="1">
      <alignment horizontal="left"/>
    </xf>
    <xf numFmtId="165" fontId="17" fillId="43" borderId="15" xfId="2" applyNumberFormat="1" applyFont="1" applyFill="1" applyBorder="1" applyAlignment="1">
      <alignment horizontal="left"/>
    </xf>
    <xf numFmtId="165" fontId="17" fillId="43" borderId="10" xfId="2" applyNumberFormat="1" applyFont="1" applyFill="1" applyBorder="1" applyAlignment="1">
      <alignment horizontal="left"/>
    </xf>
    <xf numFmtId="165" fontId="58" fillId="0" borderId="0" xfId="2" applyNumberFormat="1" applyFont="1"/>
    <xf numFmtId="167" fontId="17" fillId="38" borderId="5" xfId="10" applyFont="1" applyFill="1" applyBorder="1"/>
    <xf numFmtId="167" fontId="0" fillId="38" borderId="5" xfId="10" applyFont="1" applyFill="1" applyBorder="1"/>
    <xf numFmtId="167" fontId="17" fillId="39" borderId="5" xfId="10" applyFont="1" applyFill="1" applyBorder="1"/>
    <xf numFmtId="167" fontId="0" fillId="39" borderId="5" xfId="10" applyFont="1" applyFill="1" applyBorder="1"/>
    <xf numFmtId="167" fontId="17" fillId="40" borderId="5" xfId="10" applyFont="1" applyFill="1" applyBorder="1"/>
    <xf numFmtId="167" fontId="0" fillId="40" borderId="5" xfId="10" applyFont="1" applyFill="1" applyBorder="1"/>
    <xf numFmtId="167" fontId="17" fillId="41" borderId="5" xfId="10" applyFont="1" applyFill="1" applyBorder="1"/>
    <xf numFmtId="167" fontId="0" fillId="41" borderId="5" xfId="10" applyFont="1" applyFill="1" applyBorder="1"/>
    <xf numFmtId="167" fontId="17" fillId="42" borderId="5" xfId="10" applyFont="1" applyFill="1" applyBorder="1"/>
    <xf numFmtId="167" fontId="0" fillId="42" borderId="5" xfId="10" applyFont="1" applyFill="1" applyBorder="1"/>
    <xf numFmtId="167" fontId="17" fillId="43" borderId="5" xfId="10" applyFont="1" applyFill="1" applyBorder="1"/>
    <xf numFmtId="167" fontId="0" fillId="43" borderId="5" xfId="10" applyFont="1" applyFill="1" applyBorder="1"/>
    <xf numFmtId="167" fontId="17" fillId="44" borderId="5" xfId="10" applyFont="1" applyFill="1" applyBorder="1"/>
    <xf numFmtId="167" fontId="0" fillId="44" borderId="5" xfId="10" applyFont="1" applyFill="1" applyBorder="1"/>
    <xf numFmtId="167" fontId="17" fillId="45" borderId="5" xfId="10" applyFont="1" applyFill="1" applyBorder="1"/>
    <xf numFmtId="167" fontId="0" fillId="45" borderId="5" xfId="10" applyFont="1" applyFill="1" applyBorder="1"/>
    <xf numFmtId="167" fontId="17" fillId="46" borderId="5" xfId="10" applyFont="1" applyFill="1" applyBorder="1"/>
    <xf numFmtId="167" fontId="0" fillId="46" borderId="5" xfId="10" applyFont="1" applyFill="1" applyBorder="1"/>
    <xf numFmtId="0" fontId="17" fillId="26" borderId="13" xfId="0" applyFont="1" applyFill="1" applyBorder="1" applyAlignment="1">
      <alignment horizontal="left"/>
    </xf>
    <xf numFmtId="0" fontId="40" fillId="26" borderId="6" xfId="0" applyFont="1" applyFill="1" applyBorder="1" applyAlignment="1">
      <alignment horizontal="left"/>
    </xf>
    <xf numFmtId="0" fontId="17" fillId="26" borderId="14" xfId="0" applyFont="1" applyFill="1" applyBorder="1" applyAlignment="1">
      <alignment horizontal="left"/>
    </xf>
    <xf numFmtId="165" fontId="17" fillId="26" borderId="15" xfId="2" applyNumberFormat="1" applyFont="1" applyFill="1" applyBorder="1" applyAlignment="1">
      <alignment horizontal="left"/>
    </xf>
    <xf numFmtId="165" fontId="17" fillId="26" borderId="14" xfId="2" applyNumberFormat="1" applyFont="1" applyFill="1" applyBorder="1" applyAlignment="1">
      <alignment horizontal="left"/>
    </xf>
    <xf numFmtId="0" fontId="17" fillId="26" borderId="12" xfId="0" applyFont="1" applyFill="1" applyBorder="1" applyAlignment="1">
      <alignment horizontal="left"/>
    </xf>
    <xf numFmtId="0" fontId="40" fillId="26" borderId="8" xfId="0" applyFont="1" applyFill="1" applyBorder="1" applyAlignment="1">
      <alignment horizontal="left"/>
    </xf>
    <xf numFmtId="0" fontId="17" fillId="26" borderId="4" xfId="0" applyFont="1" applyFill="1" applyBorder="1" applyAlignment="1">
      <alignment horizontal="left"/>
    </xf>
    <xf numFmtId="165" fontId="17" fillId="26" borderId="10" xfId="2" applyNumberFormat="1" applyFont="1" applyFill="1" applyBorder="1" applyAlignment="1">
      <alignment horizontal="left"/>
    </xf>
    <xf numFmtId="0" fontId="17" fillId="45" borderId="13" xfId="0" applyFont="1" applyFill="1" applyBorder="1" applyAlignment="1">
      <alignment horizontal="left"/>
    </xf>
    <xf numFmtId="0" fontId="40" fillId="45" borderId="6" xfId="0" applyFont="1" applyFill="1" applyBorder="1" applyAlignment="1">
      <alignment horizontal="left"/>
    </xf>
    <xf numFmtId="165" fontId="17" fillId="45" borderId="14" xfId="2" applyNumberFormat="1" applyFont="1" applyFill="1" applyBorder="1" applyAlignment="1">
      <alignment horizontal="left"/>
    </xf>
    <xf numFmtId="0" fontId="17" fillId="45" borderId="12" xfId="0" applyFont="1" applyFill="1" applyBorder="1" applyAlignment="1">
      <alignment horizontal="left"/>
    </xf>
    <xf numFmtId="0" fontId="40" fillId="45" borderId="8" xfId="0" applyFont="1" applyFill="1" applyBorder="1" applyAlignment="1">
      <alignment horizontal="left"/>
    </xf>
    <xf numFmtId="0" fontId="17" fillId="45" borderId="4" xfId="0" applyFont="1" applyFill="1" applyBorder="1" applyAlignment="1">
      <alignment horizontal="left"/>
    </xf>
    <xf numFmtId="165" fontId="17" fillId="45" borderId="10" xfId="2" applyNumberFormat="1" applyFont="1" applyFill="1" applyBorder="1" applyAlignment="1">
      <alignment horizontal="left"/>
    </xf>
    <xf numFmtId="0" fontId="17" fillId="29" borderId="13" xfId="0" applyFont="1" applyFill="1" applyBorder="1" applyAlignment="1">
      <alignment horizontal="left"/>
    </xf>
    <xf numFmtId="0" fontId="40" fillId="29" borderId="6" xfId="0" applyFont="1" applyFill="1" applyBorder="1" applyAlignment="1">
      <alignment horizontal="left"/>
    </xf>
    <xf numFmtId="0" fontId="17" fillId="29" borderId="14" xfId="0" applyFont="1" applyFill="1" applyBorder="1" applyAlignment="1">
      <alignment horizontal="left"/>
    </xf>
    <xf numFmtId="165" fontId="17" fillId="29" borderId="15" xfId="2" applyNumberFormat="1" applyFont="1" applyFill="1" applyBorder="1" applyAlignment="1">
      <alignment horizontal="left"/>
    </xf>
    <xf numFmtId="165" fontId="17" fillId="29" borderId="14" xfId="2" applyNumberFormat="1" applyFont="1" applyFill="1" applyBorder="1" applyAlignment="1">
      <alignment horizontal="left"/>
    </xf>
    <xf numFmtId="0" fontId="17" fillId="29" borderId="12" xfId="0" applyFont="1" applyFill="1" applyBorder="1" applyAlignment="1">
      <alignment horizontal="left"/>
    </xf>
    <xf numFmtId="0" fontId="40" fillId="29" borderId="8" xfId="0" applyFont="1" applyFill="1" applyBorder="1" applyAlignment="1">
      <alignment horizontal="left"/>
    </xf>
    <xf numFmtId="0" fontId="17" fillId="29" borderId="4" xfId="0" applyFont="1" applyFill="1" applyBorder="1" applyAlignment="1">
      <alignment horizontal="left"/>
    </xf>
    <xf numFmtId="0" fontId="19" fillId="28" borderId="13" xfId="0" applyFont="1" applyFill="1" applyBorder="1" applyAlignment="1">
      <alignment horizontal="left"/>
    </xf>
    <xf numFmtId="0" fontId="17" fillId="28" borderId="13" xfId="0" applyFont="1" applyFill="1" applyBorder="1" applyAlignment="1">
      <alignment horizontal="left"/>
    </xf>
    <xf numFmtId="0" fontId="40" fillId="28" borderId="6" xfId="0" applyFont="1" applyFill="1" applyBorder="1" applyAlignment="1">
      <alignment horizontal="left"/>
    </xf>
    <xf numFmtId="0" fontId="17" fillId="28" borderId="14" xfId="0" applyFont="1" applyFill="1" applyBorder="1" applyAlignment="1">
      <alignment horizontal="left"/>
    </xf>
    <xf numFmtId="165" fontId="17" fillId="28" borderId="6" xfId="2" applyNumberFormat="1" applyFont="1" applyFill="1" applyBorder="1" applyAlignment="1">
      <alignment horizontal="left"/>
    </xf>
    <xf numFmtId="165" fontId="17" fillId="28" borderId="15" xfId="2" applyNumberFormat="1" applyFont="1" applyFill="1" applyBorder="1" applyAlignment="1">
      <alignment horizontal="left"/>
    </xf>
    <xf numFmtId="165" fontId="17" fillId="28" borderId="14" xfId="2" applyNumberFormat="1" applyFont="1" applyFill="1" applyBorder="1" applyAlignment="1">
      <alignment horizontal="left"/>
    </xf>
    <xf numFmtId="0" fontId="17" fillId="28" borderId="12" xfId="0" applyFont="1" applyFill="1" applyBorder="1" applyAlignment="1">
      <alignment horizontal="left"/>
    </xf>
    <xf numFmtId="0" fontId="40" fillId="28" borderId="8" xfId="0" applyFont="1" applyFill="1" applyBorder="1" applyAlignment="1">
      <alignment horizontal="left"/>
    </xf>
    <xf numFmtId="0" fontId="17" fillId="28" borderId="4" xfId="0" applyFont="1" applyFill="1" applyBorder="1" applyAlignment="1">
      <alignment horizontal="left"/>
    </xf>
    <xf numFmtId="165" fontId="17" fillId="28" borderId="10" xfId="2" applyNumberFormat="1" applyFont="1" applyFill="1" applyBorder="1" applyAlignment="1">
      <alignment horizontal="left"/>
    </xf>
    <xf numFmtId="0" fontId="17" fillId="42" borderId="13" xfId="0" applyFont="1" applyFill="1" applyBorder="1" applyAlignment="1">
      <alignment horizontal="left"/>
    </xf>
    <xf numFmtId="0" fontId="40" fillId="42" borderId="6" xfId="0" applyFont="1" applyFill="1" applyBorder="1" applyAlignment="1">
      <alignment horizontal="left"/>
    </xf>
    <xf numFmtId="0" fontId="17" fillId="42" borderId="14" xfId="0" applyFont="1" applyFill="1" applyBorder="1" applyAlignment="1">
      <alignment horizontal="left"/>
    </xf>
    <xf numFmtId="165" fontId="17" fillId="42" borderId="15" xfId="2" applyNumberFormat="1" applyFont="1" applyFill="1" applyBorder="1" applyAlignment="1">
      <alignment horizontal="left"/>
    </xf>
    <xf numFmtId="165" fontId="17" fillId="42" borderId="14" xfId="2" applyNumberFormat="1" applyFont="1" applyFill="1" applyBorder="1" applyAlignment="1">
      <alignment horizontal="left"/>
    </xf>
    <xf numFmtId="0" fontId="17" fillId="42" borderId="12" xfId="0" applyFont="1" applyFill="1" applyBorder="1" applyAlignment="1">
      <alignment horizontal="left"/>
    </xf>
    <xf numFmtId="0" fontId="40" fillId="42" borderId="8" xfId="0" applyFont="1" applyFill="1" applyBorder="1" applyAlignment="1">
      <alignment horizontal="left"/>
    </xf>
    <xf numFmtId="0" fontId="17" fillId="42" borderId="4" xfId="0" applyFont="1" applyFill="1" applyBorder="1" applyAlignment="1">
      <alignment horizontal="left"/>
    </xf>
    <xf numFmtId="0" fontId="17" fillId="41" borderId="13" xfId="0" applyFont="1" applyFill="1" applyBorder="1" applyAlignment="1">
      <alignment horizontal="left"/>
    </xf>
    <xf numFmtId="0" fontId="40" fillId="41" borderId="6" xfId="0" applyFont="1" applyFill="1" applyBorder="1" applyAlignment="1">
      <alignment horizontal="left"/>
    </xf>
    <xf numFmtId="0" fontId="17" fillId="41" borderId="14" xfId="0" applyFont="1" applyFill="1" applyBorder="1" applyAlignment="1">
      <alignment horizontal="left"/>
    </xf>
    <xf numFmtId="165" fontId="17" fillId="41" borderId="6" xfId="2" applyNumberFormat="1" applyFont="1" applyFill="1" applyBorder="1" applyAlignment="1">
      <alignment horizontal="left"/>
    </xf>
    <xf numFmtId="165" fontId="17" fillId="41" borderId="15" xfId="2" applyNumberFormat="1" applyFont="1" applyFill="1" applyBorder="1" applyAlignment="1">
      <alignment horizontal="left"/>
    </xf>
    <xf numFmtId="165" fontId="17" fillId="41" borderId="14" xfId="2" applyNumberFormat="1" applyFont="1" applyFill="1" applyBorder="1" applyAlignment="1">
      <alignment horizontal="left"/>
    </xf>
    <xf numFmtId="0" fontId="17" fillId="41" borderId="12" xfId="0" applyFont="1" applyFill="1" applyBorder="1" applyAlignment="1">
      <alignment horizontal="left"/>
    </xf>
    <xf numFmtId="0" fontId="40" fillId="41" borderId="8" xfId="0" applyFont="1" applyFill="1" applyBorder="1" applyAlignment="1">
      <alignment horizontal="left"/>
    </xf>
    <xf numFmtId="0" fontId="17" fillId="41" borderId="4" xfId="0" applyFont="1" applyFill="1" applyBorder="1" applyAlignment="1">
      <alignment horizontal="left"/>
    </xf>
    <xf numFmtId="0" fontId="17" fillId="39" borderId="13" xfId="0" applyFont="1" applyFill="1" applyBorder="1" applyAlignment="1">
      <alignment horizontal="left"/>
    </xf>
    <xf numFmtId="0" fontId="40" fillId="39" borderId="6" xfId="0" applyFont="1" applyFill="1" applyBorder="1" applyAlignment="1">
      <alignment horizontal="left"/>
    </xf>
    <xf numFmtId="0" fontId="17" fillId="39" borderId="14" xfId="0" applyFont="1" applyFill="1" applyBorder="1" applyAlignment="1">
      <alignment horizontal="left"/>
    </xf>
    <xf numFmtId="165" fontId="17" fillId="39" borderId="15" xfId="2" applyNumberFormat="1" applyFont="1" applyFill="1" applyBorder="1" applyAlignment="1">
      <alignment horizontal="left"/>
    </xf>
    <xf numFmtId="165" fontId="17" fillId="39" borderId="14" xfId="2" applyNumberFormat="1" applyFont="1" applyFill="1" applyBorder="1" applyAlignment="1">
      <alignment horizontal="left"/>
    </xf>
    <xf numFmtId="0" fontId="17" fillId="39" borderId="12" xfId="0" applyFont="1" applyFill="1" applyBorder="1" applyAlignment="1">
      <alignment horizontal="left"/>
    </xf>
    <xf numFmtId="0" fontId="40" fillId="39" borderId="8" xfId="0" applyFont="1" applyFill="1" applyBorder="1" applyAlignment="1">
      <alignment horizontal="left"/>
    </xf>
    <xf numFmtId="0" fontId="17" fillId="39" borderId="4" xfId="0" applyFont="1" applyFill="1" applyBorder="1" applyAlignment="1">
      <alignment horizontal="left"/>
    </xf>
    <xf numFmtId="0" fontId="17" fillId="38" borderId="13" xfId="0" applyFont="1" applyFill="1" applyBorder="1" applyAlignment="1">
      <alignment horizontal="left"/>
    </xf>
    <xf numFmtId="0" fontId="40" fillId="38" borderId="6" xfId="0" applyFont="1" applyFill="1" applyBorder="1" applyAlignment="1">
      <alignment horizontal="left"/>
    </xf>
    <xf numFmtId="0" fontId="17" fillId="38" borderId="14" xfId="0" applyFont="1" applyFill="1" applyBorder="1" applyAlignment="1">
      <alignment horizontal="left"/>
    </xf>
    <xf numFmtId="165" fontId="17" fillId="38" borderId="15" xfId="2" applyNumberFormat="1" applyFont="1" applyFill="1" applyBorder="1" applyAlignment="1">
      <alignment horizontal="left"/>
    </xf>
    <xf numFmtId="165" fontId="17" fillId="38" borderId="14" xfId="2" applyNumberFormat="1" applyFont="1" applyFill="1" applyBorder="1" applyAlignment="1">
      <alignment horizontal="left"/>
    </xf>
    <xf numFmtId="0" fontId="23" fillId="38" borderId="12" xfId="0" applyFont="1" applyFill="1" applyBorder="1" applyAlignment="1">
      <alignment horizontal="left"/>
    </xf>
    <xf numFmtId="0" fontId="17" fillId="38" borderId="12" xfId="0" applyFont="1" applyFill="1" applyBorder="1" applyAlignment="1">
      <alignment horizontal="left"/>
    </xf>
    <xf numFmtId="0" fontId="40" fillId="38" borderId="8" xfId="0" applyFont="1" applyFill="1" applyBorder="1" applyAlignment="1">
      <alignment horizontal="left"/>
    </xf>
    <xf numFmtId="0" fontId="17" fillId="38" borderId="4" xfId="0" applyFont="1" applyFill="1" applyBorder="1" applyAlignment="1">
      <alignment horizontal="left"/>
    </xf>
    <xf numFmtId="165" fontId="17" fillId="38" borderId="10" xfId="2" applyNumberFormat="1" applyFont="1" applyFill="1" applyBorder="1" applyAlignment="1">
      <alignment horizontal="left"/>
    </xf>
    <xf numFmtId="0" fontId="40" fillId="25" borderId="6" xfId="0" applyFont="1" applyFill="1" applyBorder="1" applyAlignment="1">
      <alignment horizontal="left"/>
    </xf>
    <xf numFmtId="0" fontId="17" fillId="25" borderId="14" xfId="0" applyFont="1" applyFill="1" applyBorder="1" applyAlignment="1">
      <alignment horizontal="left"/>
    </xf>
    <xf numFmtId="165" fontId="17" fillId="25" borderId="15" xfId="2" applyNumberFormat="1" applyFont="1" applyFill="1" applyBorder="1" applyAlignment="1">
      <alignment horizontal="left"/>
    </xf>
    <xf numFmtId="165" fontId="17" fillId="25" borderId="14" xfId="2" applyNumberFormat="1" applyFont="1" applyFill="1" applyBorder="1" applyAlignment="1">
      <alignment horizontal="left"/>
    </xf>
    <xf numFmtId="0" fontId="40" fillId="25" borderId="8" xfId="0" applyFont="1" applyFill="1" applyBorder="1" applyAlignment="1">
      <alignment horizontal="left"/>
    </xf>
    <xf numFmtId="0" fontId="17" fillId="25" borderId="4" xfId="0" applyFont="1" applyFill="1" applyBorder="1" applyAlignment="1">
      <alignment horizontal="left"/>
    </xf>
    <xf numFmtId="165" fontId="17" fillId="25" borderId="10" xfId="2" applyNumberFormat="1" applyFont="1" applyFill="1" applyBorder="1" applyAlignment="1">
      <alignment horizontal="left"/>
    </xf>
    <xf numFmtId="0" fontId="40" fillId="23" borderId="6" xfId="0" applyFont="1" applyFill="1" applyBorder="1" applyAlignment="1">
      <alignment horizontal="left"/>
    </xf>
    <xf numFmtId="0" fontId="17" fillId="23" borderId="14" xfId="0" applyFont="1" applyFill="1" applyBorder="1" applyAlignment="1">
      <alignment horizontal="left"/>
    </xf>
    <xf numFmtId="165" fontId="17" fillId="23" borderId="6" xfId="2" applyNumberFormat="1" applyFont="1" applyFill="1" applyBorder="1" applyAlignment="1">
      <alignment horizontal="left"/>
    </xf>
    <xf numFmtId="165" fontId="17" fillId="23" borderId="15" xfId="2" applyNumberFormat="1" applyFont="1" applyFill="1" applyBorder="1" applyAlignment="1">
      <alignment horizontal="left"/>
    </xf>
    <xf numFmtId="165" fontId="17" fillId="23" borderId="14" xfId="2" applyNumberFormat="1" applyFont="1" applyFill="1" applyBorder="1" applyAlignment="1">
      <alignment horizontal="left"/>
    </xf>
    <xf numFmtId="0" fontId="19" fillId="23" borderId="12" xfId="0" applyFont="1" applyFill="1" applyBorder="1" applyAlignment="1">
      <alignment horizontal="left"/>
    </xf>
    <xf numFmtId="0" fontId="17" fillId="23" borderId="12" xfId="0" applyFont="1" applyFill="1" applyBorder="1" applyAlignment="1">
      <alignment horizontal="left"/>
    </xf>
    <xf numFmtId="0" fontId="40" fillId="23" borderId="8" xfId="0" applyFont="1" applyFill="1" applyBorder="1" applyAlignment="1">
      <alignment horizontal="left"/>
    </xf>
    <xf numFmtId="0" fontId="17" fillId="23" borderId="4" xfId="0" applyFont="1" applyFill="1" applyBorder="1" applyAlignment="1">
      <alignment horizontal="left"/>
    </xf>
    <xf numFmtId="165" fontId="17" fillId="23" borderId="10" xfId="2" applyNumberFormat="1" applyFont="1" applyFill="1" applyBorder="1" applyAlignment="1">
      <alignment horizontal="left"/>
    </xf>
    <xf numFmtId="0" fontId="40" fillId="37" borderId="6" xfId="0" applyFont="1" applyFill="1" applyBorder="1" applyAlignment="1">
      <alignment horizontal="left"/>
    </xf>
    <xf numFmtId="0" fontId="17" fillId="37" borderId="14" xfId="0" applyFont="1" applyFill="1" applyBorder="1" applyAlignment="1">
      <alignment horizontal="left"/>
    </xf>
    <xf numFmtId="165" fontId="17" fillId="37" borderId="15" xfId="2" applyNumberFormat="1" applyFont="1" applyFill="1" applyBorder="1" applyAlignment="1">
      <alignment horizontal="left"/>
    </xf>
    <xf numFmtId="165" fontId="17" fillId="37" borderId="14" xfId="2" applyNumberFormat="1" applyFont="1" applyFill="1" applyBorder="1" applyAlignment="1">
      <alignment horizontal="left"/>
    </xf>
    <xf numFmtId="0" fontId="17" fillId="37" borderId="12" xfId="0" applyFont="1" applyFill="1" applyBorder="1" applyAlignment="1">
      <alignment horizontal="left"/>
    </xf>
    <xf numFmtId="0" fontId="40" fillId="37" borderId="8" xfId="0" applyFont="1" applyFill="1" applyBorder="1" applyAlignment="1">
      <alignment horizontal="left"/>
    </xf>
    <xf numFmtId="0" fontId="17" fillId="37" borderId="4" xfId="0" applyFont="1" applyFill="1" applyBorder="1" applyAlignment="1">
      <alignment horizontal="left"/>
    </xf>
    <xf numFmtId="165" fontId="17" fillId="37" borderId="10" xfId="2" applyNumberFormat="1" applyFont="1" applyFill="1" applyBorder="1" applyAlignment="1">
      <alignment horizontal="left"/>
    </xf>
    <xf numFmtId="0" fontId="40" fillId="20" borderId="6" xfId="0" applyFont="1" applyFill="1" applyBorder="1" applyAlignment="1">
      <alignment horizontal="left"/>
    </xf>
    <xf numFmtId="0" fontId="17" fillId="20" borderId="14" xfId="0" applyFont="1" applyFill="1" applyBorder="1" applyAlignment="1">
      <alignment horizontal="left"/>
    </xf>
    <xf numFmtId="165" fontId="17" fillId="20" borderId="6" xfId="2" applyNumberFormat="1" applyFont="1" applyFill="1" applyBorder="1" applyAlignment="1">
      <alignment horizontal="left"/>
    </xf>
    <xf numFmtId="165" fontId="17" fillId="20" borderId="15" xfId="2" applyNumberFormat="1" applyFont="1" applyFill="1" applyBorder="1" applyAlignment="1">
      <alignment horizontal="left"/>
    </xf>
    <xf numFmtId="165" fontId="17" fillId="20" borderId="14" xfId="2" applyNumberFormat="1" applyFont="1" applyFill="1" applyBorder="1" applyAlignment="1">
      <alignment horizontal="left"/>
    </xf>
    <xf numFmtId="0" fontId="17" fillId="20" borderId="12" xfId="0" applyFont="1" applyFill="1" applyBorder="1" applyAlignment="1">
      <alignment horizontal="left"/>
    </xf>
    <xf numFmtId="0" fontId="40" fillId="20" borderId="8" xfId="0" applyFont="1" applyFill="1" applyBorder="1" applyAlignment="1">
      <alignment horizontal="left"/>
    </xf>
    <xf numFmtId="0" fontId="17" fillId="20" borderId="4" xfId="0" applyFont="1" applyFill="1" applyBorder="1" applyAlignment="1">
      <alignment horizontal="left"/>
    </xf>
    <xf numFmtId="165" fontId="17" fillId="20" borderId="10" xfId="2" applyNumberFormat="1" applyFont="1" applyFill="1" applyBorder="1" applyAlignment="1">
      <alignment horizontal="left"/>
    </xf>
    <xf numFmtId="0" fontId="7" fillId="22" borderId="5" xfId="0" applyFont="1" applyFill="1" applyBorder="1" applyAlignment="1">
      <alignment horizontal="left"/>
    </xf>
    <xf numFmtId="0" fontId="11" fillId="22" borderId="5" xfId="0" applyFont="1" applyFill="1" applyBorder="1" applyAlignment="1">
      <alignment horizontal="left"/>
    </xf>
    <xf numFmtId="165" fontId="7" fillId="22" borderId="5" xfId="2" applyNumberFormat="1" applyFont="1" applyFill="1" applyBorder="1" applyAlignment="1">
      <alignment horizontal="left"/>
    </xf>
    <xf numFmtId="0" fontId="7" fillId="49" borderId="5" xfId="0" applyFont="1" applyFill="1" applyBorder="1" applyAlignment="1">
      <alignment horizontal="left"/>
    </xf>
    <xf numFmtId="0" fontId="11" fillId="49" borderId="5" xfId="0" applyFont="1" applyFill="1" applyBorder="1" applyAlignment="1">
      <alignment horizontal="left"/>
    </xf>
    <xf numFmtId="165" fontId="7" fillId="49" borderId="5" xfId="2" applyNumberFormat="1" applyFont="1" applyFill="1" applyBorder="1" applyAlignment="1">
      <alignment horizontal="left"/>
    </xf>
    <xf numFmtId="0" fontId="7" fillId="25" borderId="5" xfId="0" applyFont="1" applyFill="1" applyBorder="1" applyAlignment="1">
      <alignment horizontal="left"/>
    </xf>
    <xf numFmtId="0" fontId="11" fillId="25" borderId="5" xfId="0" applyFont="1" applyFill="1" applyBorder="1" applyAlignment="1">
      <alignment horizontal="left"/>
    </xf>
    <xf numFmtId="165" fontId="7" fillId="25" borderId="5" xfId="2" applyNumberFormat="1" applyFont="1" applyFill="1" applyBorder="1" applyAlignment="1">
      <alignment horizontal="left"/>
    </xf>
    <xf numFmtId="0" fontId="7" fillId="26" borderId="5" xfId="0" applyFont="1" applyFill="1" applyBorder="1" applyAlignment="1">
      <alignment horizontal="left"/>
    </xf>
    <xf numFmtId="0" fontId="11" fillId="26" borderId="5" xfId="0" applyFont="1" applyFill="1" applyBorder="1" applyAlignment="1">
      <alignment horizontal="left"/>
    </xf>
    <xf numFmtId="165" fontId="7" fillId="26" borderId="5" xfId="2" applyNumberFormat="1" applyFont="1" applyFill="1" applyBorder="1" applyAlignment="1">
      <alignment horizontal="left"/>
    </xf>
    <xf numFmtId="0" fontId="7" fillId="43" borderId="5" xfId="0" applyFont="1" applyFill="1" applyBorder="1" applyAlignment="1">
      <alignment horizontal="left"/>
    </xf>
    <xf numFmtId="0" fontId="11" fillId="43" borderId="5" xfId="0" applyFont="1" applyFill="1" applyBorder="1" applyAlignment="1">
      <alignment horizontal="left"/>
    </xf>
    <xf numFmtId="165" fontId="7" fillId="43" borderId="5" xfId="2" applyNumberFormat="1" applyFont="1" applyFill="1" applyBorder="1" applyAlignment="1">
      <alignment horizontal="left"/>
    </xf>
    <xf numFmtId="0" fontId="7" fillId="40" borderId="5" xfId="0" applyFont="1" applyFill="1" applyBorder="1" applyAlignment="1">
      <alignment horizontal="left"/>
    </xf>
    <xf numFmtId="0" fontId="11" fillId="40" borderId="5" xfId="0" applyFont="1" applyFill="1" applyBorder="1" applyAlignment="1">
      <alignment horizontal="left"/>
    </xf>
    <xf numFmtId="165" fontId="7" fillId="40" borderId="5" xfId="2" applyNumberFormat="1" applyFont="1" applyFill="1" applyBorder="1" applyAlignment="1">
      <alignment horizontal="left"/>
    </xf>
    <xf numFmtId="0" fontId="40" fillId="19" borderId="14" xfId="0" applyFont="1" applyFill="1" applyBorder="1" applyAlignment="1">
      <alignment horizontal="left"/>
    </xf>
    <xf numFmtId="165" fontId="17" fillId="19" borderId="14" xfId="2" applyNumberFormat="1" applyFont="1" applyFill="1" applyBorder="1" applyAlignment="1">
      <alignment horizontal="left"/>
    </xf>
    <xf numFmtId="165" fontId="17" fillId="19" borderId="15" xfId="2" applyNumberFormat="1" applyFont="1" applyFill="1" applyBorder="1" applyAlignment="1">
      <alignment horizontal="left"/>
    </xf>
    <xf numFmtId="165" fontId="17" fillId="52" borderId="11" xfId="2" applyNumberFormat="1" applyFont="1" applyFill="1" applyBorder="1" applyAlignment="1">
      <alignment horizontal="left"/>
    </xf>
    <xf numFmtId="0" fontId="17" fillId="19" borderId="6" xfId="0" applyFont="1" applyFill="1" applyBorder="1" applyAlignment="1">
      <alignment horizontal="left"/>
    </xf>
    <xf numFmtId="165" fontId="17" fillId="19" borderId="10" xfId="2" applyNumberFormat="1" applyFont="1" applyFill="1" applyBorder="1" applyAlignment="1">
      <alignment horizontal="left"/>
    </xf>
    <xf numFmtId="0" fontId="19" fillId="52" borderId="12" xfId="0" applyFont="1" applyFill="1" applyBorder="1" applyAlignment="1">
      <alignment horizontal="left"/>
    </xf>
    <xf numFmtId="0" fontId="17" fillId="52" borderId="8" xfId="0" applyFont="1" applyFill="1" applyBorder="1" applyAlignment="1">
      <alignment horizontal="left"/>
    </xf>
    <xf numFmtId="0" fontId="40" fillId="52" borderId="4" xfId="0" applyFont="1" applyFill="1" applyBorder="1" applyAlignment="1">
      <alignment horizontal="left"/>
    </xf>
    <xf numFmtId="165" fontId="17" fillId="52" borderId="4" xfId="2" applyNumberFormat="1" applyFont="1" applyFill="1" applyBorder="1" applyAlignment="1">
      <alignment horizontal="left"/>
    </xf>
    <xf numFmtId="165" fontId="17" fillId="52" borderId="8" xfId="2" applyNumberFormat="1" applyFont="1" applyFill="1" applyBorder="1" applyAlignment="1">
      <alignment horizontal="left"/>
    </xf>
    <xf numFmtId="165" fontId="17" fillId="52" borderId="10" xfId="2" applyNumberFormat="1" applyFont="1" applyFill="1" applyBorder="1" applyAlignment="1">
      <alignment horizontal="left"/>
    </xf>
    <xf numFmtId="165" fontId="17" fillId="44" borderId="10" xfId="2" applyNumberFormat="1" applyFont="1" applyFill="1" applyBorder="1" applyAlignment="1">
      <alignment horizontal="left"/>
    </xf>
    <xf numFmtId="0" fontId="17" fillId="28" borderId="5" xfId="0" applyFont="1" applyFill="1" applyBorder="1" applyAlignment="1">
      <alignment horizontal="left"/>
    </xf>
    <xf numFmtId="0" fontId="40" fillId="28" borderId="5" xfId="0" applyFont="1" applyFill="1" applyBorder="1" applyAlignment="1">
      <alignment horizontal="left"/>
    </xf>
    <xf numFmtId="165" fontId="17" fillId="28" borderId="5" xfId="2" applyNumberFormat="1" applyFont="1" applyFill="1" applyBorder="1" applyAlignment="1">
      <alignment horizontal="left"/>
    </xf>
    <xf numFmtId="164" fontId="17" fillId="18" borderId="5" xfId="8" applyNumberFormat="1" applyFill="1" applyBorder="1"/>
    <xf numFmtId="0" fontId="17" fillId="18" borderId="5" xfId="8" applyFill="1" applyBorder="1"/>
    <xf numFmtId="164" fontId="17" fillId="28" borderId="5" xfId="8" applyNumberFormat="1" applyFill="1" applyBorder="1"/>
    <xf numFmtId="164" fontId="17" fillId="20" borderId="5" xfId="8" applyNumberFormat="1" applyFill="1" applyBorder="1"/>
    <xf numFmtId="164" fontId="17" fillId="17" borderId="5" xfId="8" applyNumberFormat="1" applyFill="1" applyBorder="1"/>
    <xf numFmtId="164" fontId="17" fillId="21" borderId="5" xfId="8" applyNumberFormat="1" applyFill="1" applyBorder="1"/>
    <xf numFmtId="167" fontId="17" fillId="37" borderId="5" xfId="10" applyFont="1" applyFill="1" applyBorder="1"/>
    <xf numFmtId="167" fontId="0" fillId="37" borderId="5" xfId="10" applyFont="1" applyFill="1" applyBorder="1"/>
    <xf numFmtId="164" fontId="17" fillId="37" borderId="5" xfId="8" applyNumberFormat="1" applyFill="1" applyBorder="1"/>
    <xf numFmtId="164" fontId="17" fillId="22" borderId="5" xfId="8" applyNumberFormat="1" applyFill="1" applyBorder="1"/>
    <xf numFmtId="167" fontId="17" fillId="17" borderId="5" xfId="10" applyFont="1" applyFill="1" applyBorder="1"/>
    <xf numFmtId="164" fontId="17" fillId="23" borderId="5" xfId="8" applyNumberFormat="1" applyFill="1" applyBorder="1"/>
    <xf numFmtId="164" fontId="17" fillId="24" borderId="5" xfId="8" applyNumberFormat="1" applyFill="1" applyBorder="1"/>
    <xf numFmtId="164" fontId="17" fillId="25" borderId="5" xfId="8" applyNumberFormat="1" applyFill="1" applyBorder="1"/>
    <xf numFmtId="0" fontId="17" fillId="56" borderId="0" xfId="8" applyFill="1"/>
    <xf numFmtId="164" fontId="17" fillId="26" borderId="5" xfId="8" applyNumberFormat="1" applyFill="1" applyBorder="1"/>
    <xf numFmtId="164" fontId="17" fillId="38" borderId="5" xfId="8" applyNumberFormat="1" applyFill="1" applyBorder="1"/>
    <xf numFmtId="164" fontId="17" fillId="27" borderId="5" xfId="8" applyNumberFormat="1" applyFill="1" applyBorder="1"/>
    <xf numFmtId="164" fontId="17" fillId="39" borderId="5" xfId="8" applyNumberFormat="1" applyFill="1" applyBorder="1"/>
    <xf numFmtId="164" fontId="17" fillId="40" borderId="5" xfId="8" applyNumberFormat="1" applyFill="1" applyBorder="1"/>
    <xf numFmtId="164" fontId="17" fillId="41" borderId="5" xfId="8" applyNumberFormat="1" applyFill="1" applyBorder="1"/>
    <xf numFmtId="164" fontId="17" fillId="19" borderId="5" xfId="8" applyNumberFormat="1" applyFill="1" applyBorder="1"/>
    <xf numFmtId="164" fontId="17" fillId="42" borderId="5" xfId="8" applyNumberFormat="1" applyFill="1" applyBorder="1"/>
    <xf numFmtId="164" fontId="17" fillId="43" borderId="5" xfId="8" applyNumberFormat="1" applyFill="1" applyBorder="1"/>
    <xf numFmtId="164" fontId="17" fillId="29" borderId="5" xfId="8" applyNumberFormat="1" applyFill="1" applyBorder="1"/>
    <xf numFmtId="164" fontId="17" fillId="44" borderId="5" xfId="8" applyNumberFormat="1" applyFill="1" applyBorder="1"/>
    <xf numFmtId="164" fontId="17" fillId="45" borderId="5" xfId="8" applyNumberFormat="1" applyFill="1" applyBorder="1"/>
    <xf numFmtId="164" fontId="17" fillId="46" borderId="5" xfId="8" applyNumberFormat="1" applyFill="1" applyBorder="1"/>
    <xf numFmtId="164" fontId="17" fillId="30" borderId="5" xfId="8" applyNumberFormat="1" applyFill="1" applyBorder="1"/>
    <xf numFmtId="167" fontId="17" fillId="31" borderId="5" xfId="10" applyFont="1" applyFill="1" applyBorder="1"/>
    <xf numFmtId="167" fontId="0" fillId="31" borderId="5" xfId="10" applyFont="1" applyFill="1" applyBorder="1"/>
    <xf numFmtId="164" fontId="17" fillId="31" borderId="5" xfId="8" applyNumberFormat="1" applyFill="1" applyBorder="1"/>
    <xf numFmtId="164" fontId="17" fillId="32" borderId="5" xfId="8" applyNumberFormat="1" applyFill="1" applyBorder="1"/>
    <xf numFmtId="164" fontId="17" fillId="33" borderId="5" xfId="8" applyNumberFormat="1" applyFill="1" applyBorder="1"/>
    <xf numFmtId="167" fontId="17" fillId="48" borderId="5" xfId="10" applyFont="1" applyFill="1" applyBorder="1"/>
    <xf numFmtId="167" fontId="0" fillId="48" borderId="5" xfId="10" applyFont="1" applyFill="1" applyBorder="1"/>
    <xf numFmtId="164" fontId="17" fillId="48" borderId="5" xfId="8" applyNumberFormat="1" applyFill="1" applyBorder="1"/>
    <xf numFmtId="167" fontId="4" fillId="56" borderId="5" xfId="10" applyFont="1" applyFill="1" applyBorder="1" applyAlignment="1">
      <alignment wrapText="1"/>
    </xf>
    <xf numFmtId="0" fontId="4" fillId="56" borderId="5" xfId="8" applyFont="1" applyFill="1" applyBorder="1" applyAlignment="1">
      <alignment wrapText="1"/>
    </xf>
    <xf numFmtId="0" fontId="17" fillId="25" borderId="1" xfId="0" applyFont="1" applyFill="1" applyBorder="1"/>
    <xf numFmtId="0" fontId="30" fillId="25" borderId="11" xfId="0" applyFont="1" applyFill="1" applyBorder="1" applyAlignment="1">
      <alignment horizontal="left"/>
    </xf>
    <xf numFmtId="0" fontId="40" fillId="25" borderId="7" xfId="0" applyFont="1" applyFill="1" applyBorder="1" applyAlignment="1">
      <alignment horizontal="left" wrapText="1"/>
    </xf>
    <xf numFmtId="0" fontId="39" fillId="25" borderId="5" xfId="0" applyFont="1" applyFill="1" applyBorder="1" applyAlignment="1">
      <alignment horizontal="left"/>
    </xf>
    <xf numFmtId="0" fontId="2" fillId="25" borderId="5" xfId="0" applyFont="1" applyFill="1" applyBorder="1" applyAlignment="1">
      <alignment horizontal="left"/>
    </xf>
    <xf numFmtId="165" fontId="2" fillId="25" borderId="5" xfId="2" applyNumberFormat="1" applyFont="1" applyFill="1" applyBorder="1" applyAlignment="1">
      <alignment horizontal="left"/>
    </xf>
    <xf numFmtId="165" fontId="2" fillId="25" borderId="7" xfId="2" applyNumberFormat="1" applyFont="1" applyFill="1" applyBorder="1" applyAlignment="1">
      <alignment horizontal="left"/>
    </xf>
    <xf numFmtId="0" fontId="41" fillId="25" borderId="7" xfId="0" applyFont="1" applyFill="1" applyBorder="1" applyAlignment="1">
      <alignment horizontal="left"/>
    </xf>
    <xf numFmtId="0" fontId="4" fillId="25" borderId="11" xfId="0" applyFont="1" applyFill="1" applyBorder="1" applyAlignment="1">
      <alignment horizontal="left"/>
    </xf>
    <xf numFmtId="0" fontId="40" fillId="22" borderId="0" xfId="0" quotePrefix="1" applyFont="1" applyFill="1" applyBorder="1" applyAlignment="1">
      <alignment horizontal="left"/>
    </xf>
    <xf numFmtId="0" fontId="20" fillId="25" borderId="1" xfId="0" applyFont="1" applyFill="1" applyBorder="1" applyAlignment="1">
      <alignment horizontal="left"/>
    </xf>
    <xf numFmtId="0" fontId="20" fillId="27" borderId="1" xfId="0" applyFont="1" applyFill="1" applyBorder="1" applyAlignment="1">
      <alignment horizontal="left"/>
    </xf>
    <xf numFmtId="0" fontId="2" fillId="25" borderId="1" xfId="0" applyFont="1" applyFill="1" applyBorder="1" applyAlignment="1">
      <alignment horizontal="left"/>
    </xf>
    <xf numFmtId="0" fontId="2" fillId="25" borderId="0" xfId="0" applyFont="1" applyFill="1" applyBorder="1" applyAlignment="1">
      <alignment horizontal="left"/>
    </xf>
    <xf numFmtId="165" fontId="2" fillId="25" borderId="6" xfId="2" applyNumberFormat="1" applyFont="1" applyFill="1" applyBorder="1" applyAlignment="1">
      <alignment horizontal="left"/>
    </xf>
    <xf numFmtId="165" fontId="2" fillId="25" borderId="11" xfId="2" applyNumberFormat="1" applyFont="1" applyFill="1" applyBorder="1" applyAlignment="1">
      <alignment horizontal="left"/>
    </xf>
    <xf numFmtId="0" fontId="2" fillId="27" borderId="1" xfId="0" applyFont="1" applyFill="1" applyBorder="1" applyAlignment="1">
      <alignment horizontal="left"/>
    </xf>
    <xf numFmtId="0" fontId="2" fillId="27" borderId="0" xfId="0" applyFont="1" applyFill="1" applyBorder="1" applyAlignment="1">
      <alignment horizontal="left"/>
    </xf>
    <xf numFmtId="165" fontId="2" fillId="27" borderId="7" xfId="2" applyNumberFormat="1" applyFont="1" applyFill="1" applyBorder="1" applyAlignment="1">
      <alignment horizontal="left"/>
    </xf>
    <xf numFmtId="165" fontId="2" fillId="27" borderId="11" xfId="2" applyNumberFormat="1" applyFont="1" applyFill="1" applyBorder="1" applyAlignment="1">
      <alignment horizontal="left"/>
    </xf>
    <xf numFmtId="0" fontId="2" fillId="3" borderId="1" xfId="0" applyFont="1" applyFill="1" applyBorder="1" applyAlignment="1">
      <alignment horizontal="left"/>
    </xf>
    <xf numFmtId="18" fontId="2" fillId="20" borderId="1" xfId="0" applyNumberFormat="1" applyFont="1" applyFill="1" applyBorder="1" applyAlignment="1">
      <alignment horizontal="left"/>
    </xf>
    <xf numFmtId="18" fontId="2" fillId="21" borderId="1" xfId="0" applyNumberFormat="1" applyFont="1" applyFill="1" applyBorder="1" applyAlignment="1">
      <alignment horizontal="left"/>
    </xf>
    <xf numFmtId="0" fontId="41" fillId="27" borderId="0" xfId="0" applyFont="1" applyFill="1" applyBorder="1" applyAlignment="1">
      <alignment horizontal="left"/>
    </xf>
    <xf numFmtId="0" fontId="4" fillId="27" borderId="7" xfId="0" applyFont="1" applyFill="1" applyBorder="1" applyAlignment="1">
      <alignment horizontal="left"/>
    </xf>
    <xf numFmtId="165" fontId="4" fillId="27" borderId="0" xfId="2" applyNumberFormat="1" applyFont="1" applyFill="1" applyBorder="1" applyAlignment="1">
      <alignment horizontal="left"/>
    </xf>
    <xf numFmtId="165" fontId="4" fillId="27" borderId="7" xfId="2" applyNumberFormat="1" applyFont="1" applyFill="1" applyBorder="1" applyAlignment="1">
      <alignment horizontal="left"/>
    </xf>
    <xf numFmtId="0" fontId="2" fillId="28" borderId="7" xfId="0" applyFont="1" applyFill="1" applyBorder="1" applyAlignment="1">
      <alignment horizontal="left"/>
    </xf>
    <xf numFmtId="165" fontId="2" fillId="28" borderId="0" xfId="2" applyNumberFormat="1" applyFont="1" applyFill="1" applyBorder="1" applyAlignment="1">
      <alignment horizontal="left"/>
    </xf>
    <xf numFmtId="0" fontId="2" fillId="20" borderId="0" xfId="0" applyFont="1" applyFill="1" applyBorder="1" applyAlignment="1">
      <alignment horizontal="left"/>
    </xf>
    <xf numFmtId="18" fontId="2" fillId="20" borderId="13" xfId="0" applyNumberFormat="1" applyFont="1" applyFill="1" applyBorder="1" applyAlignment="1">
      <alignment horizontal="left"/>
    </xf>
    <xf numFmtId="0" fontId="2" fillId="37" borderId="13" xfId="0" applyFont="1" applyFill="1" applyBorder="1" applyAlignment="1">
      <alignment horizontal="left"/>
    </xf>
    <xf numFmtId="0" fontId="2" fillId="23" borderId="13" xfId="0" applyFont="1" applyFill="1" applyBorder="1" applyAlignment="1">
      <alignment horizontal="left"/>
    </xf>
    <xf numFmtId="0" fontId="2" fillId="43" borderId="1" xfId="0" applyFont="1" applyFill="1" applyBorder="1" applyAlignment="1">
      <alignment horizontal="left"/>
    </xf>
    <xf numFmtId="164" fontId="17" fillId="0" borderId="0" xfId="8" applyNumberFormat="1"/>
    <xf numFmtId="0" fontId="24" fillId="48" borderId="6" xfId="0" applyFont="1" applyFill="1" applyBorder="1"/>
    <xf numFmtId="0" fontId="7" fillId="48" borderId="6" xfId="0" applyFont="1" applyFill="1" applyBorder="1"/>
    <xf numFmtId="167" fontId="17" fillId="48" borderId="6" xfId="10" applyFont="1" applyFill="1" applyBorder="1"/>
    <xf numFmtId="167" fontId="0" fillId="48" borderId="6" xfId="10" applyFont="1" applyFill="1" applyBorder="1"/>
    <xf numFmtId="164" fontId="17" fillId="48" borderId="6" xfId="8" applyNumberFormat="1" applyFill="1" applyBorder="1"/>
    <xf numFmtId="0" fontId="2" fillId="57" borderId="16" xfId="8" applyFont="1" applyFill="1" applyBorder="1"/>
    <xf numFmtId="0" fontId="17" fillId="57" borderId="17" xfId="8" applyFill="1" applyBorder="1"/>
    <xf numFmtId="167" fontId="17" fillId="57" borderId="17" xfId="10" applyFont="1" applyFill="1" applyBorder="1"/>
    <xf numFmtId="167" fontId="0" fillId="57" borderId="17" xfId="10" applyFont="1" applyFill="1" applyBorder="1"/>
    <xf numFmtId="164" fontId="17" fillId="57" borderId="18" xfId="8" applyNumberFormat="1" applyFill="1" applyBorder="1"/>
    <xf numFmtId="165" fontId="2" fillId="0" borderId="0" xfId="2" applyNumberFormat="1" applyFont="1"/>
    <xf numFmtId="0" fontId="67" fillId="41" borderId="5" xfId="0" applyFont="1" applyFill="1" applyBorder="1" applyAlignment="1">
      <alignment horizontal="left"/>
    </xf>
    <xf numFmtId="0" fontId="2" fillId="39" borderId="1" xfId="0" applyFont="1" applyFill="1" applyBorder="1" applyAlignment="1">
      <alignment horizontal="left"/>
    </xf>
    <xf numFmtId="0" fontId="2" fillId="22" borderId="7" xfId="0" applyFont="1" applyFill="1" applyBorder="1" applyAlignment="1">
      <alignment horizontal="left"/>
    </xf>
    <xf numFmtId="0" fontId="68" fillId="28" borderId="5" xfId="0" applyFont="1" applyFill="1" applyBorder="1"/>
    <xf numFmtId="0" fontId="2" fillId="28" borderId="5" xfId="0" applyFont="1" applyFill="1" applyBorder="1"/>
    <xf numFmtId="164" fontId="2" fillId="28" borderId="5" xfId="0" applyNumberFormat="1" applyFont="1" applyFill="1" applyBorder="1"/>
    <xf numFmtId="2" fontId="2" fillId="28" borderId="5" xfId="0" applyNumberFormat="1" applyFont="1" applyFill="1" applyBorder="1"/>
    <xf numFmtId="164" fontId="2" fillId="28" borderId="5" xfId="2" applyFont="1" applyFill="1" applyBorder="1"/>
    <xf numFmtId="165" fontId="2" fillId="28" borderId="5" xfId="2" applyNumberFormat="1" applyFont="1" applyFill="1" applyBorder="1"/>
    <xf numFmtId="0" fontId="7" fillId="38" borderId="6" xfId="0" applyFont="1" applyFill="1" applyBorder="1" applyAlignment="1">
      <alignment horizontal="left"/>
    </xf>
    <xf numFmtId="0" fontId="11" fillId="38" borderId="6" xfId="0" applyFont="1" applyFill="1" applyBorder="1" applyAlignment="1">
      <alignment horizontal="left"/>
    </xf>
    <xf numFmtId="165" fontId="7" fillId="38" borderId="6" xfId="2" applyNumberFormat="1" applyFont="1" applyFill="1" applyBorder="1" applyAlignment="1">
      <alignment horizontal="left"/>
    </xf>
    <xf numFmtId="0" fontId="7" fillId="27" borderId="8" xfId="0" applyFont="1" applyFill="1" applyBorder="1" applyAlignment="1">
      <alignment horizontal="left"/>
    </xf>
    <xf numFmtId="165" fontId="7" fillId="27" borderId="8" xfId="2" applyNumberFormat="1" applyFont="1" applyFill="1" applyBorder="1" applyAlignment="1">
      <alignment horizontal="left"/>
    </xf>
    <xf numFmtId="0" fontId="11" fillId="27" borderId="14" xfId="0" applyFont="1" applyFill="1" applyBorder="1" applyAlignment="1">
      <alignment horizontal="left"/>
    </xf>
    <xf numFmtId="165" fontId="7" fillId="27" borderId="14" xfId="2" applyNumberFormat="1" applyFont="1" applyFill="1" applyBorder="1" applyAlignment="1">
      <alignment horizontal="left"/>
    </xf>
    <xf numFmtId="0" fontId="7" fillId="27" borderId="6" xfId="0" applyFont="1" applyFill="1" applyBorder="1" applyAlignment="1">
      <alignment horizontal="left"/>
    </xf>
    <xf numFmtId="165" fontId="7" fillId="27" borderId="4" xfId="2" applyNumberFormat="1" applyFont="1" applyFill="1" applyBorder="1" applyAlignment="1">
      <alignment horizontal="left"/>
    </xf>
    <xf numFmtId="165" fontId="7" fillId="27" borderId="6" xfId="2" applyNumberFormat="1" applyFont="1" applyFill="1" applyBorder="1" applyAlignment="1">
      <alignment horizontal="left"/>
    </xf>
    <xf numFmtId="0" fontId="39" fillId="27" borderId="5" xfId="0" applyFont="1" applyFill="1" applyBorder="1" applyAlignment="1">
      <alignment horizontal="left"/>
    </xf>
    <xf numFmtId="0" fontId="2" fillId="27" borderId="5" xfId="0" applyFont="1" applyFill="1" applyBorder="1" applyAlignment="1">
      <alignment horizontal="left"/>
    </xf>
    <xf numFmtId="0" fontId="40" fillId="27" borderId="5" xfId="0" applyFont="1" applyFill="1" applyBorder="1" applyAlignment="1">
      <alignment horizontal="left"/>
    </xf>
    <xf numFmtId="165" fontId="2" fillId="27" borderId="5" xfId="2" applyNumberFormat="1" applyFont="1" applyFill="1" applyBorder="1" applyAlignment="1">
      <alignment horizontal="left"/>
    </xf>
    <xf numFmtId="166" fontId="9" fillId="0" borderId="0" xfId="0" applyNumberFormat="1" applyFont="1"/>
    <xf numFmtId="164" fontId="0" fillId="56" borderId="0" xfId="2" applyFont="1" applyFill="1"/>
    <xf numFmtId="0" fontId="2" fillId="56" borderId="0" xfId="0" applyFont="1" applyFill="1"/>
    <xf numFmtId="164" fontId="0" fillId="56" borderId="0" xfId="0" applyNumberFormat="1" applyFill="1"/>
    <xf numFmtId="0" fontId="40" fillId="43" borderId="0" xfId="0" applyFont="1" applyFill="1" applyBorder="1" applyAlignment="1">
      <alignment horizontal="left" wrapText="1"/>
    </xf>
    <xf numFmtId="0" fontId="4" fillId="22" borderId="7" xfId="0" applyFont="1" applyFill="1" applyBorder="1" applyAlignment="1">
      <alignment horizontal="left"/>
    </xf>
    <xf numFmtId="0" fontId="2" fillId="32" borderId="5" xfId="3" applyFont="1" applyFill="1" applyBorder="1"/>
    <xf numFmtId="0" fontId="7" fillId="45" borderId="5" xfId="3" applyFont="1" applyFill="1" applyBorder="1"/>
    <xf numFmtId="0" fontId="69" fillId="31" borderId="5" xfId="11" applyFont="1" applyFill="1" applyBorder="1"/>
    <xf numFmtId="165" fontId="2" fillId="31" borderId="5" xfId="16" applyNumberFormat="1" applyFont="1" applyFill="1" applyBorder="1"/>
    <xf numFmtId="0" fontId="2" fillId="31" borderId="5" xfId="11" applyFont="1" applyFill="1" applyBorder="1"/>
    <xf numFmtId="0" fontId="2" fillId="45" borderId="14" xfId="0" applyFont="1" applyFill="1" applyBorder="1" applyAlignment="1">
      <alignment horizontal="left"/>
    </xf>
    <xf numFmtId="0" fontId="2" fillId="45" borderId="0" xfId="0" applyFont="1" applyFill="1" applyBorder="1" applyAlignment="1">
      <alignment horizontal="left"/>
    </xf>
    <xf numFmtId="0" fontId="11" fillId="45" borderId="7" xfId="0" applyFont="1" applyFill="1" applyBorder="1" applyAlignment="1">
      <alignment horizontal="left"/>
    </xf>
    <xf numFmtId="165" fontId="2" fillId="45" borderId="7" xfId="2" applyNumberFormat="1" applyFont="1" applyFill="1" applyBorder="1" applyAlignment="1">
      <alignment horizontal="left"/>
    </xf>
    <xf numFmtId="165" fontId="2" fillId="45" borderId="11" xfId="2" applyNumberFormat="1" applyFont="1" applyFill="1" applyBorder="1" applyAlignment="1">
      <alignment horizontal="left"/>
    </xf>
    <xf numFmtId="0" fontId="2" fillId="45" borderId="1" xfId="0" applyFont="1" applyFill="1" applyBorder="1" applyAlignment="1">
      <alignment horizontal="left"/>
    </xf>
    <xf numFmtId="0" fontId="9" fillId="56" borderId="0" xfId="0" applyFont="1" applyFill="1"/>
    <xf numFmtId="165" fontId="0" fillId="45" borderId="0" xfId="2" applyNumberFormat="1" applyFont="1" applyFill="1" applyBorder="1" applyAlignment="1">
      <alignment horizontal="left"/>
    </xf>
    <xf numFmtId="165" fontId="0" fillId="45" borderId="7" xfId="2" applyNumberFormat="1" applyFont="1" applyFill="1" applyBorder="1" applyAlignment="1">
      <alignment horizontal="left"/>
    </xf>
    <xf numFmtId="0" fontId="17" fillId="33" borderId="5" xfId="3" applyFont="1" applyFill="1" applyBorder="1"/>
    <xf numFmtId="0" fontId="2" fillId="33" borderId="5" xfId="3" applyFont="1" applyFill="1" applyBorder="1"/>
    <xf numFmtId="165" fontId="17" fillId="33" borderId="5" xfId="1" applyNumberFormat="1" applyFont="1" applyFill="1" applyBorder="1"/>
    <xf numFmtId="164" fontId="17" fillId="33" borderId="5" xfId="3" applyNumberFormat="1" applyFont="1" applyFill="1" applyBorder="1"/>
    <xf numFmtId="2" fontId="17" fillId="33" borderId="5" xfId="3" applyNumberFormat="1" applyFont="1" applyFill="1" applyBorder="1"/>
    <xf numFmtId="164" fontId="17" fillId="33" borderId="5" xfId="1" applyFont="1" applyFill="1" applyBorder="1"/>
    <xf numFmtId="0" fontId="19" fillId="31" borderId="1" xfId="0" applyFont="1" applyFill="1" applyBorder="1" applyAlignment="1">
      <alignment horizontal="left"/>
    </xf>
    <xf numFmtId="0" fontId="17" fillId="31" borderId="7" xfId="0" applyFont="1" applyFill="1" applyBorder="1" applyAlignment="1">
      <alignment horizontal="left"/>
    </xf>
    <xf numFmtId="0" fontId="42" fillId="31" borderId="0" xfId="0" applyFont="1" applyFill="1" applyBorder="1" applyAlignment="1">
      <alignment horizontal="left"/>
    </xf>
    <xf numFmtId="0" fontId="30" fillId="31" borderId="7" xfId="0" applyFont="1" applyFill="1" applyBorder="1" applyAlignment="1">
      <alignment horizontal="left"/>
    </xf>
    <xf numFmtId="165" fontId="30" fillId="31" borderId="0" xfId="2" applyNumberFormat="1" applyFont="1" applyFill="1" applyBorder="1" applyAlignment="1">
      <alignment horizontal="left"/>
    </xf>
    <xf numFmtId="165" fontId="30" fillId="31" borderId="7" xfId="2" applyNumberFormat="1" applyFont="1" applyFill="1" applyBorder="1" applyAlignment="1">
      <alignment horizontal="left"/>
    </xf>
    <xf numFmtId="165" fontId="17" fillId="31" borderId="7" xfId="2" applyNumberFormat="1" applyFont="1" applyFill="1" applyBorder="1" applyAlignment="1">
      <alignment horizontal="left"/>
    </xf>
    <xf numFmtId="0" fontId="40" fillId="31" borderId="0" xfId="0" applyFont="1" applyFill="1" applyBorder="1" applyAlignment="1">
      <alignment horizontal="left"/>
    </xf>
    <xf numFmtId="165" fontId="17" fillId="31" borderId="0" xfId="2" applyNumberFormat="1" applyFont="1" applyFill="1" applyBorder="1" applyAlignment="1">
      <alignment horizontal="left"/>
    </xf>
    <xf numFmtId="0" fontId="41" fillId="31" borderId="0" xfId="0" applyFont="1" applyFill="1" applyBorder="1" applyAlignment="1">
      <alignment horizontal="left"/>
    </xf>
    <xf numFmtId="0" fontId="4" fillId="31" borderId="7" xfId="0" applyFont="1" applyFill="1" applyBorder="1" applyAlignment="1">
      <alignment horizontal="left"/>
    </xf>
    <xf numFmtId="165" fontId="4" fillId="31" borderId="0" xfId="2" applyNumberFormat="1" applyFont="1" applyFill="1" applyBorder="1" applyAlignment="1">
      <alignment horizontal="left"/>
    </xf>
    <xf numFmtId="165" fontId="4" fillId="31" borderId="7" xfId="2" applyNumberFormat="1" applyFont="1" applyFill="1" applyBorder="1" applyAlignment="1">
      <alignment horizontal="left"/>
    </xf>
    <xf numFmtId="0" fontId="19" fillId="32" borderId="1" xfId="0" applyFont="1" applyFill="1" applyBorder="1" applyAlignment="1">
      <alignment horizontal="left"/>
    </xf>
    <xf numFmtId="0" fontId="17" fillId="32" borderId="7" xfId="0" applyFont="1" applyFill="1" applyBorder="1" applyAlignment="1">
      <alignment horizontal="left"/>
    </xf>
    <xf numFmtId="0" fontId="42" fillId="32" borderId="0" xfId="0" applyFont="1" applyFill="1" applyBorder="1" applyAlignment="1">
      <alignment horizontal="left"/>
    </xf>
    <xf numFmtId="0" fontId="30" fillId="32" borderId="7" xfId="0" applyFont="1" applyFill="1" applyBorder="1" applyAlignment="1">
      <alignment horizontal="left"/>
    </xf>
    <xf numFmtId="165" fontId="30" fillId="32" borderId="0" xfId="2" applyNumberFormat="1" applyFont="1" applyFill="1" applyBorder="1" applyAlignment="1">
      <alignment horizontal="left"/>
    </xf>
    <xf numFmtId="165" fontId="30" fillId="32" borderId="7" xfId="2" applyNumberFormat="1" applyFont="1" applyFill="1" applyBorder="1" applyAlignment="1">
      <alignment horizontal="left"/>
    </xf>
    <xf numFmtId="165" fontId="17" fillId="32" borderId="7" xfId="2" applyNumberFormat="1" applyFont="1" applyFill="1" applyBorder="1" applyAlignment="1">
      <alignment horizontal="left"/>
    </xf>
    <xf numFmtId="0" fontId="40" fillId="32" borderId="0" xfId="0" applyFont="1" applyFill="1" applyBorder="1" applyAlignment="1">
      <alignment horizontal="left"/>
    </xf>
    <xf numFmtId="165" fontId="17" fillId="32" borderId="0" xfId="2" applyNumberFormat="1" applyFont="1" applyFill="1" applyBorder="1" applyAlignment="1">
      <alignment horizontal="left"/>
    </xf>
    <xf numFmtId="0" fontId="41" fillId="32" borderId="0" xfId="0" applyFont="1" applyFill="1" applyBorder="1" applyAlignment="1">
      <alignment horizontal="left"/>
    </xf>
    <xf numFmtId="0" fontId="4" fillId="32" borderId="7" xfId="0" applyFont="1" applyFill="1" applyBorder="1" applyAlignment="1">
      <alignment horizontal="left"/>
    </xf>
    <xf numFmtId="165" fontId="4" fillId="32" borderId="0" xfId="2" applyNumberFormat="1" applyFont="1" applyFill="1" applyBorder="1" applyAlignment="1">
      <alignment horizontal="left"/>
    </xf>
    <xf numFmtId="165" fontId="4" fillId="32" borderId="7" xfId="2" applyNumberFormat="1" applyFont="1" applyFill="1" applyBorder="1" applyAlignment="1">
      <alignment horizontal="left"/>
    </xf>
    <xf numFmtId="0" fontId="19" fillId="33" borderId="1" xfId="0" applyFont="1" applyFill="1" applyBorder="1" applyAlignment="1">
      <alignment horizontal="left"/>
    </xf>
    <xf numFmtId="0" fontId="17" fillId="33" borderId="7" xfId="0" applyFont="1" applyFill="1" applyBorder="1" applyAlignment="1">
      <alignment horizontal="left"/>
    </xf>
    <xf numFmtId="0" fontId="30" fillId="33" borderId="7" xfId="0" applyFont="1" applyFill="1" applyBorder="1" applyAlignment="1">
      <alignment horizontal="left"/>
    </xf>
    <xf numFmtId="165" fontId="30" fillId="33" borderId="0" xfId="2" applyNumberFormat="1" applyFont="1" applyFill="1" applyBorder="1" applyAlignment="1">
      <alignment horizontal="left"/>
    </xf>
    <xf numFmtId="165" fontId="30" fillId="33" borderId="7" xfId="2" applyNumberFormat="1" applyFont="1" applyFill="1" applyBorder="1" applyAlignment="1">
      <alignment horizontal="left"/>
    </xf>
    <xf numFmtId="165" fontId="17" fillId="33" borderId="7" xfId="2" applyNumberFormat="1" applyFont="1" applyFill="1" applyBorder="1" applyAlignment="1">
      <alignment horizontal="left"/>
    </xf>
    <xf numFmtId="0" fontId="40" fillId="33" borderId="0" xfId="0" applyFont="1" applyFill="1" applyBorder="1" applyAlignment="1">
      <alignment horizontal="left"/>
    </xf>
    <xf numFmtId="165" fontId="17" fillId="33" borderId="0" xfId="2" applyNumberFormat="1" applyFont="1" applyFill="1" applyBorder="1" applyAlignment="1">
      <alignment horizontal="left"/>
    </xf>
    <xf numFmtId="0" fontId="41" fillId="33" borderId="0" xfId="0" applyFont="1" applyFill="1" applyBorder="1" applyAlignment="1">
      <alignment horizontal="left"/>
    </xf>
    <xf numFmtId="0" fontId="4" fillId="33" borderId="7" xfId="0" applyFont="1" applyFill="1" applyBorder="1" applyAlignment="1">
      <alignment horizontal="left"/>
    </xf>
    <xf numFmtId="165" fontId="4" fillId="33" borderId="0" xfId="2" applyNumberFormat="1" applyFont="1" applyFill="1" applyBorder="1" applyAlignment="1">
      <alignment horizontal="left"/>
    </xf>
    <xf numFmtId="165" fontId="4" fillId="33" borderId="7" xfId="2" applyNumberFormat="1" applyFont="1" applyFill="1" applyBorder="1" applyAlignment="1">
      <alignment horizontal="left"/>
    </xf>
    <xf numFmtId="0" fontId="17" fillId="31" borderId="1" xfId="0" applyFont="1" applyFill="1" applyBorder="1" applyAlignment="1">
      <alignment horizontal="left"/>
    </xf>
    <xf numFmtId="0" fontId="40" fillId="31" borderId="7" xfId="0" applyFont="1" applyFill="1" applyBorder="1" applyAlignment="1">
      <alignment horizontal="left"/>
    </xf>
    <xf numFmtId="0" fontId="17" fillId="31" borderId="0" xfId="0" applyFont="1" applyFill="1" applyBorder="1" applyAlignment="1">
      <alignment horizontal="left"/>
    </xf>
    <xf numFmtId="165" fontId="17" fillId="31" borderId="11" xfId="2" applyNumberFormat="1" applyFont="1" applyFill="1" applyBorder="1" applyAlignment="1">
      <alignment horizontal="left"/>
    </xf>
    <xf numFmtId="0" fontId="17" fillId="33" borderId="1" xfId="0" applyFont="1" applyFill="1" applyBorder="1" applyAlignment="1">
      <alignment horizontal="left"/>
    </xf>
    <xf numFmtId="0" fontId="40" fillId="33" borderId="7" xfId="0" applyFont="1" applyFill="1" applyBorder="1" applyAlignment="1">
      <alignment horizontal="left"/>
    </xf>
    <xf numFmtId="0" fontId="17" fillId="33" borderId="0" xfId="0" applyFont="1" applyFill="1" applyBorder="1" applyAlignment="1">
      <alignment horizontal="left"/>
    </xf>
    <xf numFmtId="165" fontId="17" fillId="33" borderId="11" xfId="2" applyNumberFormat="1" applyFont="1" applyFill="1" applyBorder="1" applyAlignment="1">
      <alignment horizontal="left"/>
    </xf>
    <xf numFmtId="0" fontId="17" fillId="32" borderId="1" xfId="0" applyFont="1" applyFill="1" applyBorder="1" applyAlignment="1">
      <alignment horizontal="left"/>
    </xf>
    <xf numFmtId="0" fontId="40" fillId="32" borderId="7" xfId="0" applyFont="1" applyFill="1" applyBorder="1" applyAlignment="1">
      <alignment horizontal="left"/>
    </xf>
    <xf numFmtId="0" fontId="17" fillId="32" borderId="0" xfId="0" applyFont="1" applyFill="1" applyBorder="1" applyAlignment="1">
      <alignment horizontal="left"/>
    </xf>
    <xf numFmtId="165" fontId="17" fillId="32" borderId="11" xfId="2" applyNumberFormat="1" applyFont="1" applyFill="1" applyBorder="1" applyAlignment="1">
      <alignment horizontal="left"/>
    </xf>
    <xf numFmtId="0" fontId="2" fillId="32" borderId="0" xfId="0" applyFont="1" applyFill="1" applyBorder="1" applyAlignment="1">
      <alignment horizontal="left"/>
    </xf>
    <xf numFmtId="0" fontId="19" fillId="31" borderId="13" xfId="0" applyFont="1" applyFill="1" applyBorder="1" applyAlignment="1">
      <alignment horizontal="left"/>
    </xf>
    <xf numFmtId="0" fontId="17" fillId="31" borderId="6" xfId="0" applyFont="1" applyFill="1" applyBorder="1" applyAlignment="1">
      <alignment horizontal="left"/>
    </xf>
    <xf numFmtId="0" fontId="42" fillId="31" borderId="14" xfId="0" applyFont="1" applyFill="1" applyBorder="1" applyAlignment="1">
      <alignment horizontal="left"/>
    </xf>
    <xf numFmtId="0" fontId="30" fillId="31" borderId="6" xfId="0" applyFont="1" applyFill="1" applyBorder="1" applyAlignment="1">
      <alignment horizontal="left"/>
    </xf>
    <xf numFmtId="165" fontId="30" fillId="31" borderId="14" xfId="2" applyNumberFormat="1" applyFont="1" applyFill="1" applyBorder="1" applyAlignment="1">
      <alignment horizontal="left"/>
    </xf>
    <xf numFmtId="165" fontId="30" fillId="31" borderId="6" xfId="2" applyNumberFormat="1" applyFont="1" applyFill="1" applyBorder="1" applyAlignment="1">
      <alignment horizontal="left"/>
    </xf>
    <xf numFmtId="165" fontId="17" fillId="31" borderId="6" xfId="2" applyNumberFormat="1" applyFont="1" applyFill="1" applyBorder="1" applyAlignment="1">
      <alignment horizontal="left"/>
    </xf>
    <xf numFmtId="0" fontId="19" fillId="31" borderId="12" xfId="0" applyFont="1" applyFill="1" applyBorder="1" applyAlignment="1">
      <alignment horizontal="left"/>
    </xf>
    <xf numFmtId="0" fontId="17" fillId="31" borderId="8" xfId="0" applyFont="1" applyFill="1" applyBorder="1" applyAlignment="1">
      <alignment horizontal="left"/>
    </xf>
    <xf numFmtId="0" fontId="40" fillId="31" borderId="4" xfId="0" applyFont="1" applyFill="1" applyBorder="1" applyAlignment="1">
      <alignment horizontal="left"/>
    </xf>
    <xf numFmtId="165" fontId="17" fillId="31" borderId="4" xfId="2" applyNumberFormat="1" applyFont="1" applyFill="1" applyBorder="1" applyAlignment="1">
      <alignment horizontal="left"/>
    </xf>
    <xf numFmtId="165" fontId="17" fillId="31" borderId="8" xfId="2" applyNumberFormat="1" applyFont="1" applyFill="1" applyBorder="1" applyAlignment="1">
      <alignment horizontal="left"/>
    </xf>
    <xf numFmtId="0" fontId="19" fillId="33" borderId="13" xfId="0" applyFont="1" applyFill="1" applyBorder="1" applyAlignment="1">
      <alignment horizontal="left"/>
    </xf>
    <xf numFmtId="0" fontId="17" fillId="33" borderId="6" xfId="0" applyFont="1" applyFill="1" applyBorder="1" applyAlignment="1">
      <alignment horizontal="left"/>
    </xf>
    <xf numFmtId="0" fontId="42" fillId="33" borderId="14" xfId="0" applyFont="1" applyFill="1" applyBorder="1" applyAlignment="1">
      <alignment horizontal="left"/>
    </xf>
    <xf numFmtId="0" fontId="30" fillId="33" borderId="6" xfId="0" applyFont="1" applyFill="1" applyBorder="1" applyAlignment="1">
      <alignment horizontal="left"/>
    </xf>
    <xf numFmtId="165" fontId="30" fillId="33" borderId="14" xfId="2" applyNumberFormat="1" applyFont="1" applyFill="1" applyBorder="1" applyAlignment="1">
      <alignment horizontal="left"/>
    </xf>
    <xf numFmtId="165" fontId="30" fillId="33" borderId="6" xfId="2" applyNumberFormat="1" applyFont="1" applyFill="1" applyBorder="1" applyAlignment="1">
      <alignment horizontal="left"/>
    </xf>
    <xf numFmtId="165" fontId="17" fillId="33" borderId="6" xfId="2" applyNumberFormat="1" applyFont="1" applyFill="1" applyBorder="1" applyAlignment="1">
      <alignment horizontal="left"/>
    </xf>
    <xf numFmtId="0" fontId="19" fillId="33" borderId="12" xfId="0" applyFont="1" applyFill="1" applyBorder="1" applyAlignment="1">
      <alignment horizontal="left"/>
    </xf>
    <xf numFmtId="0" fontId="17" fillId="33" borderId="8" xfId="0" applyFont="1" applyFill="1" applyBorder="1" applyAlignment="1">
      <alignment horizontal="left"/>
    </xf>
    <xf numFmtId="0" fontId="40" fillId="33" borderId="4" xfId="0" applyFont="1" applyFill="1" applyBorder="1" applyAlignment="1">
      <alignment horizontal="left"/>
    </xf>
    <xf numFmtId="165" fontId="17" fillId="33" borderId="4" xfId="2" applyNumberFormat="1" applyFont="1" applyFill="1" applyBorder="1" applyAlignment="1">
      <alignment horizontal="left"/>
    </xf>
    <xf numFmtId="165" fontId="17" fillId="33" borderId="8" xfId="2" applyNumberFormat="1" applyFont="1" applyFill="1" applyBorder="1" applyAlignment="1">
      <alignment horizontal="left"/>
    </xf>
    <xf numFmtId="0" fontId="19" fillId="32" borderId="13" xfId="0" applyFont="1" applyFill="1" applyBorder="1" applyAlignment="1">
      <alignment horizontal="left"/>
    </xf>
    <xf numFmtId="0" fontId="17" fillId="32" borderId="13" xfId="0" applyFont="1" applyFill="1" applyBorder="1" applyAlignment="1">
      <alignment horizontal="left"/>
    </xf>
    <xf numFmtId="0" fontId="40" fillId="32" borderId="6" xfId="0" applyFont="1" applyFill="1" applyBorder="1" applyAlignment="1">
      <alignment horizontal="left"/>
    </xf>
    <xf numFmtId="0" fontId="17" fillId="32" borderId="14" xfId="0" applyFont="1" applyFill="1" applyBorder="1" applyAlignment="1">
      <alignment horizontal="left"/>
    </xf>
    <xf numFmtId="165" fontId="17" fillId="32" borderId="6" xfId="2" applyNumberFormat="1" applyFont="1" applyFill="1" applyBorder="1" applyAlignment="1">
      <alignment horizontal="left"/>
    </xf>
    <xf numFmtId="165" fontId="17" fillId="32" borderId="15" xfId="2" applyNumberFormat="1" applyFont="1" applyFill="1" applyBorder="1" applyAlignment="1">
      <alignment horizontal="left"/>
    </xf>
    <xf numFmtId="165" fontId="17" fillId="32" borderId="14" xfId="2" applyNumberFormat="1" applyFont="1" applyFill="1" applyBorder="1" applyAlignment="1">
      <alignment horizontal="left"/>
    </xf>
    <xf numFmtId="0" fontId="19" fillId="32" borderId="12" xfId="0" applyFont="1" applyFill="1" applyBorder="1" applyAlignment="1">
      <alignment horizontal="left"/>
    </xf>
    <xf numFmtId="0" fontId="17" fillId="32" borderId="12" xfId="0" applyFont="1" applyFill="1" applyBorder="1" applyAlignment="1">
      <alignment horizontal="left"/>
    </xf>
    <xf numFmtId="0" fontId="40" fillId="32" borderId="8" xfId="0" applyFont="1" applyFill="1" applyBorder="1" applyAlignment="1">
      <alignment horizontal="left"/>
    </xf>
    <xf numFmtId="0" fontId="17" fillId="32" borderId="4" xfId="0" applyFont="1" applyFill="1" applyBorder="1" applyAlignment="1">
      <alignment horizontal="left"/>
    </xf>
    <xf numFmtId="165" fontId="17" fillId="32" borderId="8" xfId="2" applyNumberFormat="1" applyFont="1" applyFill="1" applyBorder="1" applyAlignment="1">
      <alignment horizontal="left"/>
    </xf>
    <xf numFmtId="165" fontId="17" fillId="32" borderId="10" xfId="2" applyNumberFormat="1" applyFont="1" applyFill="1" applyBorder="1" applyAlignment="1">
      <alignment horizontal="left"/>
    </xf>
    <xf numFmtId="165" fontId="17" fillId="32" borderId="4" xfId="2" applyNumberFormat="1" applyFont="1" applyFill="1" applyBorder="1" applyAlignment="1">
      <alignment horizontal="left"/>
    </xf>
    <xf numFmtId="0" fontId="17" fillId="31" borderId="13" xfId="0" applyFont="1" applyFill="1" applyBorder="1" applyAlignment="1">
      <alignment horizontal="left"/>
    </xf>
    <xf numFmtId="0" fontId="40" fillId="31" borderId="6" xfId="0" applyFont="1" applyFill="1" applyBorder="1" applyAlignment="1">
      <alignment horizontal="left"/>
    </xf>
    <xf numFmtId="0" fontId="17" fillId="31" borderId="14" xfId="0" applyFont="1" applyFill="1" applyBorder="1" applyAlignment="1">
      <alignment horizontal="left"/>
    </xf>
    <xf numFmtId="165" fontId="17" fillId="31" borderId="15" xfId="2" applyNumberFormat="1" applyFont="1" applyFill="1" applyBorder="1" applyAlignment="1">
      <alignment horizontal="left"/>
    </xf>
    <xf numFmtId="165" fontId="17" fillId="31" borderId="14" xfId="2" applyNumberFormat="1" applyFont="1" applyFill="1" applyBorder="1" applyAlignment="1">
      <alignment horizontal="left"/>
    </xf>
    <xf numFmtId="0" fontId="17" fillId="31" borderId="12" xfId="0" applyFont="1" applyFill="1" applyBorder="1" applyAlignment="1">
      <alignment horizontal="left"/>
    </xf>
    <xf numFmtId="0" fontId="40" fillId="31" borderId="8" xfId="0" applyFont="1" applyFill="1" applyBorder="1" applyAlignment="1">
      <alignment horizontal="left"/>
    </xf>
    <xf numFmtId="0" fontId="17" fillId="31" borderId="4" xfId="0" applyFont="1" applyFill="1" applyBorder="1" applyAlignment="1">
      <alignment horizontal="left"/>
    </xf>
    <xf numFmtId="165" fontId="17" fillId="31" borderId="10" xfId="2" applyNumberFormat="1" applyFont="1" applyFill="1" applyBorder="1" applyAlignment="1">
      <alignment horizontal="left"/>
    </xf>
    <xf numFmtId="0" fontId="17" fillId="33" borderId="13" xfId="0" applyFont="1" applyFill="1" applyBorder="1" applyAlignment="1">
      <alignment horizontal="left"/>
    </xf>
    <xf numFmtId="0" fontId="40" fillId="33" borderId="6" xfId="0" applyFont="1" applyFill="1" applyBorder="1" applyAlignment="1">
      <alignment horizontal="left"/>
    </xf>
    <xf numFmtId="0" fontId="17" fillId="33" borderId="14" xfId="0" applyFont="1" applyFill="1" applyBorder="1" applyAlignment="1">
      <alignment horizontal="left"/>
    </xf>
    <xf numFmtId="165" fontId="17" fillId="33" borderId="15" xfId="2" applyNumberFormat="1" applyFont="1" applyFill="1" applyBorder="1" applyAlignment="1">
      <alignment horizontal="left"/>
    </xf>
    <xf numFmtId="165" fontId="17" fillId="33" borderId="14" xfId="2" applyNumberFormat="1" applyFont="1" applyFill="1" applyBorder="1" applyAlignment="1">
      <alignment horizontal="left"/>
    </xf>
    <xf numFmtId="0" fontId="17" fillId="33" borderId="12" xfId="0" applyFont="1" applyFill="1" applyBorder="1" applyAlignment="1">
      <alignment horizontal="left"/>
    </xf>
    <xf numFmtId="0" fontId="40" fillId="33" borderId="8" xfId="0" applyFont="1" applyFill="1" applyBorder="1" applyAlignment="1">
      <alignment horizontal="left"/>
    </xf>
    <xf numFmtId="0" fontId="17" fillId="33" borderId="4" xfId="0" applyFont="1" applyFill="1" applyBorder="1" applyAlignment="1">
      <alignment horizontal="left"/>
    </xf>
    <xf numFmtId="165" fontId="17" fillId="33" borderId="10" xfId="2" applyNumberFormat="1" applyFont="1" applyFill="1" applyBorder="1" applyAlignment="1">
      <alignment horizontal="left"/>
    </xf>
    <xf numFmtId="165" fontId="17" fillId="27" borderId="10" xfId="2" applyNumberFormat="1" applyFont="1" applyFill="1" applyBorder="1" applyAlignment="1">
      <alignment horizontal="left"/>
    </xf>
    <xf numFmtId="0" fontId="12" fillId="27" borderId="0" xfId="0" applyFont="1" applyFill="1" applyAlignment="1">
      <alignment horizontal="left"/>
    </xf>
    <xf numFmtId="0" fontId="17" fillId="33" borderId="5" xfId="0" applyFont="1" applyFill="1" applyBorder="1" applyAlignment="1">
      <alignment horizontal="left"/>
    </xf>
    <xf numFmtId="0" fontId="40" fillId="33" borderId="5" xfId="0" applyFont="1" applyFill="1" applyBorder="1" applyAlignment="1">
      <alignment horizontal="left"/>
    </xf>
    <xf numFmtId="165" fontId="17" fillId="33" borderId="5" xfId="2" applyNumberFormat="1" applyFont="1" applyFill="1" applyBorder="1" applyAlignment="1">
      <alignment horizontal="left"/>
    </xf>
    <xf numFmtId="0" fontId="7" fillId="28" borderId="7" xfId="0" applyFont="1" applyFill="1" applyBorder="1" applyAlignment="1">
      <alignment horizontal="left"/>
    </xf>
    <xf numFmtId="0" fontId="11" fillId="28" borderId="0" xfId="0" applyFont="1" applyFill="1" applyBorder="1" applyAlignment="1">
      <alignment horizontal="left"/>
    </xf>
    <xf numFmtId="165" fontId="7" fillId="28" borderId="0" xfId="2" applyNumberFormat="1" applyFont="1" applyFill="1" applyBorder="1" applyAlignment="1">
      <alignment horizontal="left"/>
    </xf>
    <xf numFmtId="165" fontId="7" fillId="28" borderId="7" xfId="2" applyNumberFormat="1" applyFont="1" applyFill="1" applyBorder="1" applyAlignment="1">
      <alignment horizontal="left"/>
    </xf>
    <xf numFmtId="165" fontId="7" fillId="28" borderId="11" xfId="2" applyNumberFormat="1" applyFont="1" applyFill="1" applyBorder="1" applyAlignment="1">
      <alignment horizontal="left"/>
    </xf>
    <xf numFmtId="0" fontId="7" fillId="28" borderId="8" xfId="0" applyFont="1" applyFill="1" applyBorder="1" applyAlignment="1">
      <alignment horizontal="left"/>
    </xf>
    <xf numFmtId="0" fontId="11" fillId="28" borderId="4" xfId="0" applyFont="1" applyFill="1" applyBorder="1" applyAlignment="1">
      <alignment horizontal="left"/>
    </xf>
    <xf numFmtId="165" fontId="7" fillId="28" borderId="4" xfId="2" applyNumberFormat="1" applyFont="1" applyFill="1" applyBorder="1" applyAlignment="1">
      <alignment horizontal="left"/>
    </xf>
    <xf numFmtId="165" fontId="7" fillId="28" borderId="8" xfId="2" applyNumberFormat="1" applyFont="1" applyFill="1" applyBorder="1" applyAlignment="1">
      <alignment horizontal="left"/>
    </xf>
    <xf numFmtId="165" fontId="7" fillId="28" borderId="10" xfId="2" applyNumberFormat="1" applyFont="1" applyFill="1" applyBorder="1" applyAlignment="1">
      <alignment horizontal="left"/>
    </xf>
    <xf numFmtId="165" fontId="7" fillId="28" borderId="6" xfId="2" applyNumberFormat="1" applyFont="1" applyFill="1" applyBorder="1" applyAlignment="1">
      <alignment horizontal="left"/>
    </xf>
    <xf numFmtId="0" fontId="27" fillId="31" borderId="7" xfId="0" applyFont="1" applyFill="1" applyBorder="1" applyAlignment="1">
      <alignment horizontal="left"/>
    </xf>
    <xf numFmtId="0" fontId="17" fillId="32" borderId="6" xfId="0" applyFont="1" applyFill="1" applyBorder="1" applyAlignment="1">
      <alignment horizontal="left"/>
    </xf>
    <xf numFmtId="0" fontId="42" fillId="32" borderId="14" xfId="0" applyFont="1" applyFill="1" applyBorder="1" applyAlignment="1">
      <alignment horizontal="left"/>
    </xf>
    <xf numFmtId="0" fontId="30" fillId="32" borderId="6" xfId="0" applyFont="1" applyFill="1" applyBorder="1" applyAlignment="1">
      <alignment horizontal="left"/>
    </xf>
    <xf numFmtId="165" fontId="30" fillId="32" borderId="14" xfId="2" applyNumberFormat="1" applyFont="1" applyFill="1" applyBorder="1" applyAlignment="1">
      <alignment horizontal="left"/>
    </xf>
    <xf numFmtId="165" fontId="30" fillId="32" borderId="6" xfId="2" applyNumberFormat="1" applyFont="1" applyFill="1" applyBorder="1" applyAlignment="1">
      <alignment horizontal="left"/>
    </xf>
    <xf numFmtId="0" fontId="17" fillId="32" borderId="8" xfId="0" applyFont="1" applyFill="1" applyBorder="1" applyAlignment="1">
      <alignment horizontal="left"/>
    </xf>
    <xf numFmtId="0" fontId="40" fillId="32" borderId="4" xfId="0" applyFont="1" applyFill="1" applyBorder="1" applyAlignment="1">
      <alignment horizontal="left"/>
    </xf>
    <xf numFmtId="0" fontId="17" fillId="28" borderId="6" xfId="0" applyFont="1" applyFill="1" applyBorder="1" applyAlignment="1">
      <alignment horizontal="left"/>
    </xf>
    <xf numFmtId="0" fontId="42" fillId="28" borderId="14" xfId="0" applyFont="1" applyFill="1" applyBorder="1" applyAlignment="1">
      <alignment horizontal="left"/>
    </xf>
    <xf numFmtId="0" fontId="30" fillId="28" borderId="6" xfId="0" applyFont="1" applyFill="1" applyBorder="1" applyAlignment="1">
      <alignment horizontal="left"/>
    </xf>
    <xf numFmtId="165" fontId="30" fillId="28" borderId="14" xfId="2" applyNumberFormat="1" applyFont="1" applyFill="1" applyBorder="1" applyAlignment="1">
      <alignment horizontal="left"/>
    </xf>
    <xf numFmtId="165" fontId="30" fillId="28" borderId="6" xfId="2" applyNumberFormat="1" applyFont="1" applyFill="1" applyBorder="1" applyAlignment="1">
      <alignment horizontal="left"/>
    </xf>
    <xf numFmtId="165" fontId="2" fillId="32" borderId="7" xfId="2" applyNumberFormat="1" applyFont="1" applyFill="1" applyBorder="1" applyAlignment="1">
      <alignment horizontal="left"/>
    </xf>
    <xf numFmtId="0" fontId="2" fillId="32" borderId="1" xfId="0" applyFont="1" applyFill="1" applyBorder="1" applyAlignment="1">
      <alignment horizontal="left"/>
    </xf>
    <xf numFmtId="0" fontId="11" fillId="32" borderId="7" xfId="0" applyFont="1" applyFill="1" applyBorder="1" applyAlignment="1">
      <alignment horizontal="left"/>
    </xf>
    <xf numFmtId="165" fontId="2" fillId="32" borderId="11" xfId="2" applyNumberFormat="1" applyFont="1" applyFill="1" applyBorder="1" applyAlignment="1">
      <alignment horizontal="left"/>
    </xf>
    <xf numFmtId="165" fontId="0" fillId="32" borderId="0" xfId="2" applyNumberFormat="1" applyFont="1" applyFill="1" applyBorder="1" applyAlignment="1">
      <alignment horizontal="left"/>
    </xf>
    <xf numFmtId="165" fontId="0" fillId="32" borderId="7" xfId="2" applyNumberFormat="1" applyFont="1" applyFill="1" applyBorder="1" applyAlignment="1">
      <alignment horizontal="left"/>
    </xf>
    <xf numFmtId="0" fontId="11" fillId="32" borderId="0" xfId="0" applyFont="1" applyFill="1" applyBorder="1" applyAlignment="1">
      <alignment horizontal="left"/>
    </xf>
    <xf numFmtId="0" fontId="2" fillId="28" borderId="5" xfId="3" applyFont="1" applyFill="1" applyBorder="1"/>
    <xf numFmtId="0" fontId="17" fillId="28" borderId="5" xfId="3" applyFont="1" applyFill="1" applyBorder="1"/>
    <xf numFmtId="0" fontId="17" fillId="28" borderId="0" xfId="8" applyFill="1"/>
    <xf numFmtId="0" fontId="2" fillId="31" borderId="7" xfId="0" applyFont="1" applyFill="1" applyBorder="1" applyAlignment="1">
      <alignment horizontal="left"/>
    </xf>
    <xf numFmtId="0" fontId="2" fillId="28" borderId="6" xfId="0" applyFont="1" applyFill="1" applyBorder="1" applyAlignment="1">
      <alignment horizontal="left"/>
    </xf>
    <xf numFmtId="0" fontId="40" fillId="28" borderId="14" xfId="0" applyFont="1" applyFill="1" applyBorder="1" applyAlignment="1">
      <alignment horizontal="left"/>
    </xf>
    <xf numFmtId="0" fontId="2" fillId="28" borderId="8" xfId="0" applyFont="1" applyFill="1" applyBorder="1" applyAlignment="1">
      <alignment horizontal="left"/>
    </xf>
    <xf numFmtId="165" fontId="6" fillId="0" borderId="2" xfId="2" applyNumberFormat="1" applyFont="1" applyFill="1" applyBorder="1"/>
    <xf numFmtId="165" fontId="2" fillId="3" borderId="2" xfId="2" applyNumberFormat="1" applyFont="1" applyFill="1" applyBorder="1"/>
    <xf numFmtId="165" fontId="2" fillId="20" borderId="2" xfId="2" applyNumberFormat="1" applyFont="1" applyFill="1" applyBorder="1"/>
    <xf numFmtId="165" fontId="2" fillId="21" borderId="2" xfId="2" applyNumberFormat="1" applyFont="1" applyFill="1" applyBorder="1"/>
    <xf numFmtId="165" fontId="2" fillId="37" borderId="2" xfId="2" applyNumberFormat="1" applyFont="1" applyFill="1" applyBorder="1"/>
    <xf numFmtId="165" fontId="2" fillId="22" borderId="2" xfId="2" applyNumberFormat="1" applyFont="1" applyFill="1" applyBorder="1"/>
    <xf numFmtId="165" fontId="2" fillId="23" borderId="2" xfId="2" applyNumberFormat="1" applyFont="1" applyFill="1" applyBorder="1"/>
    <xf numFmtId="165" fontId="2" fillId="49" borderId="2" xfId="2" applyNumberFormat="1" applyFont="1" applyFill="1" applyBorder="1"/>
    <xf numFmtId="165" fontId="2" fillId="25" borderId="2" xfId="2" applyNumberFormat="1" applyFont="1" applyFill="1" applyBorder="1"/>
    <xf numFmtId="165" fontId="2" fillId="26" borderId="2" xfId="2" applyNumberFormat="1" applyFont="1" applyFill="1" applyBorder="1"/>
    <xf numFmtId="165" fontId="2" fillId="38" borderId="2" xfId="2" applyNumberFormat="1" applyFont="1" applyFill="1" applyBorder="1"/>
    <xf numFmtId="165" fontId="2" fillId="27" borderId="2" xfId="2" applyNumberFormat="1" applyFont="1" applyFill="1" applyBorder="1"/>
    <xf numFmtId="165" fontId="2" fillId="39" borderId="2" xfId="2" applyNumberFormat="1" applyFont="1" applyFill="1" applyBorder="1"/>
    <xf numFmtId="165" fontId="2" fillId="40" borderId="2" xfId="2" applyNumberFormat="1" applyFont="1" applyFill="1" applyBorder="1"/>
    <xf numFmtId="165" fontId="2" fillId="41" borderId="2" xfId="2" applyNumberFormat="1" applyFont="1" applyFill="1" applyBorder="1"/>
    <xf numFmtId="165" fontId="7" fillId="19" borderId="2" xfId="2" applyNumberFormat="1" applyFont="1" applyFill="1" applyBorder="1"/>
    <xf numFmtId="165" fontId="7" fillId="42" borderId="2" xfId="2" applyNumberFormat="1" applyFont="1" applyFill="1" applyBorder="1"/>
    <xf numFmtId="165" fontId="7" fillId="30" borderId="2" xfId="2" applyNumberFormat="1" applyFont="1" applyFill="1" applyBorder="1"/>
    <xf numFmtId="165" fontId="7" fillId="28" borderId="2" xfId="2" applyNumberFormat="1" applyFont="1" applyFill="1" applyBorder="1"/>
    <xf numFmtId="165" fontId="7" fillId="43" borderId="2" xfId="2" applyNumberFormat="1" applyFont="1" applyFill="1" applyBorder="1"/>
    <xf numFmtId="165" fontId="7" fillId="29" borderId="2" xfId="2" applyNumberFormat="1" applyFont="1" applyFill="1" applyBorder="1"/>
    <xf numFmtId="165" fontId="7" fillId="44" borderId="2" xfId="2" applyNumberFormat="1" applyFont="1" applyFill="1" applyBorder="1"/>
    <xf numFmtId="165" fontId="7" fillId="45" borderId="2" xfId="2" applyNumberFormat="1" applyFont="1" applyFill="1" applyBorder="1"/>
    <xf numFmtId="165" fontId="7" fillId="46" borderId="2" xfId="2" applyNumberFormat="1" applyFont="1" applyFill="1" applyBorder="1"/>
    <xf numFmtId="165" fontId="7" fillId="26" borderId="2" xfId="2" applyNumberFormat="1" applyFont="1" applyFill="1" applyBorder="1"/>
    <xf numFmtId="165" fontId="7" fillId="31" borderId="2" xfId="2" applyNumberFormat="1" applyFont="1" applyFill="1" applyBorder="1"/>
    <xf numFmtId="165" fontId="7" fillId="32" borderId="2" xfId="2" applyNumberFormat="1" applyFont="1" applyFill="1" applyBorder="1"/>
    <xf numFmtId="165" fontId="7" fillId="47" borderId="2" xfId="2" applyNumberFormat="1" applyFont="1" applyFill="1" applyBorder="1"/>
    <xf numFmtId="165" fontId="7" fillId="33" borderId="2" xfId="2" applyNumberFormat="1" applyFont="1" applyFill="1" applyBorder="1"/>
    <xf numFmtId="165" fontId="7" fillId="50" borderId="2" xfId="2" applyNumberFormat="1" applyFont="1" applyFill="1" applyBorder="1"/>
    <xf numFmtId="165" fontId="5" fillId="18" borderId="2" xfId="2" applyNumberFormat="1" applyFont="1" applyFill="1" applyBorder="1"/>
    <xf numFmtId="0" fontId="9" fillId="0" borderId="19" xfId="0" applyFont="1" applyBorder="1"/>
    <xf numFmtId="0" fontId="9" fillId="0" borderId="20" xfId="0" applyFont="1" applyBorder="1"/>
    <xf numFmtId="0" fontId="9" fillId="0" borderId="21" xfId="0" applyFont="1" applyBorder="1"/>
    <xf numFmtId="0" fontId="17" fillId="0" borderId="22" xfId="0" applyFont="1" applyBorder="1"/>
    <xf numFmtId="165" fontId="2" fillId="0" borderId="23" xfId="2" applyNumberFormat="1" applyFont="1" applyFill="1" applyBorder="1"/>
    <xf numFmtId="166" fontId="2" fillId="3" borderId="22" xfId="0" applyNumberFormat="1" applyFont="1" applyFill="1" applyBorder="1"/>
    <xf numFmtId="166" fontId="2" fillId="3" borderId="23" xfId="0" applyNumberFormat="1" applyFont="1" applyFill="1" applyBorder="1"/>
    <xf numFmtId="166" fontId="2" fillId="20" borderId="22" xfId="0" applyNumberFormat="1" applyFont="1" applyFill="1" applyBorder="1"/>
    <xf numFmtId="166" fontId="2" fillId="20" borderId="23" xfId="0" applyNumberFormat="1" applyFont="1" applyFill="1" applyBorder="1"/>
    <xf numFmtId="166" fontId="2" fillId="21" borderId="22" xfId="0" applyNumberFormat="1" applyFont="1" applyFill="1" applyBorder="1"/>
    <xf numFmtId="166" fontId="2" fillId="21" borderId="23" xfId="0" applyNumberFormat="1" applyFont="1" applyFill="1" applyBorder="1"/>
    <xf numFmtId="166" fontId="2" fillId="37" borderId="22" xfId="0" applyNumberFormat="1" applyFont="1" applyFill="1" applyBorder="1"/>
    <xf numFmtId="166" fontId="2" fillId="37" borderId="23" xfId="0" applyNumberFormat="1" applyFont="1" applyFill="1" applyBorder="1"/>
    <xf numFmtId="166" fontId="2" fillId="22" borderId="22" xfId="0" applyNumberFormat="1" applyFont="1" applyFill="1" applyBorder="1"/>
    <xf numFmtId="166" fontId="2" fillId="22" borderId="23" xfId="0" applyNumberFormat="1" applyFont="1" applyFill="1" applyBorder="1"/>
    <xf numFmtId="166" fontId="2" fillId="23" borderId="22" xfId="0" applyNumberFormat="1" applyFont="1" applyFill="1" applyBorder="1"/>
    <xf numFmtId="166" fontId="2" fillId="23" borderId="23" xfId="0" applyNumberFormat="1" applyFont="1" applyFill="1" applyBorder="1"/>
    <xf numFmtId="166" fontId="2" fillId="49" borderId="22" xfId="0" applyNumberFormat="1" applyFont="1" applyFill="1" applyBorder="1"/>
    <xf numFmtId="166" fontId="2" fillId="49" borderId="23" xfId="0" applyNumberFormat="1" applyFont="1" applyFill="1" applyBorder="1"/>
    <xf numFmtId="166" fontId="2" fillId="25" borderId="22" xfId="0" applyNumberFormat="1" applyFont="1" applyFill="1" applyBorder="1"/>
    <xf numFmtId="166" fontId="2" fillId="25" borderId="23" xfId="0" applyNumberFormat="1" applyFont="1" applyFill="1" applyBorder="1"/>
    <xf numFmtId="166" fontId="2" fillId="26" borderId="22" xfId="0" applyNumberFormat="1" applyFont="1" applyFill="1" applyBorder="1"/>
    <xf numFmtId="166" fontId="2" fillId="26" borderId="23" xfId="0" applyNumberFormat="1" applyFont="1" applyFill="1" applyBorder="1"/>
    <xf numFmtId="166" fontId="2" fillId="38" borderId="22" xfId="0" applyNumberFormat="1" applyFont="1" applyFill="1" applyBorder="1"/>
    <xf numFmtId="166" fontId="2" fillId="38" borderId="23" xfId="0" applyNumberFormat="1" applyFont="1" applyFill="1" applyBorder="1"/>
    <xf numFmtId="166" fontId="2" fillId="27" borderId="22" xfId="0" applyNumberFormat="1" applyFont="1" applyFill="1" applyBorder="1"/>
    <xf numFmtId="166" fontId="2" fillId="27" borderId="23" xfId="0" applyNumberFormat="1" applyFont="1" applyFill="1" applyBorder="1"/>
    <xf numFmtId="166" fontId="2" fillId="39" borderId="22" xfId="0" applyNumberFormat="1" applyFont="1" applyFill="1" applyBorder="1"/>
    <xf numFmtId="166" fontId="2" fillId="39" borderId="23" xfId="0" applyNumberFormat="1" applyFont="1" applyFill="1" applyBorder="1"/>
    <xf numFmtId="166" fontId="2" fillId="40" borderId="22" xfId="0" applyNumberFormat="1" applyFont="1" applyFill="1" applyBorder="1"/>
    <xf numFmtId="166" fontId="2" fillId="40" borderId="23" xfId="0" applyNumberFormat="1" applyFont="1" applyFill="1" applyBorder="1"/>
    <xf numFmtId="166" fontId="2" fillId="41" borderId="22" xfId="0" applyNumberFormat="1" applyFont="1" applyFill="1" applyBorder="1"/>
    <xf numFmtId="166" fontId="2" fillId="41" borderId="23" xfId="0" applyNumberFormat="1" applyFont="1" applyFill="1" applyBorder="1"/>
    <xf numFmtId="166" fontId="7" fillId="19" borderId="22" xfId="0" applyNumberFormat="1" applyFont="1" applyFill="1" applyBorder="1"/>
    <xf numFmtId="166" fontId="7" fillId="19" borderId="23" xfId="0" applyNumberFormat="1" applyFont="1" applyFill="1" applyBorder="1"/>
    <xf numFmtId="166" fontId="7" fillId="42" borderId="22" xfId="0" applyNumberFormat="1" applyFont="1" applyFill="1" applyBorder="1"/>
    <xf numFmtId="166" fontId="7" fillId="42" borderId="23" xfId="0" applyNumberFormat="1" applyFont="1" applyFill="1" applyBorder="1"/>
    <xf numFmtId="166" fontId="7" fillId="30" borderId="22" xfId="0" applyNumberFormat="1" applyFont="1" applyFill="1" applyBorder="1"/>
    <xf numFmtId="166" fontId="7" fillId="30" borderId="23" xfId="0" applyNumberFormat="1" applyFont="1" applyFill="1" applyBorder="1"/>
    <xf numFmtId="166" fontId="7" fillId="28" borderId="22" xfId="0" applyNumberFormat="1" applyFont="1" applyFill="1" applyBorder="1"/>
    <xf numFmtId="166" fontId="7" fillId="28" borderId="23" xfId="0" applyNumberFormat="1" applyFont="1" applyFill="1" applyBorder="1"/>
    <xf numFmtId="166" fontId="7" fillId="43" borderId="22" xfId="0" applyNumberFormat="1" applyFont="1" applyFill="1" applyBorder="1"/>
    <xf numFmtId="166" fontId="7" fillId="43" borderId="23" xfId="0" applyNumberFormat="1" applyFont="1" applyFill="1" applyBorder="1"/>
    <xf numFmtId="166" fontId="7" fillId="29" borderId="22" xfId="0" applyNumberFormat="1" applyFont="1" applyFill="1" applyBorder="1"/>
    <xf numFmtId="166" fontId="7" fillId="29" borderId="23" xfId="0" applyNumberFormat="1" applyFont="1" applyFill="1" applyBorder="1"/>
    <xf numFmtId="166" fontId="7" fillId="44" borderId="22" xfId="0" applyNumberFormat="1" applyFont="1" applyFill="1" applyBorder="1"/>
    <xf numFmtId="166" fontId="7" fillId="44" borderId="23" xfId="0" applyNumberFormat="1" applyFont="1" applyFill="1" applyBorder="1"/>
    <xf numFmtId="166" fontId="7" fillId="45" borderId="22" xfId="0" applyNumberFormat="1" applyFont="1" applyFill="1" applyBorder="1"/>
    <xf numFmtId="166" fontId="7" fillId="45" borderId="23" xfId="0" applyNumberFormat="1" applyFont="1" applyFill="1" applyBorder="1"/>
    <xf numFmtId="166" fontId="7" fillId="46" borderId="22" xfId="0" applyNumberFormat="1" applyFont="1" applyFill="1" applyBorder="1"/>
    <xf numFmtId="166" fontId="7" fillId="46" borderId="23" xfId="0" applyNumberFormat="1" applyFont="1" applyFill="1" applyBorder="1"/>
    <xf numFmtId="166" fontId="7" fillId="26" borderId="22" xfId="0" applyNumberFormat="1" applyFont="1" applyFill="1" applyBorder="1"/>
    <xf numFmtId="166" fontId="7" fillId="26" borderId="23" xfId="0" applyNumberFormat="1" applyFont="1" applyFill="1" applyBorder="1"/>
    <xf numFmtId="166" fontId="7" fillId="31" borderId="22" xfId="0" applyNumberFormat="1" applyFont="1" applyFill="1" applyBorder="1"/>
    <xf numFmtId="166" fontId="7" fillId="31" borderId="23" xfId="0" applyNumberFormat="1" applyFont="1" applyFill="1" applyBorder="1"/>
    <xf numFmtId="166" fontId="7" fillId="32" borderId="22" xfId="0" applyNumberFormat="1" applyFont="1" applyFill="1" applyBorder="1"/>
    <xf numFmtId="166" fontId="7" fillId="32" borderId="23" xfId="0" applyNumberFormat="1" applyFont="1" applyFill="1" applyBorder="1"/>
    <xf numFmtId="166" fontId="7" fillId="47" borderId="22" xfId="0" applyNumberFormat="1" applyFont="1" applyFill="1" applyBorder="1"/>
    <xf numFmtId="166" fontId="7" fillId="47" borderId="23" xfId="0" applyNumberFormat="1" applyFont="1" applyFill="1" applyBorder="1"/>
    <xf numFmtId="166" fontId="7" fillId="33" borderId="22" xfId="0" applyNumberFormat="1" applyFont="1" applyFill="1" applyBorder="1"/>
    <xf numFmtId="166" fontId="7" fillId="33" borderId="23" xfId="0" applyNumberFormat="1" applyFont="1" applyFill="1" applyBorder="1"/>
    <xf numFmtId="166" fontId="7" fillId="50" borderId="22" xfId="0" applyNumberFormat="1" applyFont="1" applyFill="1" applyBorder="1"/>
    <xf numFmtId="166" fontId="7" fillId="50" borderId="23" xfId="0" applyNumberFormat="1" applyFont="1" applyFill="1" applyBorder="1"/>
    <xf numFmtId="166" fontId="5" fillId="18" borderId="24" xfId="0" applyNumberFormat="1" applyFont="1" applyFill="1" applyBorder="1"/>
    <xf numFmtId="166" fontId="5" fillId="18" borderId="25" xfId="0" applyNumberFormat="1" applyFont="1" applyFill="1" applyBorder="1"/>
    <xf numFmtId="166" fontId="5" fillId="18" borderId="26" xfId="0" applyNumberFormat="1" applyFont="1" applyFill="1" applyBorder="1"/>
    <xf numFmtId="165" fontId="2" fillId="0" borderId="22" xfId="2" applyNumberFormat="1" applyFont="1" applyFill="1" applyBorder="1"/>
    <xf numFmtId="165" fontId="2" fillId="56" borderId="11" xfId="2" applyNumberFormat="1" applyFont="1" applyFill="1" applyBorder="1"/>
    <xf numFmtId="165" fontId="9" fillId="0" borderId="20" xfId="2" applyNumberFormat="1" applyFont="1" applyFill="1" applyBorder="1"/>
    <xf numFmtId="165" fontId="17" fillId="0" borderId="2" xfId="2" applyNumberFormat="1" applyFont="1" applyFill="1" applyBorder="1"/>
    <xf numFmtId="165" fontId="2" fillId="0" borderId="2" xfId="2" applyNumberFormat="1" applyFont="1" applyFill="1" applyBorder="1"/>
    <xf numFmtId="165" fontId="5" fillId="18" borderId="27" xfId="2" applyNumberFormat="1" applyFont="1" applyFill="1" applyBorder="1"/>
    <xf numFmtId="165" fontId="9" fillId="0" borderId="28" xfId="2" applyNumberFormat="1" applyFont="1" applyFill="1" applyBorder="1"/>
    <xf numFmtId="165" fontId="2" fillId="3" borderId="29" xfId="2" applyNumberFormat="1" applyFont="1" applyFill="1" applyBorder="1"/>
    <xf numFmtId="165" fontId="2" fillId="20" borderId="29" xfId="2" applyNumberFormat="1" applyFont="1" applyFill="1" applyBorder="1"/>
    <xf numFmtId="165" fontId="2" fillId="21" borderId="29" xfId="2" applyNumberFormat="1" applyFont="1" applyFill="1" applyBorder="1"/>
    <xf numFmtId="165" fontId="2" fillId="37" borderId="29" xfId="2" applyNumberFormat="1" applyFont="1" applyFill="1" applyBorder="1"/>
    <xf numFmtId="165" fontId="2" fillId="22" borderId="29" xfId="2" applyNumberFormat="1" applyFont="1" applyFill="1" applyBorder="1"/>
    <xf numFmtId="165" fontId="2" fillId="23" borderId="29" xfId="2" applyNumberFormat="1" applyFont="1" applyFill="1" applyBorder="1"/>
    <xf numFmtId="165" fontId="2" fillId="49" borderId="29" xfId="2" applyNumberFormat="1" applyFont="1" applyFill="1" applyBorder="1"/>
    <xf numFmtId="165" fontId="2" fillId="25" borderId="29" xfId="2" applyNumberFormat="1" applyFont="1" applyFill="1" applyBorder="1"/>
    <xf numFmtId="165" fontId="2" fillId="26" borderId="29" xfId="2" applyNumberFormat="1" applyFont="1" applyFill="1" applyBorder="1"/>
    <xf numFmtId="165" fontId="2" fillId="38" borderId="29" xfId="2" applyNumberFormat="1" applyFont="1" applyFill="1" applyBorder="1"/>
    <xf numFmtId="165" fontId="2" fillId="27" borderId="29" xfId="2" applyNumberFormat="1" applyFont="1" applyFill="1" applyBorder="1"/>
    <xf numFmtId="165" fontId="2" fillId="39" borderId="29" xfId="2" applyNumberFormat="1" applyFont="1" applyFill="1" applyBorder="1"/>
    <xf numFmtId="165" fontId="2" fillId="40" borderId="29" xfId="2" applyNumberFormat="1" applyFont="1" applyFill="1" applyBorder="1"/>
    <xf numFmtId="165" fontId="2" fillId="41" borderId="29" xfId="2" applyNumberFormat="1" applyFont="1" applyFill="1" applyBorder="1"/>
    <xf numFmtId="165" fontId="7" fillId="19" borderId="29" xfId="2" applyNumberFormat="1" applyFont="1" applyFill="1" applyBorder="1"/>
    <xf numFmtId="165" fontId="7" fillId="42" borderId="29" xfId="2" applyNumberFormat="1" applyFont="1" applyFill="1" applyBorder="1"/>
    <xf numFmtId="165" fontId="7" fillId="30" borderId="29" xfId="2" applyNumberFormat="1" applyFont="1" applyFill="1" applyBorder="1"/>
    <xf numFmtId="165" fontId="7" fillId="28" borderId="29" xfId="2" applyNumberFormat="1" applyFont="1" applyFill="1" applyBorder="1"/>
    <xf numFmtId="165" fontId="7" fillId="43" borderId="29" xfId="2" applyNumberFormat="1" applyFont="1" applyFill="1" applyBorder="1"/>
    <xf numFmtId="165" fontId="7" fillId="29" borderId="29" xfId="2" applyNumberFormat="1" applyFont="1" applyFill="1" applyBorder="1"/>
    <xf numFmtId="165" fontId="7" fillId="44" borderId="29" xfId="2" applyNumberFormat="1" applyFont="1" applyFill="1" applyBorder="1"/>
    <xf numFmtId="165" fontId="7" fillId="45" borderId="29" xfId="2" applyNumberFormat="1" applyFont="1" applyFill="1" applyBorder="1"/>
    <xf numFmtId="165" fontId="7" fillId="46" borderId="29" xfId="2" applyNumberFormat="1" applyFont="1" applyFill="1" applyBorder="1"/>
    <xf numFmtId="165" fontId="7" fillId="26" borderId="29" xfId="2" applyNumberFormat="1" applyFont="1" applyFill="1" applyBorder="1"/>
    <xf numFmtId="165" fontId="7" fillId="31" borderId="29" xfId="2" applyNumberFormat="1" applyFont="1" applyFill="1" applyBorder="1"/>
    <xf numFmtId="165" fontId="7" fillId="32" borderId="29" xfId="2" applyNumberFormat="1" applyFont="1" applyFill="1" applyBorder="1"/>
    <xf numFmtId="165" fontId="7" fillId="47" borderId="29" xfId="2" applyNumberFormat="1" applyFont="1" applyFill="1" applyBorder="1"/>
    <xf numFmtId="165" fontId="7" fillId="33" borderId="29" xfId="2" applyNumberFormat="1" applyFont="1" applyFill="1" applyBorder="1"/>
    <xf numFmtId="165" fontId="7" fillId="50" borderId="29" xfId="2" applyNumberFormat="1" applyFont="1" applyFill="1" applyBorder="1"/>
    <xf numFmtId="165" fontId="5" fillId="18" borderId="30" xfId="2" applyNumberFormat="1" applyFont="1" applyFill="1" applyBorder="1"/>
    <xf numFmtId="165" fontId="58" fillId="0" borderId="29" xfId="2" applyNumberFormat="1" applyFont="1" applyFill="1" applyBorder="1"/>
    <xf numFmtId="166" fontId="70" fillId="3" borderId="22" xfId="0" applyNumberFormat="1" applyFont="1" applyFill="1" applyBorder="1"/>
    <xf numFmtId="164" fontId="69" fillId="0" borderId="0" xfId="0" applyNumberFormat="1" applyFont="1"/>
    <xf numFmtId="164" fontId="69" fillId="0" borderId="0" xfId="0" applyNumberFormat="1" applyFont="1" applyAlignment="1">
      <alignment horizontal="right"/>
    </xf>
    <xf numFmtId="165" fontId="17" fillId="42" borderId="10" xfId="2" applyNumberFormat="1" applyFont="1" applyFill="1" applyBorder="1" applyAlignment="1">
      <alignment horizontal="left"/>
    </xf>
    <xf numFmtId="0" fontId="2" fillId="42" borderId="7" xfId="0" applyFont="1" applyFill="1" applyBorder="1" applyAlignment="1">
      <alignment horizontal="left"/>
    </xf>
    <xf numFmtId="0" fontId="11" fillId="42" borderId="14" xfId="0" applyFont="1" applyFill="1" applyBorder="1" applyAlignment="1">
      <alignment horizontal="left"/>
    </xf>
    <xf numFmtId="0" fontId="0" fillId="42" borderId="8" xfId="0" applyFill="1" applyBorder="1" applyAlignment="1">
      <alignment horizontal="left"/>
    </xf>
    <xf numFmtId="0" fontId="11" fillId="42" borderId="4" xfId="0" applyFont="1" applyFill="1" applyBorder="1" applyAlignment="1">
      <alignment horizontal="left"/>
    </xf>
    <xf numFmtId="0" fontId="2" fillId="42" borderId="6" xfId="0" applyFont="1" applyFill="1" applyBorder="1" applyAlignment="1">
      <alignment horizontal="left"/>
    </xf>
    <xf numFmtId="0" fontId="0" fillId="42" borderId="7" xfId="0" applyFill="1" applyBorder="1" applyAlignment="1">
      <alignment horizontal="left"/>
    </xf>
    <xf numFmtId="165" fontId="28" fillId="42" borderId="0" xfId="2" applyNumberFormat="1" applyFont="1" applyFill="1" applyBorder="1" applyAlignment="1">
      <alignment horizontal="left"/>
    </xf>
    <xf numFmtId="165" fontId="0" fillId="42" borderId="7" xfId="2" applyNumberFormat="1" applyFont="1" applyFill="1" applyBorder="1" applyAlignment="1">
      <alignment horizontal="left"/>
    </xf>
    <xf numFmtId="165" fontId="0" fillId="42" borderId="0" xfId="2" applyNumberFormat="1" applyFont="1" applyFill="1" applyBorder="1" applyAlignment="1">
      <alignment horizontal="left"/>
    </xf>
    <xf numFmtId="0" fontId="17" fillId="42" borderId="5" xfId="0" applyFont="1" applyFill="1" applyBorder="1" applyAlignment="1">
      <alignment horizontal="left"/>
    </xf>
    <xf numFmtId="0" fontId="40" fillId="42" borderId="5" xfId="0" applyFont="1" applyFill="1" applyBorder="1" applyAlignment="1">
      <alignment horizontal="left"/>
    </xf>
    <xf numFmtId="165" fontId="17" fillId="42" borderId="5" xfId="2" applyNumberFormat="1" applyFont="1" applyFill="1" applyBorder="1" applyAlignment="1">
      <alignment horizontal="left"/>
    </xf>
    <xf numFmtId="0" fontId="12" fillId="56" borderId="0" xfId="0" applyFont="1" applyFill="1" applyAlignment="1">
      <alignment horizontal="right"/>
    </xf>
    <xf numFmtId="0" fontId="9" fillId="56" borderId="0" xfId="0" applyFont="1" applyFill="1" applyAlignment="1">
      <alignment horizontal="left"/>
    </xf>
    <xf numFmtId="165" fontId="17" fillId="27" borderId="15" xfId="2" applyNumberFormat="1" applyFont="1" applyFill="1" applyBorder="1" applyAlignment="1">
      <alignment horizontal="left"/>
    </xf>
    <xf numFmtId="0" fontId="7" fillId="56" borderId="0" xfId="0" applyFont="1" applyFill="1" applyAlignment="1">
      <alignment horizontal="left"/>
    </xf>
    <xf numFmtId="164" fontId="3" fillId="0" borderId="0" xfId="2" applyFont="1"/>
    <xf numFmtId="164" fontId="0" fillId="0" borderId="0" xfId="2" applyFont="1"/>
    <xf numFmtId="164" fontId="9" fillId="0" borderId="19" xfId="2" applyFont="1" applyBorder="1"/>
    <xf numFmtId="164" fontId="2" fillId="0" borderId="22" xfId="2" applyFont="1" applyFill="1" applyBorder="1"/>
    <xf numFmtId="164" fontId="2" fillId="3" borderId="22" xfId="2" applyFont="1" applyFill="1" applyBorder="1"/>
    <xf numFmtId="164" fontId="2" fillId="20" borderId="22" xfId="2" applyFont="1" applyFill="1" applyBorder="1"/>
    <xf numFmtId="164" fontId="2" fillId="21" borderId="22" xfId="2" applyFont="1" applyFill="1" applyBorder="1"/>
    <xf numFmtId="164" fontId="2" fillId="37" borderId="22" xfId="2" applyFont="1" applyFill="1" applyBorder="1"/>
    <xf numFmtId="164" fontId="2" fillId="22" borderId="22" xfId="2" applyFont="1" applyFill="1" applyBorder="1"/>
    <xf numFmtId="164" fontId="2" fillId="23" borderId="22" xfId="2" applyFont="1" applyFill="1" applyBorder="1"/>
    <xf numFmtId="164" fontId="2" fillId="49" borderId="22" xfId="2" applyFont="1" applyFill="1" applyBorder="1"/>
    <xf numFmtId="164" fontId="2" fillId="25" borderId="22" xfId="2" applyFont="1" applyFill="1" applyBorder="1"/>
    <xf numFmtId="164" fontId="2" fillId="26" borderId="22" xfId="2" applyFont="1" applyFill="1" applyBorder="1"/>
    <xf numFmtId="164" fontId="2" fillId="38" borderId="22" xfId="2" applyFont="1" applyFill="1" applyBorder="1"/>
    <xf numFmtId="164" fontId="2" fillId="27" borderId="22" xfId="2" applyFont="1" applyFill="1" applyBorder="1"/>
    <xf numFmtId="164" fontId="2" fillId="39" borderId="22" xfId="2" applyFont="1" applyFill="1" applyBorder="1"/>
    <xf numFmtId="164" fontId="2" fillId="40" borderId="22" xfId="2" applyFont="1" applyFill="1" applyBorder="1"/>
    <xf numFmtId="164" fontId="2" fillId="41" borderId="22" xfId="2" applyFont="1" applyFill="1" applyBorder="1"/>
    <xf numFmtId="164" fontId="7" fillId="19" borderId="22" xfId="2" applyFont="1" applyFill="1" applyBorder="1"/>
    <xf numFmtId="164" fontId="7" fillId="42" borderId="22" xfId="2" applyFont="1" applyFill="1" applyBorder="1"/>
    <xf numFmtId="164" fontId="7" fillId="30" borderId="22" xfId="2" applyFont="1" applyFill="1" applyBorder="1"/>
    <xf numFmtId="164" fontId="7" fillId="28" borderId="22" xfId="2" applyFont="1" applyFill="1" applyBorder="1"/>
    <xf numFmtId="164" fontId="7" fillId="43" borderId="22" xfId="2" applyFont="1" applyFill="1" applyBorder="1"/>
    <xf numFmtId="164" fontId="7" fillId="29" borderId="22" xfId="2" applyFont="1" applyFill="1" applyBorder="1"/>
    <xf numFmtId="164" fontId="7" fillId="44" borderId="22" xfId="2" applyFont="1" applyFill="1" applyBorder="1"/>
    <xf numFmtId="164" fontId="7" fillId="45" borderId="22" xfId="2" applyFont="1" applyFill="1" applyBorder="1"/>
    <xf numFmtId="164" fontId="7" fillId="46" borderId="22" xfId="2" applyFont="1" applyFill="1" applyBorder="1"/>
    <xf numFmtId="164" fontId="7" fillId="26" borderId="22" xfId="2" applyFont="1" applyFill="1" applyBorder="1"/>
    <xf numFmtId="164" fontId="7" fillId="31" borderId="22" xfId="2" applyFont="1" applyFill="1" applyBorder="1"/>
    <xf numFmtId="164" fontId="7" fillId="32" borderId="22" xfId="2" applyFont="1" applyFill="1" applyBorder="1"/>
    <xf numFmtId="164" fontId="7" fillId="47" borderId="22" xfId="2" applyFont="1" applyFill="1" applyBorder="1"/>
    <xf numFmtId="164" fontId="7" fillId="33" borderId="22" xfId="2" applyFont="1" applyFill="1" applyBorder="1"/>
    <xf numFmtId="164" fontId="7" fillId="50" borderId="22" xfId="2" applyFont="1" applyFill="1" applyBorder="1"/>
    <xf numFmtId="164" fontId="5" fillId="18" borderId="24" xfId="2" applyFont="1" applyFill="1" applyBorder="1"/>
    <xf numFmtId="164" fontId="9" fillId="0" borderId="0" xfId="2" applyFont="1"/>
    <xf numFmtId="164" fontId="0" fillId="0" borderId="0" xfId="2" applyFont="1" applyAlignment="1">
      <alignment horizontal="right"/>
    </xf>
    <xf numFmtId="164" fontId="0" fillId="0" borderId="0" xfId="2" applyFont="1" applyBorder="1"/>
    <xf numFmtId="164" fontId="30" fillId="0" borderId="0" xfId="2" applyFont="1" applyFill="1" applyBorder="1"/>
    <xf numFmtId="164" fontId="30" fillId="0" borderId="0" xfId="2" applyFont="1" applyBorder="1"/>
    <xf numFmtId="164" fontId="9" fillId="0" borderId="20" xfId="2" applyFont="1" applyBorder="1"/>
    <xf numFmtId="164" fontId="2" fillId="0" borderId="5" xfId="2" applyFont="1" applyFill="1" applyBorder="1"/>
    <xf numFmtId="164" fontId="2" fillId="3" borderId="5" xfId="2" applyFont="1" applyFill="1" applyBorder="1"/>
    <xf numFmtId="164" fontId="2" fillId="20" borderId="5" xfId="2" applyFont="1" applyFill="1" applyBorder="1"/>
    <xf numFmtId="164" fontId="2" fillId="21" borderId="5" xfId="2" applyFont="1" applyFill="1" applyBorder="1"/>
    <xf numFmtId="164" fontId="2" fillId="37" borderId="5" xfId="2" applyFont="1" applyFill="1" applyBorder="1"/>
    <xf numFmtId="164" fontId="2" fillId="22" borderId="5" xfId="2" applyFont="1" applyFill="1" applyBorder="1"/>
    <xf numFmtId="164" fontId="2" fillId="23" borderId="5" xfId="2" applyFont="1" applyFill="1" applyBorder="1"/>
    <xf numFmtId="164" fontId="2" fillId="49" borderId="5" xfId="2" applyFont="1" applyFill="1" applyBorder="1"/>
    <xf numFmtId="164" fontId="2" fillId="25" borderId="5" xfId="2" applyFont="1" applyFill="1" applyBorder="1"/>
    <xf numFmtId="164" fontId="2" fillId="26" borderId="5" xfId="2" applyFont="1" applyFill="1" applyBorder="1"/>
    <xf numFmtId="164" fontId="2" fillId="38" borderId="5" xfId="2" applyFont="1" applyFill="1" applyBorder="1"/>
    <xf numFmtId="164" fontId="2" fillId="27" borderId="5" xfId="2" applyFont="1" applyFill="1" applyBorder="1"/>
    <xf numFmtId="164" fontId="2" fillId="39" borderId="5" xfId="2" applyFont="1" applyFill="1" applyBorder="1"/>
    <xf numFmtId="164" fontId="2" fillId="40" borderId="5" xfId="2" applyFont="1" applyFill="1" applyBorder="1"/>
    <xf numFmtId="164" fontId="2" fillId="41" borderId="5" xfId="2" applyFont="1" applyFill="1" applyBorder="1"/>
    <xf numFmtId="164" fontId="7" fillId="19" borderId="5" xfId="2" applyFont="1" applyFill="1" applyBorder="1"/>
    <xf numFmtId="164" fontId="7" fillId="42" borderId="5" xfId="2" applyFont="1" applyFill="1" applyBorder="1"/>
    <xf numFmtId="164" fontId="7" fillId="30" borderId="5" xfId="2" applyFont="1" applyFill="1" applyBorder="1"/>
    <xf numFmtId="164" fontId="7" fillId="28" borderId="5" xfId="2" applyFont="1" applyFill="1" applyBorder="1"/>
    <xf numFmtId="164" fontId="7" fillId="43" borderId="5" xfId="2" applyFont="1" applyFill="1" applyBorder="1"/>
    <xf numFmtId="164" fontId="7" fillId="29" borderId="5" xfId="2" applyFont="1" applyFill="1" applyBorder="1"/>
    <xf numFmtId="164" fontId="7" fillId="44" borderId="5" xfId="2" applyFont="1" applyFill="1" applyBorder="1"/>
    <xf numFmtId="164" fontId="7" fillId="45" borderId="5" xfId="2" applyFont="1" applyFill="1" applyBorder="1"/>
    <xf numFmtId="164" fontId="7" fillId="46" borderId="5" xfId="2" applyFont="1" applyFill="1" applyBorder="1"/>
    <xf numFmtId="164" fontId="7" fillId="26" borderId="5" xfId="2" applyFont="1" applyFill="1" applyBorder="1"/>
    <xf numFmtId="164" fontId="7" fillId="31" borderId="5" xfId="2" applyFont="1" applyFill="1" applyBorder="1"/>
    <xf numFmtId="164" fontId="7" fillId="32" borderId="5" xfId="2" applyFont="1" applyFill="1" applyBorder="1"/>
    <xf numFmtId="164" fontId="7" fillId="47" borderId="5" xfId="2" applyFont="1" applyFill="1" applyBorder="1"/>
    <xf numFmtId="164" fontId="7" fillId="33" borderId="5" xfId="2" applyFont="1" applyFill="1" applyBorder="1"/>
    <xf numFmtId="164" fontId="7" fillId="50" borderId="5" xfId="2" applyFont="1" applyFill="1" applyBorder="1"/>
    <xf numFmtId="164" fontId="5" fillId="18" borderId="25" xfId="2" applyFont="1" applyFill="1" applyBorder="1"/>
    <xf numFmtId="0" fontId="3" fillId="56" borderId="0" xfId="0" applyFont="1" applyFill="1"/>
    <xf numFmtId="0" fontId="0" fillId="56" borderId="0" xfId="0" applyFill="1"/>
    <xf numFmtId="165" fontId="2" fillId="56" borderId="0" xfId="0" applyNumberFormat="1" applyFont="1" applyFill="1"/>
    <xf numFmtId="164" fontId="0" fillId="56" borderId="0" xfId="0" applyNumberFormat="1" applyFont="1" applyFill="1"/>
    <xf numFmtId="164" fontId="2" fillId="56" borderId="0" xfId="0" applyNumberFormat="1" applyFont="1" applyFill="1" applyBorder="1"/>
    <xf numFmtId="164" fontId="0" fillId="56" borderId="0" xfId="0" applyNumberFormat="1" applyFont="1" applyFill="1" applyBorder="1"/>
    <xf numFmtId="164" fontId="2" fillId="56" borderId="0" xfId="0" applyNumberFormat="1" applyFont="1" applyFill="1" applyBorder="1" applyAlignment="1"/>
    <xf numFmtId="164" fontId="0" fillId="56" borderId="0" xfId="0" applyNumberFormat="1" applyFont="1" applyFill="1" applyBorder="1" applyAlignment="1"/>
    <xf numFmtId="166" fontId="0" fillId="56" borderId="0" xfId="0" applyNumberFormat="1" applyFill="1" applyBorder="1"/>
    <xf numFmtId="0" fontId="0" fillId="56" borderId="0" xfId="0" applyFill="1" applyAlignment="1">
      <alignment horizontal="right"/>
    </xf>
    <xf numFmtId="0" fontId="0" fillId="56" borderId="0" xfId="0" applyFill="1" applyBorder="1"/>
    <xf numFmtId="0" fontId="30" fillId="56" borderId="0" xfId="0" applyFont="1" applyFill="1" applyBorder="1"/>
    <xf numFmtId="0" fontId="52" fillId="56" borderId="0" xfId="0" applyFont="1" applyFill="1"/>
    <xf numFmtId="165" fontId="26" fillId="56" borderId="7" xfId="2" applyNumberFormat="1" applyFont="1" applyFill="1" applyBorder="1" applyAlignment="1">
      <alignment horizontal="left"/>
    </xf>
    <xf numFmtId="0" fontId="29" fillId="56" borderId="0" xfId="0" applyFont="1" applyFill="1"/>
    <xf numFmtId="0" fontId="29" fillId="56" borderId="0" xfId="0" applyFont="1" applyFill="1" applyAlignment="1">
      <alignment horizontal="left"/>
    </xf>
    <xf numFmtId="0" fontId="29" fillId="56" borderId="0" xfId="0" applyFont="1" applyFill="1" applyAlignment="1">
      <alignment horizontal="right"/>
    </xf>
    <xf numFmtId="0" fontId="9" fillId="56" borderId="0" xfId="0" applyFont="1" applyFill="1" applyAlignment="1">
      <alignment horizontal="right"/>
    </xf>
    <xf numFmtId="0" fontId="7" fillId="56" borderId="0" xfId="0" applyFont="1" applyFill="1"/>
    <xf numFmtId="165" fontId="12" fillId="56" borderId="0" xfId="0" applyNumberFormat="1" applyFont="1" applyFill="1" applyAlignment="1">
      <alignment horizontal="right"/>
    </xf>
    <xf numFmtId="165" fontId="28" fillId="42" borderId="14" xfId="2" applyNumberFormat="1" applyFont="1" applyFill="1" applyBorder="1" applyAlignment="1">
      <alignment horizontal="left"/>
    </xf>
    <xf numFmtId="165" fontId="0" fillId="42" borderId="6" xfId="2" applyNumberFormat="1" applyFont="1" applyFill="1" applyBorder="1" applyAlignment="1">
      <alignment horizontal="left"/>
    </xf>
    <xf numFmtId="165" fontId="0" fillId="42" borderId="14" xfId="2" applyNumberFormat="1" applyFont="1" applyFill="1" applyBorder="1" applyAlignment="1">
      <alignment horizontal="left"/>
    </xf>
    <xf numFmtId="165" fontId="28" fillId="42" borderId="4" xfId="2" applyNumberFormat="1" applyFont="1" applyFill="1" applyBorder="1" applyAlignment="1">
      <alignment horizontal="left"/>
    </xf>
    <xf numFmtId="165" fontId="0" fillId="42" borderId="8" xfId="2" applyNumberFormat="1" applyFont="1" applyFill="1" applyBorder="1" applyAlignment="1">
      <alignment horizontal="left"/>
    </xf>
    <xf numFmtId="165" fontId="0" fillId="42" borderId="4" xfId="2" applyNumberFormat="1" applyFont="1" applyFill="1" applyBorder="1" applyAlignment="1">
      <alignment horizontal="left"/>
    </xf>
    <xf numFmtId="0" fontId="23" fillId="56" borderId="0" xfId="0" applyFont="1" applyFill="1"/>
    <xf numFmtId="0" fontId="53" fillId="56" borderId="0" xfId="0" applyFont="1" applyFill="1"/>
    <xf numFmtId="165" fontId="35" fillId="56" borderId="7" xfId="2" applyNumberFormat="1" applyFont="1" applyFill="1" applyBorder="1" applyAlignment="1">
      <alignment horizontal="left"/>
    </xf>
    <xf numFmtId="0" fontId="24" fillId="56" borderId="0" xfId="0" applyFont="1" applyFill="1" applyAlignment="1">
      <alignment horizontal="right"/>
    </xf>
    <xf numFmtId="0" fontId="36" fillId="56" borderId="0" xfId="0" applyFont="1" applyFill="1"/>
    <xf numFmtId="0" fontId="34" fillId="56" borderId="0" xfId="0" applyFont="1" applyFill="1"/>
    <xf numFmtId="0" fontId="33" fillId="56" borderId="0" xfId="0" applyFont="1" applyFill="1" applyAlignment="1">
      <alignment horizontal="left"/>
    </xf>
    <xf numFmtId="0" fontId="12" fillId="56" borderId="0" xfId="0" applyFont="1" applyFill="1" applyAlignment="1">
      <alignment horizontal="left"/>
    </xf>
    <xf numFmtId="0" fontId="65" fillId="56" borderId="0" xfId="0" applyFont="1" applyFill="1" applyAlignment="1">
      <alignment horizontal="left"/>
    </xf>
    <xf numFmtId="0" fontId="23" fillId="56" borderId="0" xfId="0" applyFont="1" applyFill="1" applyBorder="1"/>
    <xf numFmtId="165" fontId="23" fillId="56" borderId="0" xfId="0" applyNumberFormat="1" applyFont="1" applyFill="1"/>
    <xf numFmtId="165" fontId="26" fillId="56" borderId="1" xfId="2" applyNumberFormat="1" applyFont="1" applyFill="1" applyBorder="1" applyAlignment="1">
      <alignment horizontal="left"/>
    </xf>
    <xf numFmtId="0" fontId="33" fillId="56" borderId="0" xfId="0" applyFont="1" applyFill="1"/>
    <xf numFmtId="0" fontId="7" fillId="56" borderId="0" xfId="0" applyFont="1" applyFill="1" applyAlignment="1">
      <alignment horizontal="right"/>
    </xf>
    <xf numFmtId="0" fontId="65" fillId="56" borderId="0" xfId="0" applyFont="1" applyFill="1"/>
    <xf numFmtId="165" fontId="33" fillId="56" borderId="1" xfId="2" applyNumberFormat="1" applyFont="1" applyFill="1" applyBorder="1" applyAlignment="1">
      <alignment horizontal="left"/>
    </xf>
    <xf numFmtId="0" fontId="16" fillId="56" borderId="0" xfId="0" applyFont="1" applyFill="1" applyAlignment="1">
      <alignment horizontal="right"/>
    </xf>
    <xf numFmtId="0" fontId="13" fillId="56" borderId="0" xfId="0" applyFont="1" applyFill="1" applyAlignment="1">
      <alignment horizontal="right"/>
    </xf>
    <xf numFmtId="0" fontId="48" fillId="56" borderId="0" xfId="0" applyFont="1" applyFill="1" applyAlignment="1"/>
    <xf numFmtId="0" fontId="65" fillId="56" borderId="0" xfId="0" applyFont="1" applyFill="1" applyAlignment="1"/>
    <xf numFmtId="0" fontId="66" fillId="56" borderId="0" xfId="0" applyFont="1" applyFill="1" applyAlignment="1"/>
    <xf numFmtId="0" fontId="9" fillId="56" borderId="0" xfId="0" applyFont="1" applyFill="1" applyAlignment="1"/>
    <xf numFmtId="0" fontId="14" fillId="56" borderId="0" xfId="0" applyFont="1" applyFill="1" applyAlignment="1">
      <alignment horizontal="right"/>
    </xf>
    <xf numFmtId="0" fontId="4" fillId="56" borderId="0" xfId="0" applyFont="1" applyFill="1" applyAlignment="1">
      <alignment wrapText="1"/>
    </xf>
    <xf numFmtId="0" fontId="17" fillId="56" borderId="0" xfId="0" applyFont="1" applyFill="1"/>
    <xf numFmtId="0" fontId="58" fillId="56" borderId="0" xfId="0" applyFont="1" applyFill="1"/>
    <xf numFmtId="164" fontId="17" fillId="56" borderId="0" xfId="0" applyNumberFormat="1" applyFont="1" applyFill="1"/>
    <xf numFmtId="0" fontId="17" fillId="56" borderId="0" xfId="0" applyFont="1" applyFill="1" applyBorder="1"/>
    <xf numFmtId="0" fontId="2" fillId="56" borderId="0" xfId="0" applyFont="1" applyFill="1" applyBorder="1"/>
    <xf numFmtId="164" fontId="17" fillId="39" borderId="5" xfId="1" applyFont="1" applyFill="1" applyBorder="1"/>
    <xf numFmtId="164" fontId="24" fillId="43" borderId="5" xfId="2" applyFont="1" applyFill="1" applyBorder="1"/>
    <xf numFmtId="164" fontId="24" fillId="29" borderId="5" xfId="2" applyFont="1" applyFill="1" applyBorder="1"/>
    <xf numFmtId="164" fontId="24" fillId="31" borderId="5" xfId="2" applyFont="1" applyFill="1" applyBorder="1"/>
    <xf numFmtId="164" fontId="2" fillId="56" borderId="0" xfId="2" applyFont="1" applyFill="1"/>
    <xf numFmtId="165" fontId="2" fillId="56" borderId="0" xfId="2" applyNumberFormat="1" applyFont="1" applyFill="1" applyBorder="1"/>
  </cellXfs>
  <cellStyles count="21">
    <cellStyle name="Comma 2" xfId="5"/>
    <cellStyle name="Comma 2 2" xfId="12"/>
    <cellStyle name="Comma 3" xfId="6"/>
    <cellStyle name="Comma 3 2" xfId="13"/>
    <cellStyle name="Comma 4" xfId="7"/>
    <cellStyle name="Comma 4 2" xfId="14"/>
    <cellStyle name="Comma 5" xfId="10"/>
    <cellStyle name="Comma 5 2" xfId="15"/>
    <cellStyle name="Comma 6" xfId="16"/>
    <cellStyle name="Comma_Budget_template" xfId="1"/>
    <cellStyle name="Įprastas" xfId="0" builtinId="0"/>
    <cellStyle name="Kablelis" xfId="2" builtinId="3"/>
    <cellStyle name="Normal 2" xfId="4"/>
    <cellStyle name="Normal 2 2" xfId="17"/>
    <cellStyle name="Normal 3" xfId="8"/>
    <cellStyle name="Normal 3 2" xfId="18"/>
    <cellStyle name="Normal 4" xfId="9"/>
    <cellStyle name="Normal 4 2" xfId="19"/>
    <cellStyle name="Normal 5" xfId="20"/>
    <cellStyle name="Normal 6" xfId="11"/>
    <cellStyle name="Normal_Budget_template" xfId="3"/>
  </cellStyles>
  <dxfs count="0"/>
  <tableStyles count="0" defaultTableStyle="TableStyleMedium2" defaultPivotStyle="PivotStyleLight16"/>
  <colors>
    <mruColors>
      <color rgb="FF969696"/>
      <color rgb="FFFF9999"/>
      <color rgb="FFCC00FF"/>
      <color rgb="FF6666FF"/>
      <color rgb="FFCC3300"/>
      <color rgb="FF99CCFF"/>
      <color rgb="FFFFFF99"/>
      <color rgb="FF99CC00"/>
      <color rgb="FF9999FF"/>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76200</xdr:colOff>
          <xdr:row>0</xdr:row>
          <xdr:rowOff>123825</xdr:rowOff>
        </xdr:from>
        <xdr:to>
          <xdr:col>11</xdr:col>
          <xdr:colOff>714375</xdr:colOff>
          <xdr:row>1</xdr:row>
          <xdr:rowOff>123825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Refresh partners data</a:t>
              </a:r>
              <a:endParaRPr lang="lt-LT"/>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419100</xdr:colOff>
          <xdr:row>1</xdr:row>
          <xdr:rowOff>0</xdr:rowOff>
        </xdr:from>
        <xdr:to>
          <xdr:col>7</xdr:col>
          <xdr:colOff>457200</xdr:colOff>
          <xdr:row>1</xdr:row>
          <xdr:rowOff>190500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Set formulas</a:t>
              </a:r>
              <a:endParaRPr lang="lt-LT"/>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xdr:row>
          <xdr:rowOff>9525</xdr:rowOff>
        </xdr:from>
        <xdr:to>
          <xdr:col>7</xdr:col>
          <xdr:colOff>1000125</xdr:colOff>
          <xdr:row>1</xdr:row>
          <xdr:rowOff>190500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Set Formulas</a:t>
              </a:r>
              <a:endParaRPr lang="lt-LT"/>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0</xdr:row>
          <xdr:rowOff>38100</xdr:rowOff>
        </xdr:from>
        <xdr:to>
          <xdr:col>4</xdr:col>
          <xdr:colOff>257175</xdr:colOff>
          <xdr:row>1</xdr:row>
          <xdr:rowOff>9525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Fill table</a:t>
              </a:r>
              <a:endParaRPr lang="lt-LT"/>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0</xdr:row>
          <xdr:rowOff>114300</xdr:rowOff>
        </xdr:from>
        <xdr:to>
          <xdr:col>5</xdr:col>
          <xdr:colOff>247650</xdr:colOff>
          <xdr:row>1</xdr:row>
          <xdr:rowOff>95250</xdr:rowOff>
        </xdr:to>
        <xdr:sp macro="" textlink="">
          <xdr:nvSpPr>
            <xdr:cNvPr id="3262" name="Button 190" hidden="1">
              <a:extLst>
                <a:ext uri="{63B3BB69-23CF-44E3-9099-C40C66FF867C}">
                  <a14:compatExt spid="_x0000_s32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new partner to current section</a:t>
              </a:r>
              <a:endParaRPr lang="lt-LT"/>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47625</xdr:colOff>
          <xdr:row>0</xdr:row>
          <xdr:rowOff>180975</xdr:rowOff>
        </xdr:from>
        <xdr:to>
          <xdr:col>5</xdr:col>
          <xdr:colOff>295275</xdr:colOff>
          <xdr:row>1</xdr:row>
          <xdr:rowOff>161925</xdr:rowOff>
        </xdr:to>
        <xdr:sp macro="" textlink="">
          <xdr:nvSpPr>
            <xdr:cNvPr id="6210" name="Button 66" hidden="1">
              <a:extLst>
                <a:ext uri="{63B3BB69-23CF-44E3-9099-C40C66FF867C}">
                  <a14:compatExt spid="_x0000_s6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new partner to current section</a:t>
              </a:r>
              <a:endParaRPr lang="lt-LT"/>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0</xdr:row>
          <xdr:rowOff>19050</xdr:rowOff>
        </xdr:from>
        <xdr:to>
          <xdr:col>6</xdr:col>
          <xdr:colOff>276225</xdr:colOff>
          <xdr:row>1</xdr:row>
          <xdr:rowOff>0</xdr:rowOff>
        </xdr:to>
        <xdr:sp macro="" textlink="">
          <xdr:nvSpPr>
            <xdr:cNvPr id="7255" name="Button 87" hidden="1">
              <a:extLst>
                <a:ext uri="{63B3BB69-23CF-44E3-9099-C40C66FF867C}">
                  <a14:compatExt spid="_x0000_s7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new partner to current section</a:t>
              </a:r>
              <a:endParaRPr lang="lt-LT"/>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466725</xdr:colOff>
          <xdr:row>0</xdr:row>
          <xdr:rowOff>38100</xdr:rowOff>
        </xdr:from>
        <xdr:to>
          <xdr:col>5</xdr:col>
          <xdr:colOff>714375</xdr:colOff>
          <xdr:row>1</xdr:row>
          <xdr:rowOff>19050</xdr:rowOff>
        </xdr:to>
        <xdr:sp macro="" textlink="">
          <xdr:nvSpPr>
            <xdr:cNvPr id="8271" name="Button 79" hidden="1">
              <a:extLst>
                <a:ext uri="{63B3BB69-23CF-44E3-9099-C40C66FF867C}">
                  <a14:compatExt spid="_x0000_s82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new partner to current section</a:t>
              </a:r>
              <a:endParaRPr lang="lt-LT"/>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0</xdr:row>
          <xdr:rowOff>95250</xdr:rowOff>
        </xdr:from>
        <xdr:to>
          <xdr:col>6</xdr:col>
          <xdr:colOff>228600</xdr:colOff>
          <xdr:row>1</xdr:row>
          <xdr:rowOff>76200</xdr:rowOff>
        </xdr:to>
        <xdr:sp macro="" textlink="">
          <xdr:nvSpPr>
            <xdr:cNvPr id="9286" name="Button 70" hidden="1">
              <a:extLst>
                <a:ext uri="{63B3BB69-23CF-44E3-9099-C40C66FF867C}">
                  <a14:compatExt spid="_x0000_s92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new partner to current section</a:t>
              </a:r>
              <a:endParaRPr lang="lt-LT"/>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0</xdr:row>
          <xdr:rowOff>104775</xdr:rowOff>
        </xdr:from>
        <xdr:to>
          <xdr:col>5</xdr:col>
          <xdr:colOff>247650</xdr:colOff>
          <xdr:row>1</xdr:row>
          <xdr:rowOff>85725</xdr:rowOff>
        </xdr:to>
        <xdr:sp macro="" textlink="">
          <xdr:nvSpPr>
            <xdr:cNvPr id="10339" name="Button 99" hidden="1">
              <a:extLst>
                <a:ext uri="{63B3BB69-23CF-44E3-9099-C40C66FF867C}">
                  <a14:compatExt spid="_x0000_s103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new partner to current section</a:t>
              </a:r>
              <a:endParaRPr lang="lt-LT"/>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266700</xdr:colOff>
          <xdr:row>0</xdr:row>
          <xdr:rowOff>76200</xdr:rowOff>
        </xdr:from>
        <xdr:to>
          <xdr:col>5</xdr:col>
          <xdr:colOff>514350</xdr:colOff>
          <xdr:row>1</xdr:row>
          <xdr:rowOff>57150</xdr:rowOff>
        </xdr:to>
        <xdr:sp macro="" textlink="">
          <xdr:nvSpPr>
            <xdr:cNvPr id="11266" name="Button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new partner to current section</a:t>
              </a:r>
              <a:endParaRPr lang="lt-LT"/>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0</xdr:row>
          <xdr:rowOff>114300</xdr:rowOff>
        </xdr:from>
        <xdr:to>
          <xdr:col>5</xdr:col>
          <xdr:colOff>304800</xdr:colOff>
          <xdr:row>1</xdr:row>
          <xdr:rowOff>95250</xdr:rowOff>
        </xdr:to>
        <xdr:sp macro="" textlink="">
          <xdr:nvSpPr>
            <xdr:cNvPr id="12293" name="Button 5" hidden="1">
              <a:extLst>
                <a:ext uri="{63B3BB69-23CF-44E3-9099-C40C66FF867C}">
                  <a14:compatExt spid="_x0000_s122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Add new partner to current section</a:t>
              </a:r>
              <a:endParaRPr lang="lt-LT"/>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Darbi/Heidrun/iCHAMPS_Detailed%20Budget%20draft%201_RP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errors"/>
      <sheetName val="gen_params"/>
      <sheetName val="salaries"/>
      <sheetName val="WP1"/>
      <sheetName val="WP2"/>
      <sheetName val="WP3"/>
      <sheetName val="WP4"/>
      <sheetName val="WP5"/>
      <sheetName val="WP6"/>
      <sheetName val="WP7"/>
      <sheetName val="WP8"/>
      <sheetName val="WP9"/>
      <sheetName val="WP10"/>
      <sheetName val="WP11"/>
      <sheetName val="WP12"/>
      <sheetName val="WP13"/>
      <sheetName val="WP14"/>
      <sheetName val="WP15"/>
      <sheetName val="WP16"/>
      <sheetName val="WP17"/>
      <sheetName val="Summary 1"/>
      <sheetName val="Summary 2"/>
      <sheetName val="Summary 3"/>
      <sheetName val="Summary 4"/>
      <sheetName val="Sheet1"/>
    </sheetNames>
    <sheetDataSet>
      <sheetData sheetId="0"/>
      <sheetData sheetId="1"/>
      <sheetData sheetId="2">
        <row r="2">
          <cell r="A2" t="str">
            <v>CB IETU</v>
          </cell>
        </row>
        <row r="3">
          <cell r="A3" t="str">
            <v>AB1 REC PL</v>
          </cell>
        </row>
        <row r="4">
          <cell r="A4" t="str">
            <v>AB2 REC SK</v>
          </cell>
        </row>
        <row r="5">
          <cell r="A5" t="str">
            <v>AB3 EcoNetPL</v>
          </cell>
        </row>
        <row r="6">
          <cell r="A6" t="str">
            <v>AB4 Env Inst SK</v>
          </cell>
        </row>
        <row r="7">
          <cell r="A7" t="str">
            <v>AB5 DETOX SK</v>
          </cell>
        </row>
        <row r="8">
          <cell r="A8" t="str">
            <v>AB6 Trencin Env Office SK</v>
          </cell>
        </row>
        <row r="9">
          <cell r="A9" t="str">
            <v>AB7 Volkswagen SK</v>
          </cell>
        </row>
        <row r="10">
          <cell r="A10" t="str">
            <v>AB8 company PL</v>
          </cell>
        </row>
        <row r="11">
          <cell r="A11" t="str">
            <v>AB9 BEF EE</v>
          </cell>
        </row>
        <row r="12">
          <cell r="A12" t="str">
            <v>AB10 BEF LV</v>
          </cell>
        </row>
        <row r="13">
          <cell r="A13" t="str">
            <v>AB11 partner 11</v>
          </cell>
        </row>
        <row r="14">
          <cell r="A14" t="str">
            <v>AB12 partner 12</v>
          </cell>
        </row>
        <row r="15">
          <cell r="A15" t="str">
            <v>AB13 partner 13</v>
          </cell>
        </row>
        <row r="16">
          <cell r="A16" t="str">
            <v>AB14 partner 14</v>
          </cell>
        </row>
      </sheetData>
      <sheetData sheetId="3">
        <row r="3">
          <cell r="C3" t="str">
            <v>Iza Ratman</v>
          </cell>
        </row>
        <row r="4">
          <cell r="C4" t="str">
            <v>Janusz Krupanek</v>
          </cell>
        </row>
        <row r="5">
          <cell r="C5" t="str">
            <v>U. Zielonka</v>
          </cell>
        </row>
        <row r="6">
          <cell r="C6" t="str">
            <v>IETU experts</v>
          </cell>
        </row>
        <row r="7">
          <cell r="C7" t="str">
            <v>IETU Director</v>
          </cell>
        </row>
        <row r="8">
          <cell r="C8" t="str">
            <v>IETU assistants</v>
          </cell>
        </row>
        <row r="9">
          <cell r="C9" t="str">
            <v>IETU bookkeeper</v>
          </cell>
        </row>
        <row r="10">
          <cell r="C10" t="str">
            <v>Konrad Kosiecki</v>
          </cell>
        </row>
        <row r="11">
          <cell r="C11" t="str">
            <v>REC PL expert</v>
          </cell>
        </row>
        <row r="12">
          <cell r="C12" t="str">
            <v>REC PL assistant</v>
          </cell>
        </row>
        <row r="13">
          <cell r="C13" t="str">
            <v>Michal Miazga</v>
          </cell>
        </row>
        <row r="14">
          <cell r="C14" t="str">
            <v>REC PL bookkeeper</v>
          </cell>
        </row>
        <row r="15">
          <cell r="C15" t="str">
            <v>Michal Tvrdon</v>
          </cell>
        </row>
        <row r="16">
          <cell r="C16" t="str">
            <v>REC SK senior expert</v>
          </cell>
        </row>
        <row r="17">
          <cell r="C17" t="str">
            <v>REC SK chemist</v>
          </cell>
        </row>
        <row r="18">
          <cell r="C18" t="str">
            <v>REC SK assistant</v>
          </cell>
        </row>
        <row r="19">
          <cell r="C19" t="str">
            <v>Vlado Hudek</v>
          </cell>
        </row>
        <row r="20">
          <cell r="C20" t="str">
            <v>REC SK bookkeeper</v>
          </cell>
        </row>
        <row r="21">
          <cell r="C21" t="str">
            <v>Robert Pochyluk</v>
          </cell>
        </row>
        <row r="22">
          <cell r="C22" t="str">
            <v>Econet expert</v>
          </cell>
        </row>
        <row r="23">
          <cell r="C23" t="str">
            <v>Econet assistant</v>
          </cell>
        </row>
        <row r="24">
          <cell r="C24" t="str">
            <v>Econet bookkeeper</v>
          </cell>
        </row>
        <row r="25">
          <cell r="C25" t="str">
            <v>Jaroslav Slobodnik</v>
          </cell>
        </row>
        <row r="26">
          <cell r="C26" t="str">
            <v>EI senior expert</v>
          </cell>
        </row>
        <row r="27">
          <cell r="C27" t="str">
            <v>EI experts</v>
          </cell>
        </row>
        <row r="28">
          <cell r="C28" t="str">
            <v>EI Director</v>
          </cell>
        </row>
        <row r="29">
          <cell r="C29" t="str">
            <v>EI assistants</v>
          </cell>
        </row>
        <row r="30">
          <cell r="C30" t="str">
            <v>EI bookkeeper</v>
          </cell>
        </row>
        <row r="31">
          <cell r="C31" t="str">
            <v>DETOX coordinator</v>
          </cell>
        </row>
        <row r="32">
          <cell r="C32" t="str">
            <v>DETOX Senior</v>
          </cell>
        </row>
        <row r="33">
          <cell r="C33" t="str">
            <v>DETOX expert</v>
          </cell>
        </row>
        <row r="34">
          <cell r="C34" t="str">
            <v>DETOX assistant</v>
          </cell>
        </row>
        <row r="35">
          <cell r="C35" t="str">
            <v>DETOX bookkeeper</v>
          </cell>
        </row>
        <row r="36">
          <cell r="C36" t="str">
            <v>Trencin coordinator</v>
          </cell>
        </row>
        <row r="37">
          <cell r="C37" t="str">
            <v>Trencin director</v>
          </cell>
        </row>
        <row r="38">
          <cell r="C38" t="str">
            <v>Trencin inspectors</v>
          </cell>
        </row>
        <row r="39">
          <cell r="C39" t="str">
            <v>Trencin assistant</v>
          </cell>
        </row>
        <row r="40">
          <cell r="C40" t="str">
            <v>Trencin bookkeeper</v>
          </cell>
        </row>
        <row r="41">
          <cell r="C41" t="str">
            <v>Volkswagen coordinator</v>
          </cell>
        </row>
        <row r="42">
          <cell r="C42" t="str">
            <v>Volkswagen engineer</v>
          </cell>
        </row>
        <row r="43">
          <cell r="C43" t="str">
            <v>Volkswagen Director</v>
          </cell>
        </row>
        <row r="44">
          <cell r="C44" t="str">
            <v>Volkswagen assistant</v>
          </cell>
        </row>
        <row r="45">
          <cell r="C45" t="str">
            <v>Volkswagen bookkeeper</v>
          </cell>
        </row>
        <row r="46">
          <cell r="C46" t="str">
            <v>AB8 coordinator</v>
          </cell>
        </row>
        <row r="47">
          <cell r="C47" t="str">
            <v>AB8 expert</v>
          </cell>
        </row>
        <row r="48">
          <cell r="C48" t="str">
            <v>AB8 director</v>
          </cell>
        </row>
        <row r="49">
          <cell r="C49" t="str">
            <v>AB8 assistant</v>
          </cell>
        </row>
        <row r="50">
          <cell r="C50" t="str">
            <v>AB8 bookkeeper</v>
          </cell>
        </row>
        <row r="51">
          <cell r="C51" t="str">
            <v>Kitty Kislenko</v>
          </cell>
        </row>
        <row r="52">
          <cell r="C52" t="str">
            <v>Heli Nommsalu</v>
          </cell>
        </row>
        <row r="53">
          <cell r="C53" t="str">
            <v>Katrin Juhanson</v>
          </cell>
        </row>
        <row r="54">
          <cell r="C54" t="str">
            <v>Juhan Ruut</v>
          </cell>
        </row>
        <row r="55">
          <cell r="C55" t="str">
            <v>Kai Klein</v>
          </cell>
        </row>
        <row r="56">
          <cell r="C56" t="str">
            <v>Maria Shchiukina</v>
          </cell>
        </row>
        <row r="57">
          <cell r="C57" t="str">
            <v>Valters Toropovs</v>
          </cell>
        </row>
        <row r="58">
          <cell r="C58" t="str">
            <v>Heidrun Fammler</v>
          </cell>
        </row>
        <row r="59">
          <cell r="C59" t="str">
            <v>Liga Karkle</v>
          </cell>
        </row>
        <row r="60">
          <cell r="C60" t="str">
            <v>Kristina Veidemane</v>
          </cell>
        </row>
        <row r="61">
          <cell r="C61" t="str">
            <v>Raina Krecere</v>
          </cell>
        </row>
        <row r="62">
          <cell r="C62" t="str">
            <v>AB11 coordinator</v>
          </cell>
        </row>
        <row r="63">
          <cell r="C63" t="str">
            <v>AB11 engineer</v>
          </cell>
        </row>
        <row r="64">
          <cell r="C64" t="str">
            <v>AB11 Director</v>
          </cell>
        </row>
        <row r="65">
          <cell r="C65" t="str">
            <v>AB11 assistant</v>
          </cell>
        </row>
        <row r="66">
          <cell r="C66" t="str">
            <v>AB11 bookkeeper</v>
          </cell>
        </row>
      </sheetData>
      <sheetData sheetId="4">
        <row r="11">
          <cell r="J11">
            <v>12282</v>
          </cell>
        </row>
        <row r="16">
          <cell r="J16">
            <v>12206</v>
          </cell>
        </row>
        <row r="21">
          <cell r="J21">
            <v>13150</v>
          </cell>
        </row>
        <row r="24">
          <cell r="J24">
            <v>4593</v>
          </cell>
        </row>
        <row r="27">
          <cell r="J27">
            <v>4452</v>
          </cell>
        </row>
        <row r="29">
          <cell r="J29">
            <v>1962</v>
          </cell>
        </row>
        <row r="31">
          <cell r="J31">
            <v>1353</v>
          </cell>
        </row>
        <row r="33">
          <cell r="J33">
            <v>2409</v>
          </cell>
        </row>
        <row r="35">
          <cell r="J35">
            <v>2532</v>
          </cell>
        </row>
        <row r="38">
          <cell r="J38">
            <v>6045</v>
          </cell>
        </row>
        <row r="41">
          <cell r="J41">
            <v>17955</v>
          </cell>
        </row>
        <row r="43">
          <cell r="J43">
            <v>2528</v>
          </cell>
        </row>
        <row r="48">
          <cell r="J48">
            <v>4000</v>
          </cell>
        </row>
        <row r="51">
          <cell r="J51">
            <v>10000</v>
          </cell>
        </row>
        <row r="54">
          <cell r="J54">
            <v>10000</v>
          </cell>
        </row>
        <row r="61">
          <cell r="J61">
            <v>14000</v>
          </cell>
        </row>
        <row r="65">
          <cell r="J65">
            <v>13000</v>
          </cell>
        </row>
        <row r="69">
          <cell r="J69">
            <v>12500</v>
          </cell>
        </row>
        <row r="73">
          <cell r="J73">
            <v>8000</v>
          </cell>
        </row>
        <row r="75">
          <cell r="J75">
            <v>420</v>
          </cell>
        </row>
        <row r="77">
          <cell r="J77">
            <v>3000</v>
          </cell>
        </row>
        <row r="79">
          <cell r="J79">
            <v>2040</v>
          </cell>
        </row>
        <row r="81">
          <cell r="J81">
            <v>420</v>
          </cell>
        </row>
        <row r="83">
          <cell r="J83">
            <v>1500</v>
          </cell>
        </row>
        <row r="85">
          <cell r="J85">
            <v>20250</v>
          </cell>
        </row>
        <row r="87">
          <cell r="J87">
            <v>16200</v>
          </cell>
        </row>
        <row r="89">
          <cell r="J89">
            <v>2000</v>
          </cell>
        </row>
        <row r="97">
          <cell r="J97">
            <v>200</v>
          </cell>
        </row>
        <row r="98">
          <cell r="J98">
            <v>400</v>
          </cell>
        </row>
        <row r="99">
          <cell r="J99">
            <v>400</v>
          </cell>
        </row>
      </sheetData>
      <sheetData sheetId="5">
        <row r="12">
          <cell r="J12">
            <v>12282</v>
          </cell>
        </row>
        <row r="17">
          <cell r="J17">
            <v>12206</v>
          </cell>
        </row>
        <row r="22">
          <cell r="J22">
            <v>13150</v>
          </cell>
        </row>
        <row r="25">
          <cell r="J25">
            <v>4593</v>
          </cell>
        </row>
        <row r="28">
          <cell r="J28">
            <v>4452</v>
          </cell>
        </row>
        <row r="30">
          <cell r="J30">
            <v>1962</v>
          </cell>
        </row>
        <row r="32">
          <cell r="J32">
            <v>1353</v>
          </cell>
        </row>
        <row r="34">
          <cell r="J34">
            <v>2409</v>
          </cell>
        </row>
        <row r="36">
          <cell r="J36">
            <v>2532</v>
          </cell>
        </row>
        <row r="39">
          <cell r="J39">
            <v>6045</v>
          </cell>
        </row>
        <row r="42">
          <cell r="J42">
            <v>17955</v>
          </cell>
        </row>
        <row r="44">
          <cell r="J44">
            <v>2528</v>
          </cell>
        </row>
        <row r="49">
          <cell r="J49">
            <v>4000</v>
          </cell>
        </row>
        <row r="52">
          <cell r="J52">
            <v>10000</v>
          </cell>
        </row>
        <row r="55">
          <cell r="J55">
            <v>10000</v>
          </cell>
        </row>
        <row r="62">
          <cell r="J62">
            <v>14000</v>
          </cell>
        </row>
        <row r="66">
          <cell r="J66">
            <v>13000</v>
          </cell>
        </row>
        <row r="70">
          <cell r="J70">
            <v>12500</v>
          </cell>
        </row>
        <row r="74">
          <cell r="J74">
            <v>8000</v>
          </cell>
        </row>
        <row r="76">
          <cell r="J76">
            <v>420</v>
          </cell>
        </row>
        <row r="78">
          <cell r="J78">
            <v>3000</v>
          </cell>
        </row>
        <row r="80">
          <cell r="J80">
            <v>2040</v>
          </cell>
        </row>
        <row r="82">
          <cell r="J82">
            <v>420</v>
          </cell>
        </row>
        <row r="84">
          <cell r="J84">
            <v>1500</v>
          </cell>
        </row>
        <row r="86">
          <cell r="J86">
            <v>20250</v>
          </cell>
        </row>
        <row r="88">
          <cell r="J88">
            <v>16200</v>
          </cell>
        </row>
        <row r="90">
          <cell r="J90">
            <v>2000</v>
          </cell>
        </row>
        <row r="98">
          <cell r="J98">
            <v>200</v>
          </cell>
        </row>
        <row r="99">
          <cell r="J99">
            <v>400</v>
          </cell>
        </row>
        <row r="100">
          <cell r="J100">
            <v>400</v>
          </cell>
        </row>
      </sheetData>
      <sheetData sheetId="6">
        <row r="12">
          <cell r="J12">
            <v>12282</v>
          </cell>
        </row>
        <row r="17">
          <cell r="J17">
            <v>12206</v>
          </cell>
        </row>
        <row r="22">
          <cell r="J22">
            <v>13150</v>
          </cell>
        </row>
        <row r="25">
          <cell r="J25">
            <v>4593</v>
          </cell>
        </row>
        <row r="28">
          <cell r="J28">
            <v>4452</v>
          </cell>
        </row>
        <row r="30">
          <cell r="J30">
            <v>1962</v>
          </cell>
        </row>
        <row r="32">
          <cell r="J32">
            <v>1353</v>
          </cell>
        </row>
        <row r="34">
          <cell r="J34">
            <v>2409</v>
          </cell>
        </row>
        <row r="36">
          <cell r="J36">
            <v>2532</v>
          </cell>
        </row>
        <row r="39">
          <cell r="J39">
            <v>6045</v>
          </cell>
        </row>
        <row r="42">
          <cell r="J42">
            <v>17955</v>
          </cell>
        </row>
        <row r="44">
          <cell r="J44">
            <v>2528</v>
          </cell>
        </row>
        <row r="49">
          <cell r="J49">
            <v>4000</v>
          </cell>
        </row>
        <row r="52">
          <cell r="J52">
            <v>10000</v>
          </cell>
        </row>
        <row r="55">
          <cell r="J55">
            <v>10000</v>
          </cell>
        </row>
        <row r="62">
          <cell r="J62">
            <v>14000</v>
          </cell>
        </row>
        <row r="66">
          <cell r="J66">
            <v>13000</v>
          </cell>
        </row>
        <row r="70">
          <cell r="J70">
            <v>12500</v>
          </cell>
        </row>
        <row r="74">
          <cell r="J74">
            <v>8000</v>
          </cell>
        </row>
        <row r="76">
          <cell r="J76">
            <v>420</v>
          </cell>
        </row>
        <row r="78">
          <cell r="J78">
            <v>3000</v>
          </cell>
        </row>
        <row r="80">
          <cell r="J80">
            <v>2040</v>
          </cell>
        </row>
        <row r="82">
          <cell r="J82">
            <v>420</v>
          </cell>
        </row>
        <row r="84">
          <cell r="J84">
            <v>1500</v>
          </cell>
        </row>
        <row r="86">
          <cell r="J86">
            <v>20250</v>
          </cell>
        </row>
        <row r="88">
          <cell r="J88">
            <v>16200</v>
          </cell>
        </row>
        <row r="90">
          <cell r="J90">
            <v>2000</v>
          </cell>
        </row>
        <row r="98">
          <cell r="J98">
            <v>200</v>
          </cell>
        </row>
        <row r="99">
          <cell r="J99">
            <v>400</v>
          </cell>
        </row>
        <row r="100">
          <cell r="J100">
            <v>400</v>
          </cell>
        </row>
      </sheetData>
      <sheetData sheetId="7">
        <row r="12">
          <cell r="J12">
            <v>12282</v>
          </cell>
        </row>
        <row r="17">
          <cell r="J17">
            <v>12206</v>
          </cell>
        </row>
        <row r="22">
          <cell r="J22">
            <v>13150</v>
          </cell>
        </row>
        <row r="25">
          <cell r="J25">
            <v>4593</v>
          </cell>
        </row>
        <row r="28">
          <cell r="J28">
            <v>4452</v>
          </cell>
        </row>
        <row r="30">
          <cell r="J30">
            <v>1962</v>
          </cell>
        </row>
        <row r="32">
          <cell r="J32">
            <v>1353</v>
          </cell>
        </row>
        <row r="34">
          <cell r="J34">
            <v>2409</v>
          </cell>
        </row>
        <row r="36">
          <cell r="J36">
            <v>2532</v>
          </cell>
        </row>
        <row r="39">
          <cell r="J39">
            <v>6045</v>
          </cell>
        </row>
        <row r="42">
          <cell r="J42">
            <v>17955</v>
          </cell>
        </row>
        <row r="44">
          <cell r="J44">
            <v>2528</v>
          </cell>
        </row>
        <row r="49">
          <cell r="J49">
            <v>4000</v>
          </cell>
        </row>
        <row r="52">
          <cell r="J52">
            <v>10000</v>
          </cell>
        </row>
        <row r="55">
          <cell r="J55">
            <v>10000</v>
          </cell>
        </row>
        <row r="62">
          <cell r="J62">
            <v>14000</v>
          </cell>
        </row>
        <row r="66">
          <cell r="J66">
            <v>13000</v>
          </cell>
        </row>
        <row r="70">
          <cell r="J70">
            <v>12500</v>
          </cell>
        </row>
        <row r="74">
          <cell r="J74">
            <v>8000</v>
          </cell>
        </row>
        <row r="76">
          <cell r="J76">
            <v>420</v>
          </cell>
        </row>
        <row r="78">
          <cell r="J78">
            <v>3000</v>
          </cell>
        </row>
        <row r="80">
          <cell r="J80">
            <v>2040</v>
          </cell>
        </row>
        <row r="82">
          <cell r="J82">
            <v>420</v>
          </cell>
        </row>
        <row r="84">
          <cell r="J84">
            <v>1500</v>
          </cell>
        </row>
        <row r="86">
          <cell r="J86">
            <v>20250</v>
          </cell>
        </row>
        <row r="88">
          <cell r="J88">
            <v>16200</v>
          </cell>
        </row>
        <row r="90">
          <cell r="J90">
            <v>2000</v>
          </cell>
        </row>
        <row r="98">
          <cell r="J98">
            <v>200</v>
          </cell>
        </row>
        <row r="99">
          <cell r="J99">
            <v>400</v>
          </cell>
        </row>
        <row r="100">
          <cell r="J100">
            <v>400</v>
          </cell>
        </row>
      </sheetData>
      <sheetData sheetId="8">
        <row r="12">
          <cell r="J12">
            <v>12282</v>
          </cell>
        </row>
        <row r="17">
          <cell r="J17">
            <v>12206</v>
          </cell>
        </row>
        <row r="22">
          <cell r="J22">
            <v>13150</v>
          </cell>
        </row>
        <row r="25">
          <cell r="J25">
            <v>4593</v>
          </cell>
        </row>
        <row r="28">
          <cell r="J28">
            <v>4452</v>
          </cell>
        </row>
        <row r="30">
          <cell r="J30">
            <v>1962</v>
          </cell>
        </row>
        <row r="32">
          <cell r="J32">
            <v>1353</v>
          </cell>
        </row>
        <row r="34">
          <cell r="J34">
            <v>2409</v>
          </cell>
        </row>
        <row r="36">
          <cell r="J36">
            <v>2532</v>
          </cell>
        </row>
        <row r="39">
          <cell r="J39">
            <v>6045</v>
          </cell>
        </row>
        <row r="42">
          <cell r="J42">
            <v>17955</v>
          </cell>
        </row>
        <row r="44">
          <cell r="J44">
            <v>2528</v>
          </cell>
        </row>
        <row r="49">
          <cell r="J49">
            <v>4000</v>
          </cell>
        </row>
        <row r="52">
          <cell r="J52">
            <v>10000</v>
          </cell>
        </row>
        <row r="55">
          <cell r="J55">
            <v>10000</v>
          </cell>
        </row>
        <row r="62">
          <cell r="J62">
            <v>14000</v>
          </cell>
        </row>
        <row r="66">
          <cell r="J66">
            <v>13000</v>
          </cell>
        </row>
        <row r="70">
          <cell r="J70">
            <v>12500</v>
          </cell>
        </row>
        <row r="74">
          <cell r="J74">
            <v>8000</v>
          </cell>
        </row>
        <row r="76">
          <cell r="J76">
            <v>420</v>
          </cell>
        </row>
        <row r="78">
          <cell r="J78">
            <v>3000</v>
          </cell>
        </row>
        <row r="80">
          <cell r="J80">
            <v>2040</v>
          </cell>
        </row>
        <row r="82">
          <cell r="J82">
            <v>420</v>
          </cell>
        </row>
        <row r="84">
          <cell r="J84">
            <v>1500</v>
          </cell>
        </row>
        <row r="86">
          <cell r="J86">
            <v>20250</v>
          </cell>
        </row>
        <row r="88">
          <cell r="J88">
            <v>16200</v>
          </cell>
        </row>
        <row r="90">
          <cell r="J90">
            <v>2000</v>
          </cell>
        </row>
        <row r="98">
          <cell r="J98">
            <v>200</v>
          </cell>
        </row>
        <row r="99">
          <cell r="J99">
            <v>400</v>
          </cell>
        </row>
        <row r="100">
          <cell r="J100">
            <v>400</v>
          </cell>
        </row>
      </sheetData>
      <sheetData sheetId="9">
        <row r="12">
          <cell r="J12">
            <v>12282</v>
          </cell>
        </row>
        <row r="17">
          <cell r="J17">
            <v>12206</v>
          </cell>
        </row>
        <row r="22">
          <cell r="J22">
            <v>13150</v>
          </cell>
        </row>
        <row r="25">
          <cell r="J25">
            <v>4593</v>
          </cell>
        </row>
        <row r="28">
          <cell r="J28">
            <v>4452</v>
          </cell>
        </row>
        <row r="30">
          <cell r="J30">
            <v>1962</v>
          </cell>
        </row>
        <row r="32">
          <cell r="J32">
            <v>1353</v>
          </cell>
        </row>
        <row r="34">
          <cell r="J34">
            <v>2409</v>
          </cell>
        </row>
        <row r="36">
          <cell r="J36">
            <v>2532</v>
          </cell>
        </row>
        <row r="39">
          <cell r="J39">
            <v>6045</v>
          </cell>
        </row>
        <row r="42">
          <cell r="J42">
            <v>17955</v>
          </cell>
        </row>
        <row r="44">
          <cell r="J44">
            <v>2528</v>
          </cell>
        </row>
        <row r="49">
          <cell r="J49">
            <v>4000</v>
          </cell>
        </row>
        <row r="52">
          <cell r="J52">
            <v>10000</v>
          </cell>
        </row>
        <row r="55">
          <cell r="J55">
            <v>10000</v>
          </cell>
        </row>
        <row r="62">
          <cell r="J62">
            <v>14000</v>
          </cell>
        </row>
        <row r="66">
          <cell r="J66">
            <v>13000</v>
          </cell>
        </row>
        <row r="70">
          <cell r="J70">
            <v>12500</v>
          </cell>
        </row>
        <row r="74">
          <cell r="J74">
            <v>8000</v>
          </cell>
        </row>
        <row r="76">
          <cell r="J76">
            <v>420</v>
          </cell>
        </row>
        <row r="78">
          <cell r="J78">
            <v>3000</v>
          </cell>
        </row>
        <row r="80">
          <cell r="J80">
            <v>2040</v>
          </cell>
        </row>
        <row r="82">
          <cell r="J82">
            <v>420</v>
          </cell>
        </row>
        <row r="84">
          <cell r="J84">
            <v>1500</v>
          </cell>
        </row>
        <row r="86">
          <cell r="J86">
            <v>20250</v>
          </cell>
        </row>
        <row r="88">
          <cell r="J88">
            <v>16200</v>
          </cell>
        </row>
        <row r="90">
          <cell r="J90">
            <v>2000</v>
          </cell>
        </row>
        <row r="98">
          <cell r="J98">
            <v>200</v>
          </cell>
        </row>
        <row r="99">
          <cell r="J99">
            <v>400</v>
          </cell>
        </row>
        <row r="100">
          <cell r="J100">
            <v>400</v>
          </cell>
        </row>
      </sheetData>
      <sheetData sheetId="10">
        <row r="12">
          <cell r="J12">
            <v>12282</v>
          </cell>
        </row>
        <row r="17">
          <cell r="J17">
            <v>12206</v>
          </cell>
        </row>
        <row r="22">
          <cell r="J22">
            <v>13150</v>
          </cell>
        </row>
        <row r="25">
          <cell r="J25">
            <v>4593</v>
          </cell>
        </row>
        <row r="28">
          <cell r="J28">
            <v>4452</v>
          </cell>
        </row>
        <row r="30">
          <cell r="J30">
            <v>1962</v>
          </cell>
        </row>
        <row r="32">
          <cell r="J32">
            <v>1353</v>
          </cell>
        </row>
        <row r="34">
          <cell r="J34">
            <v>2409</v>
          </cell>
        </row>
        <row r="36">
          <cell r="J36">
            <v>2532</v>
          </cell>
        </row>
        <row r="39">
          <cell r="J39">
            <v>6045</v>
          </cell>
        </row>
        <row r="42">
          <cell r="J42">
            <v>17955</v>
          </cell>
        </row>
        <row r="44">
          <cell r="J44">
            <v>2528</v>
          </cell>
        </row>
        <row r="49">
          <cell r="J49">
            <v>4000</v>
          </cell>
        </row>
        <row r="52">
          <cell r="J52">
            <v>10000</v>
          </cell>
        </row>
        <row r="55">
          <cell r="J55">
            <v>10000</v>
          </cell>
        </row>
        <row r="62">
          <cell r="J62">
            <v>14000</v>
          </cell>
        </row>
        <row r="66">
          <cell r="J66">
            <v>13000</v>
          </cell>
        </row>
        <row r="70">
          <cell r="J70">
            <v>12500</v>
          </cell>
        </row>
        <row r="74">
          <cell r="J74">
            <v>8000</v>
          </cell>
        </row>
        <row r="76">
          <cell r="J76">
            <v>420</v>
          </cell>
        </row>
        <row r="78">
          <cell r="J78">
            <v>3000</v>
          </cell>
        </row>
        <row r="80">
          <cell r="J80">
            <v>2040</v>
          </cell>
        </row>
        <row r="82">
          <cell r="J82">
            <v>420</v>
          </cell>
        </row>
        <row r="84">
          <cell r="J84">
            <v>1500</v>
          </cell>
        </row>
        <row r="86">
          <cell r="J86">
            <v>20250</v>
          </cell>
        </row>
        <row r="88">
          <cell r="J88">
            <v>16200</v>
          </cell>
        </row>
        <row r="90">
          <cell r="J90">
            <v>2000</v>
          </cell>
        </row>
        <row r="98">
          <cell r="J98">
            <v>200</v>
          </cell>
        </row>
        <row r="99">
          <cell r="J99">
            <v>400</v>
          </cell>
        </row>
        <row r="100">
          <cell r="J100">
            <v>400</v>
          </cell>
        </row>
      </sheetData>
      <sheetData sheetId="11">
        <row r="12">
          <cell r="J12">
            <v>12282</v>
          </cell>
        </row>
        <row r="17">
          <cell r="J17">
            <v>12206</v>
          </cell>
        </row>
        <row r="22">
          <cell r="J22">
            <v>13150</v>
          </cell>
        </row>
        <row r="25">
          <cell r="J25">
            <v>4593</v>
          </cell>
        </row>
        <row r="28">
          <cell r="J28">
            <v>4452</v>
          </cell>
        </row>
        <row r="30">
          <cell r="J30">
            <v>1962</v>
          </cell>
        </row>
        <row r="32">
          <cell r="J32">
            <v>1353</v>
          </cell>
        </row>
        <row r="34">
          <cell r="J34">
            <v>2409</v>
          </cell>
        </row>
        <row r="36">
          <cell r="J36">
            <v>2532</v>
          </cell>
        </row>
        <row r="39">
          <cell r="J39">
            <v>6045</v>
          </cell>
        </row>
        <row r="42">
          <cell r="J42">
            <v>17955</v>
          </cell>
        </row>
        <row r="44">
          <cell r="J44">
            <v>2528</v>
          </cell>
        </row>
        <row r="49">
          <cell r="J49">
            <v>4000</v>
          </cell>
        </row>
        <row r="52">
          <cell r="J52">
            <v>10000</v>
          </cell>
        </row>
        <row r="55">
          <cell r="J55">
            <v>10000</v>
          </cell>
        </row>
        <row r="62">
          <cell r="J62">
            <v>14000</v>
          </cell>
        </row>
        <row r="66">
          <cell r="J66">
            <v>13000</v>
          </cell>
        </row>
        <row r="70">
          <cell r="J70">
            <v>12500</v>
          </cell>
        </row>
        <row r="74">
          <cell r="J74">
            <v>8000</v>
          </cell>
        </row>
        <row r="76">
          <cell r="J76">
            <v>420</v>
          </cell>
        </row>
        <row r="78">
          <cell r="J78">
            <v>3000</v>
          </cell>
        </row>
        <row r="80">
          <cell r="J80">
            <v>2040</v>
          </cell>
        </row>
        <row r="82">
          <cell r="J82">
            <v>420</v>
          </cell>
        </row>
        <row r="84">
          <cell r="J84">
            <v>1500</v>
          </cell>
        </row>
        <row r="86">
          <cell r="J86">
            <v>20250</v>
          </cell>
        </row>
        <row r="88">
          <cell r="J88">
            <v>16200</v>
          </cell>
        </row>
        <row r="90">
          <cell r="J90">
            <v>2000</v>
          </cell>
        </row>
        <row r="98">
          <cell r="J98">
            <v>200</v>
          </cell>
        </row>
        <row r="99">
          <cell r="J99">
            <v>400</v>
          </cell>
        </row>
        <row r="100">
          <cell r="J100">
            <v>400</v>
          </cell>
        </row>
      </sheetData>
      <sheetData sheetId="12">
        <row r="7">
          <cell r="J7">
            <v>3560</v>
          </cell>
        </row>
        <row r="10">
          <cell r="J10">
            <v>15960</v>
          </cell>
        </row>
        <row r="13">
          <cell r="J13">
            <v>8760</v>
          </cell>
        </row>
        <row r="15">
          <cell r="J15">
            <v>9715</v>
          </cell>
        </row>
        <row r="20">
          <cell r="J20">
            <v>1000</v>
          </cell>
        </row>
        <row r="22">
          <cell r="J22">
            <v>20000</v>
          </cell>
        </row>
        <row r="24">
          <cell r="J24">
            <v>1000</v>
          </cell>
        </row>
        <row r="44">
          <cell r="J44">
            <v>2500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
  <sheetViews>
    <sheetView workbookViewId="0">
      <selection activeCell="C16" sqref="C16"/>
    </sheetView>
  </sheetViews>
  <sheetFormatPr defaultColWidth="9.140625" defaultRowHeight="12.75" x14ac:dyDescent="0.2"/>
  <cols>
    <col min="1" max="1" width="22.42578125" style="443" customWidth="1"/>
    <col min="2" max="2" width="9.5703125" style="443" bestFit="1" customWidth="1"/>
    <col min="3" max="256" width="9.140625" style="443"/>
    <col min="257" max="257" width="22.42578125" style="443" customWidth="1"/>
    <col min="258" max="258" width="9.5703125" style="443" bestFit="1" customWidth="1"/>
    <col min="259" max="512" width="9.140625" style="443"/>
    <col min="513" max="513" width="22.42578125" style="443" customWidth="1"/>
    <col min="514" max="514" width="9.5703125" style="443" bestFit="1" customWidth="1"/>
    <col min="515" max="768" width="9.140625" style="443"/>
    <col min="769" max="769" width="22.42578125" style="443" customWidth="1"/>
    <col min="770" max="770" width="9.5703125" style="443" bestFit="1" customWidth="1"/>
    <col min="771" max="1024" width="9.140625" style="443"/>
    <col min="1025" max="1025" width="22.42578125" style="443" customWidth="1"/>
    <col min="1026" max="1026" width="9.5703125" style="443" bestFit="1" customWidth="1"/>
    <col min="1027" max="1280" width="9.140625" style="443"/>
    <col min="1281" max="1281" width="22.42578125" style="443" customWidth="1"/>
    <col min="1282" max="1282" width="9.5703125" style="443" bestFit="1" customWidth="1"/>
    <col min="1283" max="1536" width="9.140625" style="443"/>
    <col min="1537" max="1537" width="22.42578125" style="443" customWidth="1"/>
    <col min="1538" max="1538" width="9.5703125" style="443" bestFit="1" customWidth="1"/>
    <col min="1539" max="1792" width="9.140625" style="443"/>
    <col min="1793" max="1793" width="22.42578125" style="443" customWidth="1"/>
    <col min="1794" max="1794" width="9.5703125" style="443" bestFit="1" customWidth="1"/>
    <col min="1795" max="2048" width="9.140625" style="443"/>
    <col min="2049" max="2049" width="22.42578125" style="443" customWidth="1"/>
    <col min="2050" max="2050" width="9.5703125" style="443" bestFit="1" customWidth="1"/>
    <col min="2051" max="2304" width="9.140625" style="443"/>
    <col min="2305" max="2305" width="22.42578125" style="443" customWidth="1"/>
    <col min="2306" max="2306" width="9.5703125" style="443" bestFit="1" customWidth="1"/>
    <col min="2307" max="2560" width="9.140625" style="443"/>
    <col min="2561" max="2561" width="22.42578125" style="443" customWidth="1"/>
    <col min="2562" max="2562" width="9.5703125" style="443" bestFit="1" customWidth="1"/>
    <col min="2563" max="2816" width="9.140625" style="443"/>
    <col min="2817" max="2817" width="22.42578125" style="443" customWidth="1"/>
    <col min="2818" max="2818" width="9.5703125" style="443" bestFit="1" customWidth="1"/>
    <col min="2819" max="3072" width="9.140625" style="443"/>
    <col min="3073" max="3073" width="22.42578125" style="443" customWidth="1"/>
    <col min="3074" max="3074" width="9.5703125" style="443" bestFit="1" customWidth="1"/>
    <col min="3075" max="3328" width="9.140625" style="443"/>
    <col min="3329" max="3329" width="22.42578125" style="443" customWidth="1"/>
    <col min="3330" max="3330" width="9.5703125" style="443" bestFit="1" customWidth="1"/>
    <col min="3331" max="3584" width="9.140625" style="443"/>
    <col min="3585" max="3585" width="22.42578125" style="443" customWidth="1"/>
    <col min="3586" max="3586" width="9.5703125" style="443" bestFit="1" customWidth="1"/>
    <col min="3587" max="3840" width="9.140625" style="443"/>
    <col min="3841" max="3841" width="22.42578125" style="443" customWidth="1"/>
    <col min="3842" max="3842" width="9.5703125" style="443" bestFit="1" customWidth="1"/>
    <col min="3843" max="4096" width="9.140625" style="443"/>
    <col min="4097" max="4097" width="22.42578125" style="443" customWidth="1"/>
    <col min="4098" max="4098" width="9.5703125" style="443" bestFit="1" customWidth="1"/>
    <col min="4099" max="4352" width="9.140625" style="443"/>
    <col min="4353" max="4353" width="22.42578125" style="443" customWidth="1"/>
    <col min="4354" max="4354" width="9.5703125" style="443" bestFit="1" customWidth="1"/>
    <col min="4355" max="4608" width="9.140625" style="443"/>
    <col min="4609" max="4609" width="22.42578125" style="443" customWidth="1"/>
    <col min="4610" max="4610" width="9.5703125" style="443" bestFit="1" customWidth="1"/>
    <col min="4611" max="4864" width="9.140625" style="443"/>
    <col min="4865" max="4865" width="22.42578125" style="443" customWidth="1"/>
    <col min="4866" max="4866" width="9.5703125" style="443" bestFit="1" customWidth="1"/>
    <col min="4867" max="5120" width="9.140625" style="443"/>
    <col min="5121" max="5121" width="22.42578125" style="443" customWidth="1"/>
    <col min="5122" max="5122" width="9.5703125" style="443" bestFit="1" customWidth="1"/>
    <col min="5123" max="5376" width="9.140625" style="443"/>
    <col min="5377" max="5377" width="22.42578125" style="443" customWidth="1"/>
    <col min="5378" max="5378" width="9.5703125" style="443" bestFit="1" customWidth="1"/>
    <col min="5379" max="5632" width="9.140625" style="443"/>
    <col min="5633" max="5633" width="22.42578125" style="443" customWidth="1"/>
    <col min="5634" max="5634" width="9.5703125" style="443" bestFit="1" customWidth="1"/>
    <col min="5635" max="5888" width="9.140625" style="443"/>
    <col min="5889" max="5889" width="22.42578125" style="443" customWidth="1"/>
    <col min="5890" max="5890" width="9.5703125" style="443" bestFit="1" customWidth="1"/>
    <col min="5891" max="6144" width="9.140625" style="443"/>
    <col min="6145" max="6145" width="22.42578125" style="443" customWidth="1"/>
    <col min="6146" max="6146" width="9.5703125" style="443" bestFit="1" customWidth="1"/>
    <col min="6147" max="6400" width="9.140625" style="443"/>
    <col min="6401" max="6401" width="22.42578125" style="443" customWidth="1"/>
    <col min="6402" max="6402" width="9.5703125" style="443" bestFit="1" customWidth="1"/>
    <col min="6403" max="6656" width="9.140625" style="443"/>
    <col min="6657" max="6657" width="22.42578125" style="443" customWidth="1"/>
    <col min="6658" max="6658" width="9.5703125" style="443" bestFit="1" customWidth="1"/>
    <col min="6659" max="6912" width="9.140625" style="443"/>
    <col min="6913" max="6913" width="22.42578125" style="443" customWidth="1"/>
    <col min="6914" max="6914" width="9.5703125" style="443" bestFit="1" customWidth="1"/>
    <col min="6915" max="7168" width="9.140625" style="443"/>
    <col min="7169" max="7169" width="22.42578125" style="443" customWidth="1"/>
    <col min="7170" max="7170" width="9.5703125" style="443" bestFit="1" customWidth="1"/>
    <col min="7171" max="7424" width="9.140625" style="443"/>
    <col min="7425" max="7425" width="22.42578125" style="443" customWidth="1"/>
    <col min="7426" max="7426" width="9.5703125" style="443" bestFit="1" customWidth="1"/>
    <col min="7427" max="7680" width="9.140625" style="443"/>
    <col min="7681" max="7681" width="22.42578125" style="443" customWidth="1"/>
    <col min="7682" max="7682" width="9.5703125" style="443" bestFit="1" customWidth="1"/>
    <col min="7683" max="7936" width="9.140625" style="443"/>
    <col min="7937" max="7937" width="22.42578125" style="443" customWidth="1"/>
    <col min="7938" max="7938" width="9.5703125" style="443" bestFit="1" customWidth="1"/>
    <col min="7939" max="8192" width="9.140625" style="443"/>
    <col min="8193" max="8193" width="22.42578125" style="443" customWidth="1"/>
    <col min="8194" max="8194" width="9.5703125" style="443" bestFit="1" customWidth="1"/>
    <col min="8195" max="8448" width="9.140625" style="443"/>
    <col min="8449" max="8449" width="22.42578125" style="443" customWidth="1"/>
    <col min="8450" max="8450" width="9.5703125" style="443" bestFit="1" customWidth="1"/>
    <col min="8451" max="8704" width="9.140625" style="443"/>
    <col min="8705" max="8705" width="22.42578125" style="443" customWidth="1"/>
    <col min="8706" max="8706" width="9.5703125" style="443" bestFit="1" customWidth="1"/>
    <col min="8707" max="8960" width="9.140625" style="443"/>
    <col min="8961" max="8961" width="22.42578125" style="443" customWidth="1"/>
    <col min="8962" max="8962" width="9.5703125" style="443" bestFit="1" customWidth="1"/>
    <col min="8963" max="9216" width="9.140625" style="443"/>
    <col min="9217" max="9217" width="22.42578125" style="443" customWidth="1"/>
    <col min="9218" max="9218" width="9.5703125" style="443" bestFit="1" customWidth="1"/>
    <col min="9219" max="9472" width="9.140625" style="443"/>
    <col min="9473" max="9473" width="22.42578125" style="443" customWidth="1"/>
    <col min="9474" max="9474" width="9.5703125" style="443" bestFit="1" customWidth="1"/>
    <col min="9475" max="9728" width="9.140625" style="443"/>
    <col min="9729" max="9729" width="22.42578125" style="443" customWidth="1"/>
    <col min="9730" max="9730" width="9.5703125" style="443" bestFit="1" customWidth="1"/>
    <col min="9731" max="9984" width="9.140625" style="443"/>
    <col min="9985" max="9985" width="22.42578125" style="443" customWidth="1"/>
    <col min="9986" max="9986" width="9.5703125" style="443" bestFit="1" customWidth="1"/>
    <col min="9987" max="10240" width="9.140625" style="443"/>
    <col min="10241" max="10241" width="22.42578125" style="443" customWidth="1"/>
    <col min="10242" max="10242" width="9.5703125" style="443" bestFit="1" customWidth="1"/>
    <col min="10243" max="10496" width="9.140625" style="443"/>
    <col min="10497" max="10497" width="22.42578125" style="443" customWidth="1"/>
    <col min="10498" max="10498" width="9.5703125" style="443" bestFit="1" customWidth="1"/>
    <col min="10499" max="10752" width="9.140625" style="443"/>
    <col min="10753" max="10753" width="22.42578125" style="443" customWidth="1"/>
    <col min="10754" max="10754" width="9.5703125" style="443" bestFit="1" customWidth="1"/>
    <col min="10755" max="11008" width="9.140625" style="443"/>
    <col min="11009" max="11009" width="22.42578125" style="443" customWidth="1"/>
    <col min="11010" max="11010" width="9.5703125" style="443" bestFit="1" customWidth="1"/>
    <col min="11011" max="11264" width="9.140625" style="443"/>
    <col min="11265" max="11265" width="22.42578125" style="443" customWidth="1"/>
    <col min="11266" max="11266" width="9.5703125" style="443" bestFit="1" customWidth="1"/>
    <col min="11267" max="11520" width="9.140625" style="443"/>
    <col min="11521" max="11521" width="22.42578125" style="443" customWidth="1"/>
    <col min="11522" max="11522" width="9.5703125" style="443" bestFit="1" customWidth="1"/>
    <col min="11523" max="11776" width="9.140625" style="443"/>
    <col min="11777" max="11777" width="22.42578125" style="443" customWidth="1"/>
    <col min="11778" max="11778" width="9.5703125" style="443" bestFit="1" customWidth="1"/>
    <col min="11779" max="12032" width="9.140625" style="443"/>
    <col min="12033" max="12033" width="22.42578125" style="443" customWidth="1"/>
    <col min="12034" max="12034" width="9.5703125" style="443" bestFit="1" customWidth="1"/>
    <col min="12035" max="12288" width="9.140625" style="443"/>
    <col min="12289" max="12289" width="22.42578125" style="443" customWidth="1"/>
    <col min="12290" max="12290" width="9.5703125" style="443" bestFit="1" customWidth="1"/>
    <col min="12291" max="12544" width="9.140625" style="443"/>
    <col min="12545" max="12545" width="22.42578125" style="443" customWidth="1"/>
    <col min="12546" max="12546" width="9.5703125" style="443" bestFit="1" customWidth="1"/>
    <col min="12547" max="12800" width="9.140625" style="443"/>
    <col min="12801" max="12801" width="22.42578125" style="443" customWidth="1"/>
    <col min="12802" max="12802" width="9.5703125" style="443" bestFit="1" customWidth="1"/>
    <col min="12803" max="13056" width="9.140625" style="443"/>
    <col min="13057" max="13057" width="22.42578125" style="443" customWidth="1"/>
    <col min="13058" max="13058" width="9.5703125" style="443" bestFit="1" customWidth="1"/>
    <col min="13059" max="13312" width="9.140625" style="443"/>
    <col min="13313" max="13313" width="22.42578125" style="443" customWidth="1"/>
    <col min="13314" max="13314" width="9.5703125" style="443" bestFit="1" customWidth="1"/>
    <col min="13315" max="13568" width="9.140625" style="443"/>
    <col min="13569" max="13569" width="22.42578125" style="443" customWidth="1"/>
    <col min="13570" max="13570" width="9.5703125" style="443" bestFit="1" customWidth="1"/>
    <col min="13571" max="13824" width="9.140625" style="443"/>
    <col min="13825" max="13825" width="22.42578125" style="443" customWidth="1"/>
    <col min="13826" max="13826" width="9.5703125" style="443" bestFit="1" customWidth="1"/>
    <col min="13827" max="14080" width="9.140625" style="443"/>
    <col min="14081" max="14081" width="22.42578125" style="443" customWidth="1"/>
    <col min="14082" max="14082" width="9.5703125" style="443" bestFit="1" customWidth="1"/>
    <col min="14083" max="14336" width="9.140625" style="443"/>
    <col min="14337" max="14337" width="22.42578125" style="443" customWidth="1"/>
    <col min="14338" max="14338" width="9.5703125" style="443" bestFit="1" customWidth="1"/>
    <col min="14339" max="14592" width="9.140625" style="443"/>
    <col min="14593" max="14593" width="22.42578125" style="443" customWidth="1"/>
    <col min="14594" max="14594" width="9.5703125" style="443" bestFit="1" customWidth="1"/>
    <col min="14595" max="14848" width="9.140625" style="443"/>
    <col min="14849" max="14849" width="22.42578125" style="443" customWidth="1"/>
    <col min="14850" max="14850" width="9.5703125" style="443" bestFit="1" customWidth="1"/>
    <col min="14851" max="15104" width="9.140625" style="443"/>
    <col min="15105" max="15105" width="22.42578125" style="443" customWidth="1"/>
    <col min="15106" max="15106" width="9.5703125" style="443" bestFit="1" customWidth="1"/>
    <col min="15107" max="15360" width="9.140625" style="443"/>
    <col min="15361" max="15361" width="22.42578125" style="443" customWidth="1"/>
    <col min="15362" max="15362" width="9.5703125" style="443" bestFit="1" customWidth="1"/>
    <col min="15363" max="15616" width="9.140625" style="443"/>
    <col min="15617" max="15617" width="22.42578125" style="443" customWidth="1"/>
    <col min="15618" max="15618" width="9.5703125" style="443" bestFit="1" customWidth="1"/>
    <col min="15619" max="15872" width="9.140625" style="443"/>
    <col min="15873" max="15873" width="22.42578125" style="443" customWidth="1"/>
    <col min="15874" max="15874" width="9.5703125" style="443" bestFit="1" customWidth="1"/>
    <col min="15875" max="16128" width="9.140625" style="443"/>
    <col min="16129" max="16129" width="22.42578125" style="443" customWidth="1"/>
    <col min="16130" max="16130" width="9.5703125" style="443" bestFit="1" customWidth="1"/>
    <col min="16131" max="16384" width="9.140625" style="443"/>
  </cols>
  <sheetData>
    <row r="1" spans="1:2" x14ac:dyDescent="0.2">
      <c r="A1" s="442" t="s">
        <v>200</v>
      </c>
      <c r="B1" s="442" t="s">
        <v>201</v>
      </c>
    </row>
    <row r="2" spans="1:2" x14ac:dyDescent="0.2">
      <c r="A2" s="443" t="s">
        <v>23</v>
      </c>
      <c r="B2" s="443">
        <v>8</v>
      </c>
    </row>
    <row r="3" spans="1:2" x14ac:dyDescent="0.2">
      <c r="A3" s="443" t="s">
        <v>24</v>
      </c>
    </row>
    <row r="4" spans="1:2" x14ac:dyDescent="0.2">
      <c r="A4" s="443" t="s">
        <v>25</v>
      </c>
    </row>
    <row r="5" spans="1:2" x14ac:dyDescent="0.2">
      <c r="A5" s="443" t="s">
        <v>27</v>
      </c>
    </row>
    <row r="6" spans="1:2" x14ac:dyDescent="0.2">
      <c r="A6" s="475" t="s">
        <v>76</v>
      </c>
    </row>
    <row r="7" spans="1:2" x14ac:dyDescent="0.2">
      <c r="A7" s="475" t="s">
        <v>84</v>
      </c>
    </row>
  </sheetData>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K229"/>
  <sheetViews>
    <sheetView zoomScaleNormal="100" zoomScaleSheetLayoutView="90" workbookViewId="0"/>
  </sheetViews>
  <sheetFormatPr defaultColWidth="9.140625" defaultRowHeight="12.75" x14ac:dyDescent="0.2"/>
  <cols>
    <col min="1" max="1" width="10.85546875" style="74" customWidth="1"/>
    <col min="2" max="2" width="24.5703125" style="1" customWidth="1"/>
    <col min="3" max="3" width="65.7109375" style="229" customWidth="1"/>
    <col min="4" max="4" width="12.85546875" style="1" customWidth="1"/>
    <col min="5" max="5" width="13.5703125" style="185" customWidth="1"/>
    <col min="6" max="6" width="13.140625" style="19" customWidth="1"/>
    <col min="7" max="7" width="13.28515625" style="19" customWidth="1"/>
    <col min="8" max="8" width="15.140625" style="19" customWidth="1"/>
    <col min="9" max="9" width="26.7109375" style="2072" customWidth="1"/>
    <col min="10" max="10" width="0" hidden="1" customWidth="1"/>
    <col min="11" max="256" width="11.42578125" customWidth="1"/>
  </cols>
  <sheetData>
    <row r="1" spans="1:11" ht="20.25" x14ac:dyDescent="0.3">
      <c r="A1" s="328" t="s">
        <v>143</v>
      </c>
      <c r="E1" s="181"/>
    </row>
    <row r="2" spans="1:11" ht="15" x14ac:dyDescent="0.2">
      <c r="A2" s="331" t="s">
        <v>145</v>
      </c>
      <c r="E2" s="181"/>
    </row>
    <row r="3" spans="1:11" s="333" customFormat="1" ht="15" x14ac:dyDescent="0.2">
      <c r="A3" s="331"/>
      <c r="B3" s="331"/>
      <c r="C3" s="331"/>
      <c r="D3" s="331"/>
      <c r="E3" s="332"/>
      <c r="F3" s="332"/>
      <c r="G3" s="332"/>
      <c r="H3" s="332"/>
      <c r="I3" s="2469"/>
    </row>
    <row r="4" spans="1:11" x14ac:dyDescent="0.2">
      <c r="A4" s="75" t="s">
        <v>0</v>
      </c>
      <c r="B4" s="13" t="s">
        <v>1</v>
      </c>
      <c r="C4" s="230" t="s">
        <v>2</v>
      </c>
      <c r="D4" s="13" t="s">
        <v>3</v>
      </c>
      <c r="E4" s="143" t="s">
        <v>4</v>
      </c>
      <c r="F4" s="20" t="s">
        <v>7</v>
      </c>
      <c r="G4" s="20" t="s">
        <v>5</v>
      </c>
      <c r="H4" s="20" t="s">
        <v>6</v>
      </c>
      <c r="I4" s="2470"/>
      <c r="K4" s="56"/>
    </row>
    <row r="5" spans="1:11" x14ac:dyDescent="0.2">
      <c r="A5" s="76" t="s">
        <v>23</v>
      </c>
      <c r="B5" s="6"/>
      <c r="C5" s="231"/>
      <c r="D5" s="6"/>
      <c r="E5" s="144"/>
      <c r="F5" s="21"/>
      <c r="G5" s="21"/>
      <c r="H5" s="22">
        <f>SUM(G5:G5)</f>
        <v>0</v>
      </c>
    </row>
    <row r="6" spans="1:11" x14ac:dyDescent="0.2">
      <c r="A6" s="83" t="s">
        <v>107</v>
      </c>
      <c r="B6" s="121" t="s">
        <v>155</v>
      </c>
      <c r="C6" s="272" t="s">
        <v>329</v>
      </c>
      <c r="D6" s="541" t="s">
        <v>17</v>
      </c>
      <c r="E6" s="242">
        <f>SUM(E7:E10)</f>
        <v>240</v>
      </c>
      <c r="F6" s="543">
        <f>salaries!H4</f>
        <v>29</v>
      </c>
      <c r="G6" s="511">
        <f>F6*E6</f>
        <v>6960</v>
      </c>
      <c r="H6" s="88"/>
      <c r="I6" s="2471"/>
    </row>
    <row r="7" spans="1:11" x14ac:dyDescent="0.2">
      <c r="A7" s="83"/>
      <c r="B7" s="124"/>
      <c r="C7" s="239" t="s">
        <v>375</v>
      </c>
      <c r="D7" s="542"/>
      <c r="E7" s="178">
        <v>40</v>
      </c>
      <c r="F7" s="69"/>
      <c r="G7" s="70"/>
      <c r="H7" s="69"/>
      <c r="I7" s="2471"/>
    </row>
    <row r="8" spans="1:11" ht="22.5" x14ac:dyDescent="0.2">
      <c r="A8" s="83"/>
      <c r="B8" s="124"/>
      <c r="C8" s="239" t="s">
        <v>919</v>
      </c>
      <c r="D8" s="542"/>
      <c r="E8" s="178">
        <v>80</v>
      </c>
      <c r="F8" s="69"/>
      <c r="G8" s="70"/>
      <c r="H8" s="69"/>
      <c r="I8" s="2471"/>
    </row>
    <row r="9" spans="1:11" x14ac:dyDescent="0.2">
      <c r="A9" s="83"/>
      <c r="B9" s="124"/>
      <c r="C9" s="239" t="s">
        <v>376</v>
      </c>
      <c r="D9" s="542"/>
      <c r="E9" s="178">
        <v>40</v>
      </c>
      <c r="F9" s="69"/>
      <c r="G9" s="70"/>
      <c r="H9" s="69"/>
      <c r="I9" s="2471"/>
    </row>
    <row r="10" spans="1:11" x14ac:dyDescent="0.2">
      <c r="A10" s="83"/>
      <c r="B10" s="124"/>
      <c r="C10" s="233" t="s">
        <v>377</v>
      </c>
      <c r="D10" s="542"/>
      <c r="E10" s="178">
        <v>80</v>
      </c>
      <c r="F10" s="69"/>
      <c r="G10" s="70"/>
      <c r="H10" s="69"/>
      <c r="I10" s="2471"/>
    </row>
    <row r="11" spans="1:11" x14ac:dyDescent="0.2">
      <c r="A11" s="83"/>
      <c r="B11" s="124" t="s">
        <v>150</v>
      </c>
      <c r="C11" s="518" t="s">
        <v>324</v>
      </c>
      <c r="D11" s="542" t="s">
        <v>17</v>
      </c>
      <c r="E11" s="511">
        <f>SUM(E12)</f>
        <v>80</v>
      </c>
      <c r="F11" s="514">
        <f>salaries!H3</f>
        <v>26</v>
      </c>
      <c r="G11" s="511">
        <f>F11*E11</f>
        <v>2080</v>
      </c>
      <c r="H11" s="69"/>
      <c r="I11" s="2471"/>
    </row>
    <row r="12" spans="1:11" x14ac:dyDescent="0.2">
      <c r="A12" s="83"/>
      <c r="B12" s="124"/>
      <c r="C12" s="233" t="s">
        <v>575</v>
      </c>
      <c r="D12" s="542"/>
      <c r="E12" s="178">
        <v>80</v>
      </c>
      <c r="F12" s="69"/>
      <c r="G12" s="70"/>
      <c r="H12" s="69"/>
      <c r="I12" s="2471"/>
    </row>
    <row r="13" spans="1:11" x14ac:dyDescent="0.2">
      <c r="A13" s="83"/>
      <c r="B13" s="124" t="s">
        <v>160</v>
      </c>
      <c r="C13" s="240" t="s">
        <v>329</v>
      </c>
      <c r="D13" s="542" t="s">
        <v>17</v>
      </c>
      <c r="E13" s="242">
        <f>SUM(E14)</f>
        <v>80</v>
      </c>
      <c r="F13" s="514">
        <f>salaries!H6</f>
        <v>26</v>
      </c>
      <c r="G13" s="511">
        <f>F13*E13</f>
        <v>2080</v>
      </c>
      <c r="H13" s="69"/>
      <c r="I13" s="2471"/>
    </row>
    <row r="14" spans="1:11" x14ac:dyDescent="0.2">
      <c r="A14" s="83"/>
      <c r="B14" s="124"/>
      <c r="C14" s="233" t="s">
        <v>378</v>
      </c>
      <c r="D14" s="542"/>
      <c r="E14" s="178">
        <v>80</v>
      </c>
      <c r="F14" s="69"/>
      <c r="G14" s="70"/>
      <c r="H14" s="69"/>
      <c r="I14" s="2471"/>
    </row>
    <row r="15" spans="1:11" x14ac:dyDescent="0.2">
      <c r="A15" s="83"/>
      <c r="B15" s="124" t="s">
        <v>156</v>
      </c>
      <c r="C15" s="240" t="s">
        <v>329</v>
      </c>
      <c r="D15" s="542" t="s">
        <v>17</v>
      </c>
      <c r="E15" s="242">
        <f>SUM(E16)</f>
        <v>48</v>
      </c>
      <c r="F15" s="514">
        <f>salaries!H5</f>
        <v>60</v>
      </c>
      <c r="G15" s="511">
        <f>F15*E15</f>
        <v>2880</v>
      </c>
      <c r="H15" s="69"/>
      <c r="I15" s="2471"/>
    </row>
    <row r="16" spans="1:11" x14ac:dyDescent="0.2">
      <c r="A16" s="525"/>
      <c r="B16" s="544"/>
      <c r="C16" s="527" t="s">
        <v>374</v>
      </c>
      <c r="D16" s="545"/>
      <c r="E16" s="529">
        <v>48</v>
      </c>
      <c r="F16" s="530"/>
      <c r="G16" s="531"/>
      <c r="H16" s="530">
        <f>SUM(G6:G16)</f>
        <v>14000</v>
      </c>
      <c r="I16" s="2471"/>
    </row>
    <row r="17" spans="1:10" x14ac:dyDescent="0.2">
      <c r="A17" s="634" t="s">
        <v>310</v>
      </c>
      <c r="B17" s="635" t="s">
        <v>217</v>
      </c>
      <c r="C17" s="636" t="s">
        <v>124</v>
      </c>
      <c r="D17" s="637" t="s">
        <v>17</v>
      </c>
      <c r="E17" s="638">
        <f>SUM(E18:E27)</f>
        <v>920</v>
      </c>
      <c r="F17" s="639">
        <f>salaries!H25</f>
        <v>40</v>
      </c>
      <c r="G17" s="638">
        <f>F17*E17</f>
        <v>36800</v>
      </c>
      <c r="H17" s="1524"/>
      <c r="I17" s="2057"/>
    </row>
    <row r="18" spans="1:10" x14ac:dyDescent="0.2">
      <c r="A18" s="640"/>
      <c r="B18" s="641"/>
      <c r="C18" s="642" t="s">
        <v>582</v>
      </c>
      <c r="D18" s="649"/>
      <c r="E18" s="644">
        <v>160</v>
      </c>
      <c r="F18" s="1532"/>
      <c r="G18" s="650"/>
      <c r="H18" s="1529"/>
      <c r="I18" s="2471"/>
    </row>
    <row r="19" spans="1:10" ht="33.75" x14ac:dyDescent="0.2">
      <c r="A19" s="640"/>
      <c r="B19" s="1525"/>
      <c r="C19" s="1526" t="s">
        <v>924</v>
      </c>
      <c r="D19" s="1527"/>
      <c r="E19" s="1528">
        <v>20</v>
      </c>
      <c r="F19" s="1529"/>
      <c r="G19" s="1530"/>
      <c r="H19" s="1529"/>
      <c r="I19" s="2471"/>
    </row>
    <row r="20" spans="1:10" x14ac:dyDescent="0.2">
      <c r="A20" s="640"/>
      <c r="B20" s="1525"/>
      <c r="C20" s="1531" t="s">
        <v>925</v>
      </c>
      <c r="D20" s="1527"/>
      <c r="E20" s="1528">
        <v>20</v>
      </c>
      <c r="F20" s="1529"/>
      <c r="G20" s="1530"/>
      <c r="H20" s="1529"/>
      <c r="I20" s="2471"/>
    </row>
    <row r="21" spans="1:10" x14ac:dyDescent="0.2">
      <c r="A21" s="640"/>
      <c r="B21" s="1525"/>
      <c r="C21" s="1531" t="s">
        <v>805</v>
      </c>
      <c r="D21" s="1527"/>
      <c r="E21" s="1528">
        <v>40</v>
      </c>
      <c r="F21" s="1529"/>
      <c r="G21" s="1530"/>
      <c r="H21" s="1529"/>
      <c r="I21" s="2471"/>
    </row>
    <row r="22" spans="1:10" x14ac:dyDescent="0.2">
      <c r="A22" s="640"/>
      <c r="B22" s="1525"/>
      <c r="C22" s="1531" t="s">
        <v>926</v>
      </c>
      <c r="D22" s="1527"/>
      <c r="E22" s="1528">
        <v>80</v>
      </c>
      <c r="F22" s="1529"/>
      <c r="G22" s="1530"/>
      <c r="H22" s="1529"/>
      <c r="I22" s="2471"/>
    </row>
    <row r="23" spans="1:10" x14ac:dyDescent="0.2">
      <c r="A23" s="640"/>
      <c r="B23" s="1525"/>
      <c r="C23" s="1531" t="s">
        <v>927</v>
      </c>
      <c r="D23" s="1527"/>
      <c r="E23" s="1528">
        <v>160</v>
      </c>
      <c r="F23" s="1529"/>
      <c r="G23" s="1530"/>
      <c r="H23" s="1529"/>
      <c r="I23" s="2471"/>
    </row>
    <row r="24" spans="1:10" x14ac:dyDescent="0.2">
      <c r="A24" s="640"/>
      <c r="B24" s="1525"/>
      <c r="C24" s="1531" t="s">
        <v>578</v>
      </c>
      <c r="D24" s="1527"/>
      <c r="E24" s="1528">
        <v>80</v>
      </c>
      <c r="F24" s="1529"/>
      <c r="G24" s="1530"/>
      <c r="H24" s="1529"/>
      <c r="I24" s="2471"/>
    </row>
    <row r="25" spans="1:10" ht="22.5" x14ac:dyDescent="0.2">
      <c r="A25" s="640"/>
      <c r="B25" s="1525"/>
      <c r="C25" s="1526" t="s">
        <v>577</v>
      </c>
      <c r="D25" s="1527"/>
      <c r="E25" s="1528">
        <v>240</v>
      </c>
      <c r="F25" s="1529"/>
      <c r="G25" s="1530"/>
      <c r="H25" s="1529"/>
      <c r="I25" s="2471"/>
    </row>
    <row r="26" spans="1:10" x14ac:dyDescent="0.2">
      <c r="A26" s="640"/>
      <c r="B26" s="1525"/>
      <c r="C26" s="1531" t="s">
        <v>928</v>
      </c>
      <c r="D26" s="1527"/>
      <c r="E26" s="1528">
        <v>40</v>
      </c>
      <c r="F26" s="1529"/>
      <c r="G26" s="1530"/>
      <c r="H26" s="1529"/>
      <c r="I26" s="2471"/>
    </row>
    <row r="27" spans="1:10" x14ac:dyDescent="0.2">
      <c r="A27" s="640"/>
      <c r="B27" s="1525"/>
      <c r="C27" s="1531" t="s">
        <v>580</v>
      </c>
      <c r="D27" s="1527"/>
      <c r="E27" s="1528">
        <v>80</v>
      </c>
      <c r="F27" s="1529"/>
      <c r="G27" s="1530"/>
      <c r="H27" s="1529"/>
      <c r="I27" s="2471"/>
    </row>
    <row r="28" spans="1:10" x14ac:dyDescent="0.2">
      <c r="A28" s="640"/>
      <c r="B28" s="1525" t="s">
        <v>218</v>
      </c>
      <c r="C28" s="648" t="s">
        <v>329</v>
      </c>
      <c r="D28" s="649" t="s">
        <v>17</v>
      </c>
      <c r="E28" s="650">
        <f>SUM(E29:E33)</f>
        <v>720</v>
      </c>
      <c r="F28" s="1532">
        <f>salaries!H26</f>
        <v>44</v>
      </c>
      <c r="G28" s="650">
        <f>F28*E28</f>
        <v>31680</v>
      </c>
      <c r="H28" s="1529"/>
      <c r="I28" s="2471"/>
      <c r="J28" s="68"/>
    </row>
    <row r="29" spans="1:10" ht="22.5" x14ac:dyDescent="0.2">
      <c r="A29" s="640"/>
      <c r="B29" s="1525"/>
      <c r="C29" s="1526" t="s">
        <v>929</v>
      </c>
      <c r="D29" s="1527"/>
      <c r="E29" s="1528">
        <v>160</v>
      </c>
      <c r="F29" s="1529"/>
      <c r="G29" s="1530"/>
      <c r="H29" s="1529"/>
      <c r="I29" s="2471"/>
      <c r="J29" s="68"/>
    </row>
    <row r="30" spans="1:10" x14ac:dyDescent="0.2">
      <c r="A30" s="640"/>
      <c r="B30" s="1525"/>
      <c r="C30" s="1531" t="s">
        <v>930</v>
      </c>
      <c r="D30" s="1527"/>
      <c r="E30" s="1528">
        <v>80</v>
      </c>
      <c r="F30" s="1529"/>
      <c r="G30" s="1530"/>
      <c r="H30" s="1529"/>
      <c r="I30" s="2471"/>
      <c r="J30" s="68"/>
    </row>
    <row r="31" spans="1:10" ht="15" customHeight="1" x14ac:dyDescent="0.2">
      <c r="A31" s="640"/>
      <c r="B31" s="1525"/>
      <c r="C31" s="1531" t="s">
        <v>931</v>
      </c>
      <c r="D31" s="1527"/>
      <c r="E31" s="1528">
        <v>160</v>
      </c>
      <c r="F31" s="1529"/>
      <c r="G31" s="1530"/>
      <c r="H31" s="1529"/>
      <c r="I31" s="2471"/>
      <c r="J31" s="68"/>
    </row>
    <row r="32" spans="1:10" ht="22.5" x14ac:dyDescent="0.2">
      <c r="A32" s="640"/>
      <c r="B32" s="1525"/>
      <c r="C32" s="1526" t="s">
        <v>577</v>
      </c>
      <c r="D32" s="1527"/>
      <c r="E32" s="1528">
        <v>240</v>
      </c>
      <c r="F32" s="1529"/>
      <c r="G32" s="1530"/>
      <c r="H32" s="1529"/>
      <c r="I32" s="2471"/>
      <c r="J32" s="68"/>
    </row>
    <row r="33" spans="1:10" x14ac:dyDescent="0.2">
      <c r="A33" s="640"/>
      <c r="B33" s="1525"/>
      <c r="C33" s="1531" t="s">
        <v>580</v>
      </c>
      <c r="D33" s="1527"/>
      <c r="E33" s="1528">
        <v>80</v>
      </c>
      <c r="F33" s="1529"/>
      <c r="G33" s="1530"/>
      <c r="H33" s="1529"/>
      <c r="I33" s="2471"/>
      <c r="J33" s="68"/>
    </row>
    <row r="34" spans="1:10" x14ac:dyDescent="0.2">
      <c r="A34" s="640"/>
      <c r="B34" s="1533" t="s">
        <v>218</v>
      </c>
      <c r="C34" s="648" t="s">
        <v>324</v>
      </c>
      <c r="D34" s="649" t="s">
        <v>17</v>
      </c>
      <c r="E34" s="650">
        <f>SUM(E35:E37)</f>
        <v>260</v>
      </c>
      <c r="F34" s="1532">
        <f>salaries!H26</f>
        <v>44</v>
      </c>
      <c r="G34" s="650">
        <f>F34*E34</f>
        <v>11440</v>
      </c>
      <c r="H34" s="1529"/>
      <c r="I34" s="2471"/>
      <c r="J34" s="68"/>
    </row>
    <row r="35" spans="1:10" x14ac:dyDescent="0.2">
      <c r="A35" s="640"/>
      <c r="B35" s="1533"/>
      <c r="C35" s="1531" t="s">
        <v>574</v>
      </c>
      <c r="D35" s="1525"/>
      <c r="E35" s="1534">
        <v>80</v>
      </c>
      <c r="F35" s="1529"/>
      <c r="G35" s="1530"/>
      <c r="H35" s="1529"/>
      <c r="I35" s="2471"/>
      <c r="J35" s="68"/>
    </row>
    <row r="36" spans="1:10" x14ac:dyDescent="0.2">
      <c r="A36" s="640"/>
      <c r="B36" s="1533"/>
      <c r="C36" s="1531" t="s">
        <v>932</v>
      </c>
      <c r="D36" s="1525"/>
      <c r="E36" s="1534">
        <v>100</v>
      </c>
      <c r="F36" s="1529"/>
      <c r="G36" s="1530"/>
      <c r="H36" s="1529"/>
      <c r="I36" s="2471"/>
      <c r="J36" s="68"/>
    </row>
    <row r="37" spans="1:10" x14ac:dyDescent="0.2">
      <c r="A37" s="1535"/>
      <c r="B37" s="1536"/>
      <c r="C37" s="1539" t="s">
        <v>579</v>
      </c>
      <c r="D37" s="1536"/>
      <c r="E37" s="1540">
        <v>80</v>
      </c>
      <c r="F37" s="1537"/>
      <c r="G37" s="1538"/>
      <c r="H37" s="1537">
        <f>SUM(G17:G37)</f>
        <v>79920</v>
      </c>
      <c r="I37" s="2471"/>
    </row>
    <row r="38" spans="1:10" x14ac:dyDescent="0.2">
      <c r="A38" s="1576" t="s">
        <v>203</v>
      </c>
      <c r="B38" s="1577" t="s">
        <v>151</v>
      </c>
      <c r="C38" s="1578" t="s">
        <v>579</v>
      </c>
      <c r="D38" s="1579" t="s">
        <v>17</v>
      </c>
      <c r="E38" s="1580">
        <f>SUM(E39:E40)</f>
        <v>80</v>
      </c>
      <c r="F38" s="1581">
        <f>salaries!H8</f>
        <v>29</v>
      </c>
      <c r="G38" s="1580">
        <f>F38*E38</f>
        <v>2320</v>
      </c>
      <c r="H38" s="1581"/>
      <c r="I38" s="2472"/>
    </row>
    <row r="39" spans="1:10" x14ac:dyDescent="0.2">
      <c r="A39" s="532"/>
      <c r="B39" s="533"/>
      <c r="C39" s="1582" t="s">
        <v>597</v>
      </c>
      <c r="D39" s="538"/>
      <c r="E39" s="540">
        <v>40</v>
      </c>
      <c r="F39" s="537"/>
      <c r="G39" s="539"/>
      <c r="H39" s="537"/>
      <c r="I39" s="2472"/>
    </row>
    <row r="40" spans="1:10" x14ac:dyDescent="0.2">
      <c r="A40" s="532"/>
      <c r="B40" s="533"/>
      <c r="C40" s="1582" t="s">
        <v>585</v>
      </c>
      <c r="D40" s="538"/>
      <c r="E40" s="540">
        <v>40</v>
      </c>
      <c r="F40" s="537"/>
      <c r="G40" s="539"/>
      <c r="H40" s="537"/>
      <c r="I40" s="2472"/>
    </row>
    <row r="41" spans="1:10" x14ac:dyDescent="0.2">
      <c r="A41" s="532"/>
      <c r="B41" s="533" t="s">
        <v>152</v>
      </c>
      <c r="C41" s="1583" t="s">
        <v>324</v>
      </c>
      <c r="D41" s="1584" t="s">
        <v>17</v>
      </c>
      <c r="E41" s="1585">
        <f>SUM(E42)</f>
        <v>24</v>
      </c>
      <c r="F41" s="1586">
        <f>salaries!H9</f>
        <v>29</v>
      </c>
      <c r="G41" s="1585">
        <f>F41*E41</f>
        <v>696</v>
      </c>
      <c r="H41" s="537"/>
      <c r="I41" s="2472"/>
    </row>
    <row r="42" spans="1:10" x14ac:dyDescent="0.2">
      <c r="A42" s="532"/>
      <c r="B42" s="533"/>
      <c r="C42" s="1582" t="s">
        <v>585</v>
      </c>
      <c r="D42" s="538"/>
      <c r="E42" s="540">
        <v>24</v>
      </c>
      <c r="F42" s="537"/>
      <c r="G42" s="539"/>
      <c r="H42" s="537"/>
      <c r="I42" s="2472"/>
    </row>
    <row r="43" spans="1:10" x14ac:dyDescent="0.2">
      <c r="A43" s="532"/>
      <c r="B43" s="533" t="s">
        <v>154</v>
      </c>
      <c r="C43" s="1583" t="s">
        <v>324</v>
      </c>
      <c r="D43" s="1584" t="s">
        <v>17</v>
      </c>
      <c r="E43" s="1585">
        <f>SUM(E44)</f>
        <v>40</v>
      </c>
      <c r="F43" s="1586">
        <f>salaries!H11</f>
        <v>20</v>
      </c>
      <c r="G43" s="1585">
        <f>F43*E43</f>
        <v>800</v>
      </c>
      <c r="H43" s="537"/>
      <c r="I43" s="2472"/>
    </row>
    <row r="44" spans="1:10" x14ac:dyDescent="0.2">
      <c r="A44" s="571"/>
      <c r="B44" s="1587"/>
      <c r="C44" s="1588" t="s">
        <v>585</v>
      </c>
      <c r="D44" s="1589"/>
      <c r="E44" s="1590">
        <v>40</v>
      </c>
      <c r="F44" s="1591"/>
      <c r="G44" s="1592"/>
      <c r="H44" s="1591">
        <f>SUM(G38:G44)</f>
        <v>3816</v>
      </c>
      <c r="I44" s="2472"/>
    </row>
    <row r="45" spans="1:10" x14ac:dyDescent="0.2">
      <c r="A45" s="557" t="s">
        <v>204</v>
      </c>
      <c r="B45" s="1563" t="s">
        <v>183</v>
      </c>
      <c r="C45" s="1564" t="s">
        <v>329</v>
      </c>
      <c r="D45" s="560" t="s">
        <v>17</v>
      </c>
      <c r="E45" s="561">
        <f>SUM(E46:E47)</f>
        <v>104</v>
      </c>
      <c r="F45" s="562">
        <f>salaries!H12</f>
        <v>27</v>
      </c>
      <c r="G45" s="561">
        <f>F45*E45</f>
        <v>2808</v>
      </c>
      <c r="H45" s="562"/>
      <c r="I45" s="2473"/>
    </row>
    <row r="46" spans="1:10" x14ac:dyDescent="0.2">
      <c r="A46" s="557"/>
      <c r="B46" s="1563"/>
      <c r="C46" s="1593" t="s">
        <v>596</v>
      </c>
      <c r="D46" s="558"/>
      <c r="E46" s="564">
        <v>80</v>
      </c>
      <c r="F46" s="562"/>
      <c r="G46" s="561"/>
      <c r="H46" s="562"/>
      <c r="I46" s="2473"/>
    </row>
    <row r="47" spans="1:10" x14ac:dyDescent="0.2">
      <c r="A47" s="557"/>
      <c r="B47" s="1563"/>
      <c r="C47" s="1565" t="s">
        <v>594</v>
      </c>
      <c r="D47" s="1566"/>
      <c r="E47" s="1567">
        <v>24</v>
      </c>
      <c r="F47" s="1568"/>
      <c r="G47" s="1569"/>
      <c r="H47" s="1568"/>
      <c r="I47" s="2473"/>
    </row>
    <row r="48" spans="1:10" x14ac:dyDescent="0.2">
      <c r="A48" s="557"/>
      <c r="B48" s="1563" t="s">
        <v>186</v>
      </c>
      <c r="C48" s="1564" t="s">
        <v>324</v>
      </c>
      <c r="D48" s="560" t="s">
        <v>17</v>
      </c>
      <c r="E48" s="561">
        <f>SUM(E49:E50)</f>
        <v>120</v>
      </c>
      <c r="F48" s="562">
        <f>salaries!H15</f>
        <v>20</v>
      </c>
      <c r="G48" s="561">
        <f>F48*E48</f>
        <v>2400</v>
      </c>
      <c r="H48" s="1568"/>
      <c r="I48" s="2473"/>
    </row>
    <row r="49" spans="1:9" x14ac:dyDescent="0.2">
      <c r="A49" s="557"/>
      <c r="B49" s="1563"/>
      <c r="C49" s="1565" t="s">
        <v>599</v>
      </c>
      <c r="D49" s="1566"/>
      <c r="E49" s="1567">
        <v>40</v>
      </c>
      <c r="F49" s="1568"/>
      <c r="G49" s="1569"/>
      <c r="H49" s="1568"/>
      <c r="I49" s="2473"/>
    </row>
    <row r="50" spans="1:9" x14ac:dyDescent="0.2">
      <c r="A50" s="580"/>
      <c r="B50" s="1570"/>
      <c r="C50" s="1571" t="s">
        <v>585</v>
      </c>
      <c r="D50" s="1572"/>
      <c r="E50" s="1573">
        <v>80</v>
      </c>
      <c r="F50" s="1574"/>
      <c r="G50" s="1575"/>
      <c r="H50" s="1574">
        <f>SUM(G45:G50)</f>
        <v>5208</v>
      </c>
      <c r="I50" s="2473"/>
    </row>
    <row r="51" spans="1:9" x14ac:dyDescent="0.2">
      <c r="A51" s="588" t="s">
        <v>308</v>
      </c>
      <c r="B51" s="1550" t="s">
        <v>187</v>
      </c>
      <c r="C51" s="1551" t="s">
        <v>324</v>
      </c>
      <c r="D51" s="590" t="s">
        <v>17</v>
      </c>
      <c r="E51" s="591">
        <f>SUM(E52:E53)</f>
        <v>160</v>
      </c>
      <c r="F51" s="592">
        <f>salaries!H16</f>
        <v>62</v>
      </c>
      <c r="G51" s="591">
        <f>F51*E51</f>
        <v>9920</v>
      </c>
      <c r="H51" s="1552"/>
      <c r="I51" s="2471"/>
    </row>
    <row r="52" spans="1:9" x14ac:dyDescent="0.2">
      <c r="A52" s="588"/>
      <c r="B52" s="1550"/>
      <c r="C52" s="1553" t="s">
        <v>598</v>
      </c>
      <c r="D52" s="1554"/>
      <c r="E52" s="1555">
        <v>80</v>
      </c>
      <c r="F52" s="1552"/>
      <c r="G52" s="1556"/>
      <c r="H52" s="1552"/>
      <c r="I52" s="2471"/>
    </row>
    <row r="53" spans="1:9" x14ac:dyDescent="0.2">
      <c r="A53" s="608"/>
      <c r="B53" s="1557"/>
      <c r="C53" s="1558" t="s">
        <v>585</v>
      </c>
      <c r="D53" s="1559"/>
      <c r="E53" s="1560">
        <v>80</v>
      </c>
      <c r="F53" s="1561"/>
      <c r="G53" s="1562"/>
      <c r="H53" s="1561">
        <f>SUM(G51:G53)</f>
        <v>9920</v>
      </c>
      <c r="I53" s="2471"/>
    </row>
    <row r="54" spans="1:9" x14ac:dyDescent="0.2">
      <c r="A54" s="617" t="s">
        <v>309</v>
      </c>
      <c r="B54" s="1544" t="s">
        <v>189</v>
      </c>
      <c r="C54" s="1545" t="s">
        <v>329</v>
      </c>
      <c r="D54" s="625" t="s">
        <v>17</v>
      </c>
      <c r="E54" s="626">
        <f>SUM(E55:E56)</f>
        <v>120</v>
      </c>
      <c r="F54" s="1546">
        <f>salaries!H20</f>
        <v>40</v>
      </c>
      <c r="G54" s="626">
        <f>F54*E54</f>
        <v>4800</v>
      </c>
      <c r="H54" s="1290"/>
      <c r="I54" s="2473"/>
    </row>
    <row r="55" spans="1:9" x14ac:dyDescent="0.2">
      <c r="A55" s="617"/>
      <c r="B55" s="1544"/>
      <c r="C55" s="1547" t="s">
        <v>593</v>
      </c>
      <c r="D55" s="625"/>
      <c r="E55" s="621">
        <v>40</v>
      </c>
      <c r="F55" s="1546"/>
      <c r="G55" s="626"/>
      <c r="H55" s="1290"/>
      <c r="I55" s="2473"/>
    </row>
    <row r="56" spans="1:9" x14ac:dyDescent="0.2">
      <c r="A56" s="617"/>
      <c r="B56" s="1544"/>
      <c r="C56" s="1548" t="s">
        <v>585</v>
      </c>
      <c r="D56" s="1549"/>
      <c r="E56" s="1450">
        <v>80</v>
      </c>
      <c r="F56" s="1290"/>
      <c r="G56" s="1447"/>
      <c r="H56" s="1290"/>
      <c r="I56" s="2473"/>
    </row>
    <row r="57" spans="1:9" x14ac:dyDescent="0.2">
      <c r="A57" s="617"/>
      <c r="B57" s="618" t="s">
        <v>315</v>
      </c>
      <c r="C57" s="1545" t="s">
        <v>324</v>
      </c>
      <c r="D57" s="625" t="s">
        <v>17</v>
      </c>
      <c r="E57" s="626">
        <f>SUM(E58)</f>
        <v>24</v>
      </c>
      <c r="F57" s="1546">
        <f>salaries!H21</f>
        <v>75</v>
      </c>
      <c r="G57" s="626">
        <f>F57*E57</f>
        <v>1800</v>
      </c>
      <c r="H57" s="1290"/>
      <c r="I57" s="2473"/>
    </row>
    <row r="58" spans="1:9" x14ac:dyDescent="0.2">
      <c r="A58" s="617"/>
      <c r="B58" s="1544"/>
      <c r="C58" s="1548" t="s">
        <v>907</v>
      </c>
      <c r="D58" s="1549"/>
      <c r="E58" s="1450">
        <v>24</v>
      </c>
      <c r="F58" s="1290"/>
      <c r="G58" s="1447"/>
      <c r="H58" s="1290"/>
      <c r="I58" s="2473"/>
    </row>
    <row r="59" spans="1:9" x14ac:dyDescent="0.2">
      <c r="A59" s="617"/>
      <c r="B59" s="1544" t="s">
        <v>314</v>
      </c>
      <c r="C59" s="1545" t="s">
        <v>324</v>
      </c>
      <c r="D59" s="625" t="s">
        <v>17</v>
      </c>
      <c r="E59" s="626">
        <f>SUM(E60)</f>
        <v>40</v>
      </c>
      <c r="F59" s="1546">
        <f>salaries!H22</f>
        <v>38</v>
      </c>
      <c r="G59" s="626">
        <f>F59*E59</f>
        <v>1520</v>
      </c>
      <c r="H59" s="1290"/>
      <c r="I59" s="2473"/>
    </row>
    <row r="60" spans="1:9" x14ac:dyDescent="0.2">
      <c r="A60" s="617"/>
      <c r="B60" s="1544"/>
      <c r="C60" s="1548" t="s">
        <v>585</v>
      </c>
      <c r="D60" s="1549"/>
      <c r="E60" s="1450">
        <v>40</v>
      </c>
      <c r="F60" s="1290"/>
      <c r="G60" s="1447"/>
      <c r="H60" s="1290"/>
      <c r="I60" s="2473"/>
    </row>
    <row r="61" spans="1:9" x14ac:dyDescent="0.2">
      <c r="A61" s="617"/>
      <c r="B61" s="618" t="s">
        <v>316</v>
      </c>
      <c r="C61" s="1545" t="s">
        <v>329</v>
      </c>
      <c r="D61" s="625" t="s">
        <v>17</v>
      </c>
      <c r="E61" s="626">
        <f>SUM(E62)</f>
        <v>40</v>
      </c>
      <c r="F61" s="1546">
        <f>salaries!H23</f>
        <v>36</v>
      </c>
      <c r="G61" s="626">
        <f>F61*E61</f>
        <v>1440</v>
      </c>
      <c r="H61" s="1290"/>
      <c r="I61" s="2473"/>
    </row>
    <row r="62" spans="1:9" x14ac:dyDescent="0.2">
      <c r="A62" s="617"/>
      <c r="B62" s="1544"/>
      <c r="C62" s="1548" t="s">
        <v>585</v>
      </c>
      <c r="D62" s="1549"/>
      <c r="E62" s="1450">
        <v>40</v>
      </c>
      <c r="F62" s="1290"/>
      <c r="G62" s="1447"/>
      <c r="H62" s="1290">
        <f>SUM(G54:G62)</f>
        <v>9560</v>
      </c>
      <c r="I62" s="2473"/>
    </row>
    <row r="63" spans="1:9" x14ac:dyDescent="0.2">
      <c r="A63" s="669" t="s">
        <v>311</v>
      </c>
      <c r="B63" s="670" t="s">
        <v>213</v>
      </c>
      <c r="C63" s="671" t="s">
        <v>324</v>
      </c>
      <c r="D63" s="672" t="s">
        <v>17</v>
      </c>
      <c r="E63" s="673">
        <f>SUM(E64:E65)</f>
        <v>120</v>
      </c>
      <c r="F63" s="674">
        <f>salaries!H29</f>
        <v>15</v>
      </c>
      <c r="G63" s="673">
        <f>F63*E63</f>
        <v>1800</v>
      </c>
      <c r="H63" s="675"/>
      <c r="I63" s="2382"/>
    </row>
    <row r="64" spans="1:9" x14ac:dyDescent="0.2">
      <c r="A64" s="656"/>
      <c r="B64" s="657"/>
      <c r="C64" s="676" t="s">
        <v>585</v>
      </c>
      <c r="D64" s="662"/>
      <c r="E64" s="663">
        <v>80</v>
      </c>
      <c r="F64" s="661"/>
      <c r="G64" s="663"/>
      <c r="H64" s="661"/>
      <c r="I64" s="2382"/>
    </row>
    <row r="65" spans="1:9" s="68" customFormat="1" x14ac:dyDescent="0.2">
      <c r="A65" s="679"/>
      <c r="B65" s="667"/>
      <c r="C65" s="666" t="s">
        <v>586</v>
      </c>
      <c r="D65" s="667"/>
      <c r="E65" s="668">
        <v>40</v>
      </c>
      <c r="F65" s="680"/>
      <c r="G65" s="668"/>
      <c r="H65" s="680">
        <f>SUM(G63:G65)</f>
        <v>1800</v>
      </c>
      <c r="I65" s="2474"/>
    </row>
    <row r="66" spans="1:9" x14ac:dyDescent="0.2">
      <c r="A66" s="853" t="s">
        <v>407</v>
      </c>
      <c r="B66" s="854" t="s">
        <v>221</v>
      </c>
      <c r="C66" s="838" t="s">
        <v>324</v>
      </c>
      <c r="D66" s="839" t="s">
        <v>17</v>
      </c>
      <c r="E66" s="840">
        <f>SUM(E67)</f>
        <v>80</v>
      </c>
      <c r="F66" s="855">
        <f>salaries!H34</f>
        <v>15</v>
      </c>
      <c r="G66" s="840">
        <f>F66*E66</f>
        <v>1200</v>
      </c>
      <c r="H66" s="856"/>
      <c r="I66" s="2382"/>
    </row>
    <row r="67" spans="1:9" x14ac:dyDescent="0.2">
      <c r="A67" s="836"/>
      <c r="B67" s="837"/>
      <c r="C67" s="844" t="s">
        <v>585</v>
      </c>
      <c r="D67" s="845"/>
      <c r="E67" s="846">
        <v>80</v>
      </c>
      <c r="F67" s="843"/>
      <c r="G67" s="846"/>
      <c r="H67" s="843"/>
      <c r="I67" s="2382"/>
    </row>
    <row r="68" spans="1:9" x14ac:dyDescent="0.2">
      <c r="A68" s="836"/>
      <c r="B68" s="837" t="s">
        <v>222</v>
      </c>
      <c r="C68" s="1693" t="s">
        <v>324</v>
      </c>
      <c r="D68" s="1694" t="s">
        <v>17</v>
      </c>
      <c r="E68" s="861">
        <f>SUM(E69:E70)</f>
        <v>80</v>
      </c>
      <c r="F68" s="860">
        <f>salaries!H35</f>
        <v>15</v>
      </c>
      <c r="G68" s="861">
        <f>F68*E68</f>
        <v>1200</v>
      </c>
      <c r="H68" s="843"/>
      <c r="I68" s="2382"/>
    </row>
    <row r="69" spans="1:9" x14ac:dyDescent="0.2">
      <c r="A69" s="836"/>
      <c r="B69" s="837"/>
      <c r="C69" s="844" t="s">
        <v>595</v>
      </c>
      <c r="D69" s="845"/>
      <c r="E69" s="846">
        <v>40</v>
      </c>
      <c r="F69" s="843"/>
      <c r="G69" s="846"/>
      <c r="H69" s="843"/>
      <c r="I69" s="2382"/>
    </row>
    <row r="70" spans="1:9" x14ac:dyDescent="0.2">
      <c r="A70" s="857"/>
      <c r="B70" s="858"/>
      <c r="C70" s="850" t="s">
        <v>586</v>
      </c>
      <c r="D70" s="851"/>
      <c r="E70" s="852">
        <v>40</v>
      </c>
      <c r="F70" s="859"/>
      <c r="G70" s="852"/>
      <c r="H70" s="859">
        <f>SUM(G66:G70)</f>
        <v>2400</v>
      </c>
      <c r="I70" s="2382"/>
    </row>
    <row r="71" spans="1:9" x14ac:dyDescent="0.2">
      <c r="A71" s="867" t="s">
        <v>408</v>
      </c>
      <c r="B71" s="868" t="s">
        <v>225</v>
      </c>
      <c r="C71" s="869" t="s">
        <v>583</v>
      </c>
      <c r="D71" s="870" t="s">
        <v>17</v>
      </c>
      <c r="E71" s="871">
        <f>SUM(E72:E78)</f>
        <v>680</v>
      </c>
      <c r="F71" s="872">
        <f>salaries!H38</f>
        <v>11</v>
      </c>
      <c r="G71" s="871">
        <f>F71*E71</f>
        <v>7480</v>
      </c>
      <c r="H71" s="873"/>
      <c r="I71" s="2382"/>
    </row>
    <row r="72" spans="1:9" x14ac:dyDescent="0.2">
      <c r="A72" s="548"/>
      <c r="B72" s="549"/>
      <c r="C72" s="556" t="s">
        <v>590</v>
      </c>
      <c r="D72" s="549"/>
      <c r="E72" s="554">
        <v>160</v>
      </c>
      <c r="F72" s="553"/>
      <c r="G72" s="554"/>
      <c r="H72" s="553"/>
      <c r="I72" s="2382"/>
    </row>
    <row r="73" spans="1:9" x14ac:dyDescent="0.2">
      <c r="A73" s="548"/>
      <c r="B73" s="549"/>
      <c r="C73" s="862"/>
      <c r="D73" s="549"/>
      <c r="E73" s="554"/>
      <c r="F73" s="553"/>
      <c r="G73" s="554"/>
      <c r="H73" s="553"/>
      <c r="I73" s="2383"/>
    </row>
    <row r="74" spans="1:9" x14ac:dyDescent="0.2">
      <c r="A74" s="548"/>
      <c r="B74" s="549"/>
      <c r="C74" s="862" t="s">
        <v>581</v>
      </c>
      <c r="D74" s="549"/>
      <c r="E74" s="554">
        <v>80</v>
      </c>
      <c r="F74" s="553"/>
      <c r="G74" s="554"/>
      <c r="H74" s="553"/>
      <c r="I74" s="2383"/>
    </row>
    <row r="75" spans="1:9" x14ac:dyDescent="0.2">
      <c r="A75" s="548"/>
      <c r="B75" s="549"/>
      <c r="C75" s="862" t="s">
        <v>622</v>
      </c>
      <c r="D75" s="549"/>
      <c r="E75" s="554">
        <v>160</v>
      </c>
      <c r="F75" s="553"/>
      <c r="G75" s="554"/>
      <c r="H75" s="553"/>
      <c r="I75" s="2383"/>
    </row>
    <row r="76" spans="1:9" x14ac:dyDescent="0.2">
      <c r="A76" s="548"/>
      <c r="B76" s="549"/>
      <c r="C76" s="862" t="s">
        <v>577</v>
      </c>
      <c r="D76" s="549"/>
      <c r="E76" s="554">
        <v>160</v>
      </c>
      <c r="F76" s="553"/>
      <c r="G76" s="554"/>
      <c r="H76" s="553"/>
      <c r="I76" s="2383"/>
    </row>
    <row r="77" spans="1:9" x14ac:dyDescent="0.2">
      <c r="A77" s="548"/>
      <c r="B77" s="549"/>
      <c r="C77" s="862" t="s">
        <v>587</v>
      </c>
      <c r="D77" s="549"/>
      <c r="E77" s="554">
        <v>40</v>
      </c>
      <c r="F77" s="553"/>
      <c r="G77" s="554"/>
      <c r="H77" s="553"/>
      <c r="I77" s="2383"/>
    </row>
    <row r="78" spans="1:9" x14ac:dyDescent="0.2">
      <c r="A78" s="548"/>
      <c r="B78" s="549"/>
      <c r="C78" s="862" t="s">
        <v>585</v>
      </c>
      <c r="D78" s="549"/>
      <c r="E78" s="554">
        <v>80</v>
      </c>
      <c r="F78" s="553"/>
      <c r="G78" s="554"/>
      <c r="H78" s="553"/>
      <c r="I78" s="2383"/>
    </row>
    <row r="79" spans="1:9" x14ac:dyDescent="0.2">
      <c r="A79" s="548"/>
      <c r="B79" s="549" t="s">
        <v>226</v>
      </c>
      <c r="C79" s="555" t="s">
        <v>324</v>
      </c>
      <c r="D79" s="1170" t="s">
        <v>17</v>
      </c>
      <c r="E79" s="1171">
        <f>SUM(E80:E81)</f>
        <v>120</v>
      </c>
      <c r="F79" s="1172">
        <f>salaries!H39</f>
        <v>18</v>
      </c>
      <c r="G79" s="1171">
        <f>F79*E79</f>
        <v>2160</v>
      </c>
      <c r="H79" s="553"/>
      <c r="I79" s="2383"/>
    </row>
    <row r="80" spans="1:9" x14ac:dyDescent="0.2">
      <c r="A80" s="548"/>
      <c r="B80" s="549"/>
      <c r="C80" s="862" t="s">
        <v>584</v>
      </c>
      <c r="D80" s="549"/>
      <c r="E80" s="554">
        <v>80</v>
      </c>
      <c r="F80" s="553"/>
      <c r="G80" s="554"/>
      <c r="H80" s="553"/>
      <c r="I80" s="2383"/>
    </row>
    <row r="81" spans="1:9" x14ac:dyDescent="0.2">
      <c r="A81" s="548"/>
      <c r="B81" s="549"/>
      <c r="C81" s="862" t="s">
        <v>585</v>
      </c>
      <c r="D81" s="549"/>
      <c r="E81" s="554">
        <v>40</v>
      </c>
      <c r="F81" s="553"/>
      <c r="G81" s="554"/>
      <c r="H81" s="553"/>
      <c r="I81" s="2383"/>
    </row>
    <row r="82" spans="1:9" s="105" customFormat="1" x14ac:dyDescent="0.2">
      <c r="A82" s="548"/>
      <c r="B82" s="863" t="s">
        <v>228</v>
      </c>
      <c r="C82" s="555" t="s">
        <v>324</v>
      </c>
      <c r="D82" s="550" t="s">
        <v>17</v>
      </c>
      <c r="E82" s="551">
        <f>SUM(E83:E84)</f>
        <v>80</v>
      </c>
      <c r="F82" s="552">
        <f>salaries!H41</f>
        <v>9</v>
      </c>
      <c r="G82" s="551">
        <f>F82*E82</f>
        <v>720</v>
      </c>
      <c r="H82" s="552"/>
      <c r="I82" s="2471"/>
    </row>
    <row r="83" spans="1:9" s="105" customFormat="1" x14ac:dyDescent="0.2">
      <c r="A83" s="548"/>
      <c r="B83" s="863"/>
      <c r="C83" s="556" t="s">
        <v>588</v>
      </c>
      <c r="D83" s="550"/>
      <c r="E83" s="554">
        <v>40</v>
      </c>
      <c r="F83" s="552"/>
      <c r="G83" s="551"/>
      <c r="H83" s="552"/>
      <c r="I83" s="2383"/>
    </row>
    <row r="84" spans="1:9" s="105" customFormat="1" x14ac:dyDescent="0.2">
      <c r="A84" s="874"/>
      <c r="B84" s="865"/>
      <c r="C84" s="864" t="s">
        <v>589</v>
      </c>
      <c r="D84" s="865"/>
      <c r="E84" s="866">
        <v>40</v>
      </c>
      <c r="F84" s="875"/>
      <c r="G84" s="866"/>
      <c r="H84" s="875">
        <f>SUM(G71:G84)</f>
        <v>10360</v>
      </c>
      <c r="I84" s="2383"/>
    </row>
    <row r="85" spans="1:9" x14ac:dyDescent="0.2">
      <c r="A85" s="890" t="s">
        <v>409</v>
      </c>
      <c r="B85" s="891" t="s">
        <v>801</v>
      </c>
      <c r="C85" s="892" t="s">
        <v>324</v>
      </c>
      <c r="D85" s="893" t="s">
        <v>17</v>
      </c>
      <c r="E85" s="894">
        <f>SUM(E86:E88)</f>
        <v>280</v>
      </c>
      <c r="F85" s="895">
        <f>salaries!H44</f>
        <v>17</v>
      </c>
      <c r="G85" s="894">
        <f>F85*E85</f>
        <v>4760</v>
      </c>
      <c r="H85" s="896"/>
      <c r="I85" s="2382"/>
    </row>
    <row r="86" spans="1:9" x14ac:dyDescent="0.2">
      <c r="A86" s="876"/>
      <c r="B86" s="877"/>
      <c r="C86" s="883" t="s">
        <v>591</v>
      </c>
      <c r="D86" s="879"/>
      <c r="E86" s="885">
        <v>160</v>
      </c>
      <c r="F86" s="881"/>
      <c r="G86" s="880"/>
      <c r="H86" s="882"/>
      <c r="I86" s="2382"/>
    </row>
    <row r="87" spans="1:9" x14ac:dyDescent="0.2">
      <c r="A87" s="876"/>
      <c r="B87" s="877"/>
      <c r="C87" s="883" t="s">
        <v>585</v>
      </c>
      <c r="D87" s="884"/>
      <c r="E87" s="885">
        <v>80</v>
      </c>
      <c r="F87" s="882"/>
      <c r="G87" s="885"/>
      <c r="H87" s="882"/>
      <c r="I87" s="2382"/>
    </row>
    <row r="88" spans="1:9" x14ac:dyDescent="0.2">
      <c r="A88" s="876"/>
      <c r="B88" s="877"/>
      <c r="C88" s="886" t="s">
        <v>586</v>
      </c>
      <c r="D88" s="884"/>
      <c r="E88" s="885">
        <v>40</v>
      </c>
      <c r="F88" s="882"/>
      <c r="G88" s="885"/>
      <c r="H88" s="882"/>
      <c r="I88" s="2383"/>
    </row>
    <row r="89" spans="1:9" x14ac:dyDescent="0.2">
      <c r="A89" s="876"/>
      <c r="B89" s="877" t="s">
        <v>229</v>
      </c>
      <c r="C89" s="1541" t="s">
        <v>324</v>
      </c>
      <c r="D89" s="879" t="s">
        <v>17</v>
      </c>
      <c r="E89" s="1542">
        <f>SUM(E90:E90)</f>
        <v>40</v>
      </c>
      <c r="F89" s="1543">
        <f>salaries!H42</f>
        <v>24</v>
      </c>
      <c r="G89" s="1542">
        <f>F89*E89</f>
        <v>960</v>
      </c>
      <c r="H89" s="882"/>
      <c r="I89" s="2383"/>
    </row>
    <row r="90" spans="1:9" x14ac:dyDescent="0.2">
      <c r="A90" s="876"/>
      <c r="B90" s="877"/>
      <c r="C90" s="886" t="s">
        <v>592</v>
      </c>
      <c r="D90" s="884"/>
      <c r="E90" s="885">
        <v>40</v>
      </c>
      <c r="F90" s="882"/>
      <c r="G90" s="885"/>
      <c r="H90" s="882"/>
      <c r="I90" s="2383"/>
    </row>
    <row r="91" spans="1:9" x14ac:dyDescent="0.2">
      <c r="A91" s="876"/>
      <c r="B91" s="877" t="s">
        <v>230</v>
      </c>
      <c r="C91" s="1541" t="s">
        <v>324</v>
      </c>
      <c r="D91" s="879" t="s">
        <v>17</v>
      </c>
      <c r="E91" s="1542">
        <f>SUM(E92)</f>
        <v>40</v>
      </c>
      <c r="F91" s="1543">
        <f>salaries!H43</f>
        <v>23</v>
      </c>
      <c r="G91" s="1542">
        <f>F91*E91</f>
        <v>920</v>
      </c>
      <c r="H91" s="882"/>
      <c r="I91" s="2383"/>
    </row>
    <row r="92" spans="1:9" x14ac:dyDescent="0.2">
      <c r="A92" s="876"/>
      <c r="B92" s="877"/>
      <c r="C92" s="886" t="s">
        <v>592</v>
      </c>
      <c r="D92" s="884"/>
      <c r="E92" s="885">
        <v>40</v>
      </c>
      <c r="F92" s="882"/>
      <c r="G92" s="885"/>
      <c r="H92" s="882"/>
      <c r="I92" s="2383"/>
    </row>
    <row r="93" spans="1:9" x14ac:dyDescent="0.2">
      <c r="A93" s="876"/>
      <c r="B93" s="877" t="s">
        <v>231</v>
      </c>
      <c r="C93" s="878" t="s">
        <v>324</v>
      </c>
      <c r="D93" s="879" t="s">
        <v>17</v>
      </c>
      <c r="E93" s="880">
        <f>SUM(E94:E94)</f>
        <v>160</v>
      </c>
      <c r="F93" s="881">
        <f>salaries!H46</f>
        <v>10</v>
      </c>
      <c r="G93" s="880">
        <f>F93*E93</f>
        <v>1600</v>
      </c>
      <c r="H93" s="881"/>
      <c r="I93" s="2471"/>
    </row>
    <row r="94" spans="1:9" x14ac:dyDescent="0.2">
      <c r="A94" s="897"/>
      <c r="B94" s="898"/>
      <c r="C94" s="887" t="s">
        <v>591</v>
      </c>
      <c r="D94" s="888"/>
      <c r="E94" s="889">
        <v>160</v>
      </c>
      <c r="F94" s="899"/>
      <c r="G94" s="889"/>
      <c r="H94" s="899">
        <f>SUM(G85:G94)</f>
        <v>8240</v>
      </c>
      <c r="I94" s="2382"/>
    </row>
    <row r="95" spans="1:9" x14ac:dyDescent="0.2">
      <c r="A95" s="900" t="s">
        <v>410</v>
      </c>
      <c r="B95" s="901" t="s">
        <v>233</v>
      </c>
      <c r="C95" s="902" t="s">
        <v>324</v>
      </c>
      <c r="D95" s="903" t="s">
        <v>17</v>
      </c>
      <c r="E95" s="904">
        <f>SUM(E96:E97)</f>
        <v>120</v>
      </c>
      <c r="F95" s="905">
        <f>salaries!H48</f>
        <v>21</v>
      </c>
      <c r="G95" s="904">
        <f>F95*E95</f>
        <v>2520</v>
      </c>
      <c r="H95" s="906"/>
      <c r="I95" s="2382"/>
    </row>
    <row r="96" spans="1:9" x14ac:dyDescent="0.2">
      <c r="A96" s="907"/>
      <c r="B96" s="908"/>
      <c r="C96" s="909" t="s">
        <v>585</v>
      </c>
      <c r="D96" s="908"/>
      <c r="E96" s="910">
        <v>80</v>
      </c>
      <c r="F96" s="911"/>
      <c r="G96" s="910"/>
      <c r="H96" s="911"/>
      <c r="I96" s="2382"/>
    </row>
    <row r="97" spans="1:9" s="68" customFormat="1" x14ac:dyDescent="0.2">
      <c r="A97" s="918"/>
      <c r="B97" s="919"/>
      <c r="C97" s="920" t="s">
        <v>586</v>
      </c>
      <c r="D97" s="919"/>
      <c r="E97" s="921">
        <v>40</v>
      </c>
      <c r="F97" s="922"/>
      <c r="G97" s="921"/>
      <c r="H97" s="922">
        <f>SUM(G95:G97)</f>
        <v>2520</v>
      </c>
      <c r="I97" s="2382"/>
    </row>
    <row r="98" spans="1:9" s="68" customFormat="1" x14ac:dyDescent="0.2">
      <c r="A98" s="952" t="s">
        <v>411</v>
      </c>
      <c r="B98" s="953" t="s">
        <v>240</v>
      </c>
      <c r="C98" s="954" t="s">
        <v>324</v>
      </c>
      <c r="D98" s="955" t="s">
        <v>17</v>
      </c>
      <c r="E98" s="956">
        <f>SUM(E99:E100)</f>
        <v>120</v>
      </c>
      <c r="F98" s="957">
        <f>salaries!H51</f>
        <v>20</v>
      </c>
      <c r="G98" s="956">
        <f>F98*E98</f>
        <v>2400</v>
      </c>
      <c r="H98" s="958"/>
      <c r="I98" s="2382"/>
    </row>
    <row r="99" spans="1:9" s="68" customFormat="1" x14ac:dyDescent="0.2">
      <c r="A99" s="923"/>
      <c r="B99" s="924"/>
      <c r="C99" s="930" t="s">
        <v>585</v>
      </c>
      <c r="D99" s="924"/>
      <c r="E99" s="931">
        <v>80</v>
      </c>
      <c r="F99" s="929"/>
      <c r="G99" s="931"/>
      <c r="H99" s="929"/>
      <c r="I99" s="2382"/>
    </row>
    <row r="100" spans="1:9" s="68" customFormat="1" x14ac:dyDescent="0.2">
      <c r="A100" s="959"/>
      <c r="B100" s="934"/>
      <c r="C100" s="933" t="s">
        <v>586</v>
      </c>
      <c r="D100" s="934"/>
      <c r="E100" s="935">
        <v>40</v>
      </c>
      <c r="F100" s="960"/>
      <c r="G100" s="935"/>
      <c r="H100" s="960">
        <f>SUM(G98:G100)</f>
        <v>2400</v>
      </c>
      <c r="I100" s="2382"/>
    </row>
    <row r="101" spans="1:9" s="68" customFormat="1" x14ac:dyDescent="0.2">
      <c r="A101" s="961" t="s">
        <v>412</v>
      </c>
      <c r="B101" s="968" t="s">
        <v>236</v>
      </c>
      <c r="C101" s="938" t="s">
        <v>324</v>
      </c>
      <c r="D101" s="939" t="s">
        <v>17</v>
      </c>
      <c r="E101" s="940">
        <f>SUM(E102:E103)</f>
        <v>120</v>
      </c>
      <c r="F101" s="962">
        <f>salaries!H55</f>
        <v>21</v>
      </c>
      <c r="G101" s="940">
        <f>F101*E101</f>
        <v>2520</v>
      </c>
      <c r="H101" s="963"/>
      <c r="I101" s="2382"/>
    </row>
    <row r="102" spans="1:9" s="68" customFormat="1" x14ac:dyDescent="0.2">
      <c r="A102" s="936"/>
      <c r="B102" s="944"/>
      <c r="C102" s="945" t="s">
        <v>585</v>
      </c>
      <c r="D102" s="944"/>
      <c r="E102" s="946">
        <v>80</v>
      </c>
      <c r="F102" s="943"/>
      <c r="G102" s="946"/>
      <c r="H102" s="943"/>
      <c r="I102" s="2382"/>
    </row>
    <row r="103" spans="1:9" s="68" customFormat="1" x14ac:dyDescent="0.2">
      <c r="A103" s="964"/>
      <c r="B103" s="950"/>
      <c r="C103" s="949" t="s">
        <v>586</v>
      </c>
      <c r="D103" s="950"/>
      <c r="E103" s="951">
        <v>40</v>
      </c>
      <c r="F103" s="965"/>
      <c r="G103" s="951"/>
      <c r="H103" s="965">
        <f>SUM(G101:G103)</f>
        <v>2520</v>
      </c>
      <c r="I103" s="2382"/>
    </row>
    <row r="104" spans="1:9" x14ac:dyDescent="0.2">
      <c r="A104" s="977" t="s">
        <v>413</v>
      </c>
      <c r="B104" s="978" t="s">
        <v>244</v>
      </c>
      <c r="C104" s="979" t="s">
        <v>329</v>
      </c>
      <c r="D104" s="980" t="s">
        <v>17</v>
      </c>
      <c r="E104" s="981">
        <f>SUM(E105:E106)</f>
        <v>120</v>
      </c>
      <c r="F104" s="982">
        <f>salaries!H59</f>
        <v>27</v>
      </c>
      <c r="G104" s="981">
        <f>F104*E104</f>
        <v>3240</v>
      </c>
      <c r="H104" s="982"/>
      <c r="I104" s="2382"/>
    </row>
    <row r="105" spans="1:9" x14ac:dyDescent="0.2">
      <c r="A105" s="969"/>
      <c r="B105" s="970"/>
      <c r="C105" s="983" t="s">
        <v>585</v>
      </c>
      <c r="D105" s="973"/>
      <c r="E105" s="974">
        <v>80</v>
      </c>
      <c r="F105" s="972"/>
      <c r="G105" s="971"/>
      <c r="H105" s="975"/>
      <c r="I105" s="2382"/>
    </row>
    <row r="106" spans="1:9" x14ac:dyDescent="0.2">
      <c r="A106" s="985"/>
      <c r="B106" s="986"/>
      <c r="C106" s="987" t="s">
        <v>586</v>
      </c>
      <c r="D106" s="986"/>
      <c r="E106" s="988">
        <v>40</v>
      </c>
      <c r="F106" s="989"/>
      <c r="G106" s="988"/>
      <c r="H106" s="989">
        <f>SUM(G104:G106)</f>
        <v>3240</v>
      </c>
      <c r="I106" s="2382"/>
    </row>
    <row r="107" spans="1:9" x14ac:dyDescent="0.2">
      <c r="A107" s="999" t="s">
        <v>414</v>
      </c>
      <c r="B107" s="1000" t="s">
        <v>248</v>
      </c>
      <c r="C107" s="1001" t="s">
        <v>329</v>
      </c>
      <c r="D107" s="1002" t="s">
        <v>17</v>
      </c>
      <c r="E107" s="1003">
        <f>SUM(E108:E109)</f>
        <v>80</v>
      </c>
      <c r="F107" s="1004">
        <f>salaries!H63</f>
        <v>19</v>
      </c>
      <c r="G107" s="1003">
        <f>F107*E107</f>
        <v>1520</v>
      </c>
      <c r="H107" s="1005"/>
      <c r="I107" s="2382"/>
    </row>
    <row r="108" spans="1:9" x14ac:dyDescent="0.2">
      <c r="A108" s="990"/>
      <c r="B108" s="996"/>
      <c r="C108" s="997" t="s">
        <v>555</v>
      </c>
      <c r="D108" s="996"/>
      <c r="E108" s="998">
        <v>40</v>
      </c>
      <c r="F108" s="995"/>
      <c r="G108" s="998"/>
      <c r="H108" s="995"/>
      <c r="I108" s="2382"/>
    </row>
    <row r="109" spans="1:9" x14ac:dyDescent="0.2">
      <c r="A109" s="1006"/>
      <c r="B109" s="1007"/>
      <c r="C109" s="1008" t="s">
        <v>586</v>
      </c>
      <c r="D109" s="1007"/>
      <c r="E109" s="1009">
        <v>40</v>
      </c>
      <c r="F109" s="1010"/>
      <c r="G109" s="1009"/>
      <c r="H109" s="1010">
        <f>SUM(G107:G109)</f>
        <v>1520</v>
      </c>
      <c r="I109" s="2382"/>
    </row>
    <row r="110" spans="1:9" s="47" customFormat="1" x14ac:dyDescent="0.2">
      <c r="A110" s="1061" t="s">
        <v>415</v>
      </c>
      <c r="B110" s="1062" t="s">
        <v>252</v>
      </c>
      <c r="C110" s="1063" t="s">
        <v>329</v>
      </c>
      <c r="D110" s="1064" t="s">
        <v>17</v>
      </c>
      <c r="E110" s="1065">
        <f>SUM(E111:E112)</f>
        <v>120</v>
      </c>
      <c r="F110" s="1066">
        <f>salaries!H67</f>
        <v>20</v>
      </c>
      <c r="G110" s="1065">
        <f>F110*E110</f>
        <v>2400</v>
      </c>
      <c r="H110" s="1067"/>
      <c r="I110" s="2382"/>
    </row>
    <row r="111" spans="1:9" s="47" customFormat="1" x14ac:dyDescent="0.2">
      <c r="A111" s="1011"/>
      <c r="B111" s="1012"/>
      <c r="C111" s="1015" t="s">
        <v>585</v>
      </c>
      <c r="D111" s="1012"/>
      <c r="E111" s="1016">
        <v>80</v>
      </c>
      <c r="F111" s="1014"/>
      <c r="G111" s="1016"/>
      <c r="H111" s="1013"/>
      <c r="I111" s="2382"/>
    </row>
    <row r="112" spans="1:9" s="47" customFormat="1" x14ac:dyDescent="0.2">
      <c r="A112" s="1068"/>
      <c r="B112" s="1069"/>
      <c r="C112" s="1070" t="s">
        <v>586</v>
      </c>
      <c r="D112" s="1069"/>
      <c r="E112" s="1071">
        <v>40</v>
      </c>
      <c r="F112" s="1072"/>
      <c r="G112" s="1071"/>
      <c r="H112" s="1072">
        <f>SUM(G110:G112)</f>
        <v>2400</v>
      </c>
      <c r="I112" s="2382"/>
    </row>
    <row r="113" spans="1:9" s="47" customFormat="1" x14ac:dyDescent="0.2">
      <c r="A113" s="1017" t="s">
        <v>416</v>
      </c>
      <c r="B113" s="1018" t="s">
        <v>255</v>
      </c>
      <c r="C113" s="1019" t="s">
        <v>324</v>
      </c>
      <c r="D113" s="1020" t="s">
        <v>17</v>
      </c>
      <c r="E113" s="1021">
        <f>SUM(E114:E115)</f>
        <v>80</v>
      </c>
      <c r="F113" s="1022">
        <f>salaries!H72</f>
        <v>24</v>
      </c>
      <c r="G113" s="1021">
        <f>F113*E113</f>
        <v>1920</v>
      </c>
      <c r="H113" s="1023"/>
      <c r="I113" s="2382"/>
    </row>
    <row r="114" spans="1:9" s="47" customFormat="1" x14ac:dyDescent="0.2">
      <c r="A114" s="1017"/>
      <c r="B114" s="1018"/>
      <c r="C114" s="1024" t="s">
        <v>585</v>
      </c>
      <c r="D114" s="1018"/>
      <c r="E114" s="1025">
        <v>40</v>
      </c>
      <c r="F114" s="1023"/>
      <c r="G114" s="1025"/>
      <c r="H114" s="1022"/>
      <c r="I114" s="2382"/>
    </row>
    <row r="115" spans="1:9" s="47" customFormat="1" x14ac:dyDescent="0.2">
      <c r="A115" s="1056"/>
      <c r="B115" s="1057"/>
      <c r="C115" s="1058" t="s">
        <v>586</v>
      </c>
      <c r="D115" s="1057"/>
      <c r="E115" s="1059">
        <v>40</v>
      </c>
      <c r="F115" s="1060"/>
      <c r="G115" s="1059"/>
      <c r="H115" s="1060">
        <f>SUM(G113:G115)</f>
        <v>1920</v>
      </c>
      <c r="I115" s="2382"/>
    </row>
    <row r="116" spans="1:9" s="47" customFormat="1" x14ac:dyDescent="0.2">
      <c r="A116" s="1026" t="s">
        <v>417</v>
      </c>
      <c r="B116" s="1027" t="s">
        <v>257</v>
      </c>
      <c r="C116" s="1028" t="s">
        <v>324</v>
      </c>
      <c r="D116" s="1029" t="s">
        <v>17</v>
      </c>
      <c r="E116" s="1030">
        <f>SUM(E117:E118)</f>
        <v>80</v>
      </c>
      <c r="F116" s="1031">
        <f>salaries!H76</f>
        <v>13</v>
      </c>
      <c r="G116" s="1030">
        <f>F116*E116</f>
        <v>1040</v>
      </c>
      <c r="H116" s="1032"/>
      <c r="I116" s="2382"/>
    </row>
    <row r="117" spans="1:9" s="47" customFormat="1" x14ac:dyDescent="0.2">
      <c r="A117" s="1026"/>
      <c r="B117" s="1027"/>
      <c r="C117" s="1033" t="s">
        <v>585</v>
      </c>
      <c r="D117" s="1027"/>
      <c r="E117" s="1034">
        <v>40</v>
      </c>
      <c r="F117" s="1032"/>
      <c r="G117" s="1034"/>
      <c r="H117" s="1031"/>
      <c r="I117" s="2382"/>
    </row>
    <row r="118" spans="1:9" s="47" customFormat="1" x14ac:dyDescent="0.2">
      <c r="A118" s="1037"/>
      <c r="B118" s="1038"/>
      <c r="C118" s="1039" t="s">
        <v>586</v>
      </c>
      <c r="D118" s="1038"/>
      <c r="E118" s="1040">
        <v>40</v>
      </c>
      <c r="F118" s="1041"/>
      <c r="G118" s="1040"/>
      <c r="H118" s="1041">
        <f>SUM(G116:G118)</f>
        <v>1040</v>
      </c>
      <c r="I118" s="2382"/>
    </row>
    <row r="119" spans="1:9" s="47" customFormat="1" x14ac:dyDescent="0.2">
      <c r="A119" s="1042" t="s">
        <v>418</v>
      </c>
      <c r="B119" s="1043" t="s">
        <v>259</v>
      </c>
      <c r="C119" s="1044" t="s">
        <v>329</v>
      </c>
      <c r="D119" s="1045" t="s">
        <v>17</v>
      </c>
      <c r="E119" s="1046">
        <f>SUM(E120:E121)</f>
        <v>120</v>
      </c>
      <c r="F119" s="1047">
        <f>salaries!H81</f>
        <v>33</v>
      </c>
      <c r="G119" s="1046">
        <f>F119*E119</f>
        <v>3960</v>
      </c>
      <c r="H119" s="1048"/>
      <c r="I119" s="2382"/>
    </row>
    <row r="120" spans="1:9" s="47" customFormat="1" x14ac:dyDescent="0.2">
      <c r="A120" s="1042"/>
      <c r="B120" s="1043"/>
      <c r="C120" s="1049" t="s">
        <v>585</v>
      </c>
      <c r="D120" s="1045"/>
      <c r="E120" s="1050">
        <v>80</v>
      </c>
      <c r="F120" s="1047"/>
      <c r="G120" s="1046"/>
      <c r="H120" s="1048"/>
      <c r="I120" s="2382"/>
    </row>
    <row r="121" spans="1:9" s="47" customFormat="1" x14ac:dyDescent="0.2">
      <c r="A121" s="1051"/>
      <c r="B121" s="1052"/>
      <c r="C121" s="1053" t="s">
        <v>586</v>
      </c>
      <c r="D121" s="1052"/>
      <c r="E121" s="1054">
        <v>40</v>
      </c>
      <c r="F121" s="1055"/>
      <c r="G121" s="1054"/>
      <c r="H121" s="1055">
        <f>SUM(G119:G121)</f>
        <v>3960</v>
      </c>
      <c r="I121" s="2382"/>
    </row>
    <row r="122" spans="1:9" s="47" customFormat="1" x14ac:dyDescent="0.2">
      <c r="A122" s="1073" t="s">
        <v>419</v>
      </c>
      <c r="B122" s="1074" t="s">
        <v>263</v>
      </c>
      <c r="C122" s="1075" t="s">
        <v>324</v>
      </c>
      <c r="D122" s="1076" t="s">
        <v>17</v>
      </c>
      <c r="E122" s="1077">
        <f>SUM(E123:E124)</f>
        <v>120</v>
      </c>
      <c r="F122" s="1078">
        <f>salaries!H85</f>
        <v>18</v>
      </c>
      <c r="G122" s="1077">
        <f>F122*E122</f>
        <v>2160</v>
      </c>
      <c r="H122" s="1079"/>
      <c r="I122" s="2382"/>
    </row>
    <row r="123" spans="1:9" s="47" customFormat="1" x14ac:dyDescent="0.2">
      <c r="A123" s="1080"/>
      <c r="B123" s="1081"/>
      <c r="C123" s="1082" t="s">
        <v>585</v>
      </c>
      <c r="D123" s="1419"/>
      <c r="E123" s="1083">
        <v>80</v>
      </c>
      <c r="F123" s="1421"/>
      <c r="G123" s="1420"/>
      <c r="H123" s="1084"/>
      <c r="I123" s="2382"/>
    </row>
    <row r="124" spans="1:9" s="47" customFormat="1" x14ac:dyDescent="0.2">
      <c r="A124" s="1085"/>
      <c r="B124" s="1086"/>
      <c r="C124" s="1087" t="s">
        <v>586</v>
      </c>
      <c r="D124" s="1086"/>
      <c r="E124" s="1088">
        <v>40</v>
      </c>
      <c r="F124" s="1089"/>
      <c r="G124" s="1088"/>
      <c r="H124" s="1089">
        <f>SUM(G122:G124)</f>
        <v>2160</v>
      </c>
      <c r="I124" s="2382"/>
    </row>
    <row r="125" spans="1:9" s="47" customFormat="1" x14ac:dyDescent="0.2">
      <c r="A125" s="1090" t="s">
        <v>420</v>
      </c>
      <c r="B125" s="1091" t="s">
        <v>267</v>
      </c>
      <c r="C125" s="1092" t="s">
        <v>324</v>
      </c>
      <c r="D125" s="1093" t="s">
        <v>17</v>
      </c>
      <c r="E125" s="1094">
        <f>SUM(E126:E127)</f>
        <v>80</v>
      </c>
      <c r="F125" s="1095">
        <f>salaries!H89</f>
        <v>18</v>
      </c>
      <c r="G125" s="1094">
        <f>F125*E125</f>
        <v>1440</v>
      </c>
      <c r="H125" s="1096"/>
      <c r="I125" s="2382"/>
    </row>
    <row r="126" spans="1:9" s="47" customFormat="1" x14ac:dyDescent="0.2">
      <c r="A126" s="1097"/>
      <c r="B126" s="1098"/>
      <c r="C126" s="1099" t="s">
        <v>585</v>
      </c>
      <c r="D126" s="1423"/>
      <c r="E126" s="1100">
        <v>40</v>
      </c>
      <c r="F126" s="1425"/>
      <c r="G126" s="1424"/>
      <c r="H126" s="1101"/>
      <c r="I126" s="2382"/>
    </row>
    <row r="127" spans="1:9" s="47" customFormat="1" x14ac:dyDescent="0.2">
      <c r="A127" s="1102"/>
      <c r="B127" s="1103"/>
      <c r="C127" s="1104" t="s">
        <v>586</v>
      </c>
      <c r="D127" s="1103"/>
      <c r="E127" s="1105">
        <v>40</v>
      </c>
      <c r="F127" s="1106"/>
      <c r="G127" s="1105"/>
      <c r="H127" s="1106">
        <f>SUM(G125:G127)</f>
        <v>1440</v>
      </c>
      <c r="I127" s="2382"/>
    </row>
    <row r="128" spans="1:9" s="47" customFormat="1" x14ac:dyDescent="0.2">
      <c r="A128" s="1107" t="s">
        <v>949</v>
      </c>
      <c r="B128" s="1108" t="s">
        <v>271</v>
      </c>
      <c r="C128" s="1109" t="s">
        <v>324</v>
      </c>
      <c r="D128" s="1110" t="s">
        <v>17</v>
      </c>
      <c r="E128" s="1111">
        <f>SUM(E129:E130)</f>
        <v>32</v>
      </c>
      <c r="F128" s="1112">
        <f>salaries!H93</f>
        <v>52</v>
      </c>
      <c r="G128" s="1111">
        <f>F128*E128</f>
        <v>1664</v>
      </c>
      <c r="H128" s="1113"/>
      <c r="I128" s="2382"/>
    </row>
    <row r="129" spans="1:9" s="47" customFormat="1" x14ac:dyDescent="0.2">
      <c r="A129" s="1114"/>
      <c r="B129" s="1115"/>
      <c r="C129" s="1116" t="s">
        <v>585</v>
      </c>
      <c r="D129" s="1426"/>
      <c r="E129" s="1117">
        <v>32</v>
      </c>
      <c r="F129" s="1428"/>
      <c r="G129" s="1427"/>
      <c r="H129" s="1118"/>
      <c r="I129" s="2382"/>
    </row>
    <row r="130" spans="1:9" s="47" customFormat="1" x14ac:dyDescent="0.2">
      <c r="A130" s="1119"/>
      <c r="B130" s="1120"/>
      <c r="C130" s="1121" t="s">
        <v>586</v>
      </c>
      <c r="D130" s="1120"/>
      <c r="E130" s="1122">
        <v>0</v>
      </c>
      <c r="F130" s="1123"/>
      <c r="G130" s="1122"/>
      <c r="H130" s="1123">
        <f>SUM(G128:G130)</f>
        <v>1664</v>
      </c>
      <c r="I130" s="2382"/>
    </row>
    <row r="131" spans="1:9" s="47" customFormat="1" x14ac:dyDescent="0.2">
      <c r="A131" s="1124" t="s">
        <v>421</v>
      </c>
      <c r="B131" s="1125" t="s">
        <v>275</v>
      </c>
      <c r="C131" s="1126" t="s">
        <v>324</v>
      </c>
      <c r="D131" s="1127" t="s">
        <v>17</v>
      </c>
      <c r="E131" s="1128">
        <f>SUM(E132:E133)</f>
        <v>120</v>
      </c>
      <c r="F131" s="1129">
        <f>salaries!H97</f>
        <v>25</v>
      </c>
      <c r="G131" s="1128">
        <f>F131*E131</f>
        <v>3000</v>
      </c>
      <c r="H131" s="1130"/>
      <c r="I131" s="2382"/>
    </row>
    <row r="132" spans="1:9" s="47" customFormat="1" x14ac:dyDescent="0.2">
      <c r="A132" s="1131"/>
      <c r="B132" s="1132"/>
      <c r="C132" s="1133" t="s">
        <v>585</v>
      </c>
      <c r="D132" s="1429"/>
      <c r="E132" s="1134">
        <v>80</v>
      </c>
      <c r="F132" s="1136"/>
      <c r="G132" s="1430"/>
      <c r="H132" s="1135"/>
      <c r="I132" s="2382"/>
    </row>
    <row r="133" spans="1:9" s="47" customFormat="1" x14ac:dyDescent="0.2">
      <c r="A133" s="1137"/>
      <c r="B133" s="1138"/>
      <c r="C133" s="1139" t="s">
        <v>586</v>
      </c>
      <c r="D133" s="1138"/>
      <c r="E133" s="1140">
        <v>40</v>
      </c>
      <c r="F133" s="1141"/>
      <c r="G133" s="1140"/>
      <c r="H133" s="1141">
        <f>SUM(G131:G133)</f>
        <v>3000</v>
      </c>
      <c r="I133" s="2382"/>
    </row>
    <row r="134" spans="1:9" s="47" customFormat="1" x14ac:dyDescent="0.2">
      <c r="A134" s="548" t="s">
        <v>422</v>
      </c>
      <c r="B134" s="549" t="s">
        <v>279</v>
      </c>
      <c r="C134" s="555" t="s">
        <v>324</v>
      </c>
      <c r="D134" s="550" t="s">
        <v>17</v>
      </c>
      <c r="E134" s="551">
        <f>SUM(E135:E136)</f>
        <v>80</v>
      </c>
      <c r="F134" s="552">
        <f>salaries!H101</f>
        <v>17</v>
      </c>
      <c r="G134" s="551">
        <f>F134*E134</f>
        <v>1360</v>
      </c>
      <c r="H134" s="553"/>
      <c r="I134" s="2382"/>
    </row>
    <row r="135" spans="1:9" s="47" customFormat="1" x14ac:dyDescent="0.2">
      <c r="A135" s="548"/>
      <c r="B135" s="549"/>
      <c r="C135" s="556" t="s">
        <v>585</v>
      </c>
      <c r="D135" s="550"/>
      <c r="E135" s="554">
        <v>40</v>
      </c>
      <c r="F135" s="552"/>
      <c r="G135" s="551"/>
      <c r="H135" s="553"/>
      <c r="I135" s="2382"/>
    </row>
    <row r="136" spans="1:9" s="47" customFormat="1" x14ac:dyDescent="0.2">
      <c r="A136" s="548"/>
      <c r="B136" s="549"/>
      <c r="C136" s="556" t="s">
        <v>586</v>
      </c>
      <c r="D136" s="549"/>
      <c r="E136" s="554">
        <v>40</v>
      </c>
      <c r="F136" s="553"/>
      <c r="G136" s="554"/>
      <c r="H136" s="553">
        <f>SUM(G134:G136)</f>
        <v>1360</v>
      </c>
      <c r="I136" s="2382"/>
    </row>
    <row r="137" spans="1:9" s="47" customFormat="1" x14ac:dyDescent="0.2">
      <c r="A137" s="2132" t="s">
        <v>950</v>
      </c>
      <c r="B137" s="2133" t="s">
        <v>284</v>
      </c>
      <c r="C137" s="2134" t="s">
        <v>324</v>
      </c>
      <c r="D137" s="2135" t="s">
        <v>17</v>
      </c>
      <c r="E137" s="2136">
        <f>SUM(E138:E139)</f>
        <v>80</v>
      </c>
      <c r="F137" s="2137">
        <f>salaries!H106</f>
        <v>0</v>
      </c>
      <c r="G137" s="2136">
        <f>F137*E137</f>
        <v>0</v>
      </c>
      <c r="H137" s="2138"/>
      <c r="I137" s="2382"/>
    </row>
    <row r="138" spans="1:9" s="47" customFormat="1" x14ac:dyDescent="0.2">
      <c r="A138" s="2081"/>
      <c r="B138" s="2082"/>
      <c r="C138" s="2088" t="s">
        <v>585</v>
      </c>
      <c r="D138" s="2084"/>
      <c r="E138" s="2089">
        <v>40</v>
      </c>
      <c r="F138" s="2086"/>
      <c r="G138" s="2085"/>
      <c r="H138" s="2087"/>
      <c r="I138" s="2382"/>
    </row>
    <row r="139" spans="1:9" s="47" customFormat="1" x14ac:dyDescent="0.2">
      <c r="A139" s="2139"/>
      <c r="B139" s="2140"/>
      <c r="C139" s="2141" t="s">
        <v>586</v>
      </c>
      <c r="D139" s="2140"/>
      <c r="E139" s="2142">
        <v>40</v>
      </c>
      <c r="F139" s="2143"/>
      <c r="G139" s="2142"/>
      <c r="H139" s="2143">
        <f>SUM(G137:G139)</f>
        <v>0</v>
      </c>
      <c r="I139" s="2382"/>
    </row>
    <row r="140" spans="1:9" s="47" customFormat="1" x14ac:dyDescent="0.2">
      <c r="A140" s="2094" t="s">
        <v>951</v>
      </c>
      <c r="B140" s="2095" t="s">
        <v>287</v>
      </c>
      <c r="C140" s="2096" t="s">
        <v>324</v>
      </c>
      <c r="D140" s="2097" t="s">
        <v>17</v>
      </c>
      <c r="E140" s="2098">
        <f>SUM(E141:E142)</f>
        <v>32</v>
      </c>
      <c r="F140" s="2099">
        <f>salaries!H109</f>
        <v>57</v>
      </c>
      <c r="G140" s="2098">
        <f>F140*E140</f>
        <v>1824</v>
      </c>
      <c r="H140" s="2100"/>
      <c r="I140" s="2382"/>
    </row>
    <row r="141" spans="1:9" s="47" customFormat="1" x14ac:dyDescent="0.2">
      <c r="A141" s="2094"/>
      <c r="B141" s="2095"/>
      <c r="C141" s="2101" t="s">
        <v>585</v>
      </c>
      <c r="D141" s="2097"/>
      <c r="E141" s="2102">
        <v>32</v>
      </c>
      <c r="F141" s="2099"/>
      <c r="G141" s="2098"/>
      <c r="H141" s="2100"/>
      <c r="I141" s="2382"/>
    </row>
    <row r="142" spans="1:9" s="47" customFormat="1" x14ac:dyDescent="0.2">
      <c r="A142" s="2094"/>
      <c r="B142" s="2095"/>
      <c r="C142" s="2101" t="s">
        <v>586</v>
      </c>
      <c r="D142" s="2095"/>
      <c r="E142" s="2102">
        <v>0</v>
      </c>
      <c r="F142" s="2100"/>
      <c r="G142" s="2102"/>
      <c r="H142" s="2100">
        <f>SUM(G140:G142)</f>
        <v>1824</v>
      </c>
      <c r="I142" s="2382"/>
    </row>
    <row r="143" spans="1:9" s="47" customFormat="1" x14ac:dyDescent="0.2">
      <c r="A143" s="1833" t="s">
        <v>952</v>
      </c>
      <c r="B143" s="2212" t="s">
        <v>291</v>
      </c>
      <c r="C143" s="2213" t="s">
        <v>324</v>
      </c>
      <c r="D143" s="2214" t="s">
        <v>17</v>
      </c>
      <c r="E143" s="2215">
        <f>SUM(E144:E145)</f>
        <v>80</v>
      </c>
      <c r="F143" s="2216">
        <f>salaries!H113</f>
        <v>16</v>
      </c>
      <c r="G143" s="2215">
        <f>F143*E143</f>
        <v>1280</v>
      </c>
      <c r="H143" s="1837"/>
      <c r="I143" s="2382"/>
    </row>
    <row r="144" spans="1:9" s="47" customFormat="1" x14ac:dyDescent="0.2">
      <c r="A144" s="1026"/>
      <c r="B144" s="1027"/>
      <c r="C144" s="1033" t="s">
        <v>585</v>
      </c>
      <c r="D144" s="1029"/>
      <c r="E144" s="1034">
        <v>40</v>
      </c>
      <c r="F144" s="1031"/>
      <c r="G144" s="1030"/>
      <c r="H144" s="1032"/>
      <c r="I144" s="2382"/>
    </row>
    <row r="145" spans="1:11" s="47" customFormat="1" x14ac:dyDescent="0.2">
      <c r="A145" s="1037"/>
      <c r="B145" s="1038"/>
      <c r="C145" s="1039" t="s">
        <v>586</v>
      </c>
      <c r="D145" s="1038"/>
      <c r="E145" s="1040">
        <v>40</v>
      </c>
      <c r="F145" s="1041"/>
      <c r="G145" s="1040"/>
      <c r="H145" s="1041">
        <f>SUM(G143:G145)</f>
        <v>1280</v>
      </c>
      <c r="I145" s="2382"/>
    </row>
    <row r="146" spans="1:11" x14ac:dyDescent="0.2">
      <c r="A146" s="78" t="s">
        <v>8</v>
      </c>
      <c r="B146" s="12"/>
      <c r="C146" s="232"/>
      <c r="D146" s="12" t="s">
        <v>34</v>
      </c>
      <c r="E146" s="145"/>
      <c r="F146" s="27"/>
      <c r="G146" s="27" t="s">
        <v>35</v>
      </c>
      <c r="H146" s="28">
        <f>SUM(H6:H145)</f>
        <v>179472</v>
      </c>
      <c r="K146" s="97"/>
    </row>
    <row r="147" spans="1:11" x14ac:dyDescent="0.2">
      <c r="A147" s="76" t="s">
        <v>24</v>
      </c>
      <c r="B147" s="6"/>
      <c r="C147" s="231"/>
      <c r="D147" s="6"/>
      <c r="E147" s="144"/>
      <c r="F147" s="21"/>
      <c r="G147" s="21"/>
      <c r="H147" s="22">
        <f>SUM(G147:G147)</f>
        <v>0</v>
      </c>
    </row>
    <row r="148" spans="1:11" s="302" customFormat="1" x14ac:dyDescent="0.2">
      <c r="A148" s="640" t="s">
        <v>310</v>
      </c>
      <c r="B148" s="1599" t="s">
        <v>541</v>
      </c>
      <c r="C148" s="1600" t="s">
        <v>602</v>
      </c>
      <c r="D148" s="1601" t="s">
        <v>14</v>
      </c>
      <c r="E148" s="1602">
        <v>1</v>
      </c>
      <c r="F148" s="1603">
        <v>500</v>
      </c>
      <c r="G148" s="1602">
        <f>F148</f>
        <v>500</v>
      </c>
      <c r="H148" s="1603">
        <f>SUM(G148:G148)</f>
        <v>500</v>
      </c>
      <c r="I148" s="2475"/>
      <c r="J148" s="159"/>
      <c r="K148" s="159"/>
    </row>
    <row r="149" spans="1:11" x14ac:dyDescent="0.2">
      <c r="A149" s="78" t="s">
        <v>74</v>
      </c>
      <c r="B149" s="12"/>
      <c r="C149" s="232"/>
      <c r="D149" s="12"/>
      <c r="E149" s="145"/>
      <c r="F149" s="27"/>
      <c r="G149" s="27"/>
      <c r="H149" s="28">
        <f>SUM(H148:H148)</f>
        <v>500</v>
      </c>
    </row>
    <row r="150" spans="1:11" x14ac:dyDescent="0.2">
      <c r="A150" s="76" t="s">
        <v>25</v>
      </c>
      <c r="B150" s="6"/>
      <c r="C150" s="231"/>
      <c r="D150" s="6"/>
      <c r="E150" s="144"/>
      <c r="F150" s="21"/>
      <c r="G150" s="21"/>
      <c r="H150" s="22">
        <f>SUM(G150:G150)</f>
        <v>0</v>
      </c>
    </row>
    <row r="151" spans="1:11" x14ac:dyDescent="0.2">
      <c r="A151" s="83" t="s">
        <v>107</v>
      </c>
      <c r="B151" s="124" t="s">
        <v>606</v>
      </c>
      <c r="C151" s="222" t="s">
        <v>611</v>
      </c>
      <c r="D151" s="112" t="s">
        <v>16</v>
      </c>
      <c r="E151" s="115">
        <v>4</v>
      </c>
      <c r="F151" s="125">
        <v>300</v>
      </c>
      <c r="G151" s="107">
        <f t="shared" ref="G151:G156" si="0">F151*E151</f>
        <v>1200</v>
      </c>
      <c r="H151" s="115"/>
      <c r="I151" s="2383"/>
    </row>
    <row r="152" spans="1:11" x14ac:dyDescent="0.2">
      <c r="A152" s="83"/>
      <c r="B152" s="124"/>
      <c r="C152" s="222" t="s">
        <v>608</v>
      </c>
      <c r="D152" s="112" t="s">
        <v>36</v>
      </c>
      <c r="E152" s="115">
        <v>12</v>
      </c>
      <c r="F152" s="125">
        <v>120</v>
      </c>
      <c r="G152" s="107">
        <f t="shared" si="0"/>
        <v>1440</v>
      </c>
      <c r="H152" s="115"/>
      <c r="I152" s="2383"/>
    </row>
    <row r="153" spans="1:11" x14ac:dyDescent="0.2">
      <c r="A153" s="83"/>
      <c r="B153" s="124"/>
      <c r="C153" s="222" t="s">
        <v>607</v>
      </c>
      <c r="D153" s="112" t="s">
        <v>16</v>
      </c>
      <c r="E153" s="115">
        <v>3</v>
      </c>
      <c r="F153" s="125">
        <v>400</v>
      </c>
      <c r="G153" s="107">
        <f t="shared" si="0"/>
        <v>1200</v>
      </c>
      <c r="H153" s="115"/>
      <c r="I153" s="2383"/>
    </row>
    <row r="154" spans="1:11" x14ac:dyDescent="0.2">
      <c r="A154" s="92"/>
      <c r="B154" s="124"/>
      <c r="C154" s="222" t="s">
        <v>615</v>
      </c>
      <c r="D154" s="112" t="s">
        <v>36</v>
      </c>
      <c r="E154" s="115">
        <v>9</v>
      </c>
      <c r="F154" s="125">
        <v>120</v>
      </c>
      <c r="G154" s="107">
        <f t="shared" si="0"/>
        <v>1080</v>
      </c>
      <c r="H154" s="115">
        <f>SUM(G151:G154)</f>
        <v>4920</v>
      </c>
      <c r="I154" s="2382"/>
    </row>
    <row r="155" spans="1:11" s="38" customFormat="1" x14ac:dyDescent="0.2">
      <c r="A155" s="532" t="s">
        <v>203</v>
      </c>
      <c r="B155" s="1173" t="s">
        <v>606</v>
      </c>
      <c r="C155" s="1174" t="s">
        <v>610</v>
      </c>
      <c r="D155" s="1175" t="s">
        <v>16</v>
      </c>
      <c r="E155" s="567">
        <v>2</v>
      </c>
      <c r="F155" s="1176">
        <v>300</v>
      </c>
      <c r="G155" s="569">
        <f t="shared" si="0"/>
        <v>600</v>
      </c>
      <c r="H155" s="567"/>
      <c r="I155" s="2383"/>
    </row>
    <row r="156" spans="1:11" s="38" customFormat="1" x14ac:dyDescent="0.2">
      <c r="A156" s="532"/>
      <c r="B156" s="1177"/>
      <c r="C156" s="1174" t="s">
        <v>609</v>
      </c>
      <c r="D156" s="1175" t="s">
        <v>36</v>
      </c>
      <c r="E156" s="567">
        <v>6</v>
      </c>
      <c r="F156" s="1176">
        <v>120</v>
      </c>
      <c r="G156" s="569">
        <f t="shared" si="0"/>
        <v>720</v>
      </c>
      <c r="H156" s="567">
        <f>SUM(G155:G156)</f>
        <v>1320</v>
      </c>
      <c r="I156" s="2383"/>
    </row>
    <row r="157" spans="1:11" s="38" customFormat="1" x14ac:dyDescent="0.2">
      <c r="A157" s="557" t="s">
        <v>204</v>
      </c>
      <c r="B157" s="1178" t="s">
        <v>606</v>
      </c>
      <c r="C157" s="1179" t="s">
        <v>613</v>
      </c>
      <c r="D157" s="1180" t="s">
        <v>16</v>
      </c>
      <c r="E157" s="547">
        <v>2</v>
      </c>
      <c r="F157" s="1181">
        <v>300</v>
      </c>
      <c r="G157" s="564">
        <f>F157*E157</f>
        <v>600</v>
      </c>
      <c r="H157" s="547"/>
      <c r="I157" s="2383"/>
    </row>
    <row r="158" spans="1:11" s="38" customFormat="1" x14ac:dyDescent="0.2">
      <c r="A158" s="557"/>
      <c r="B158" s="1178"/>
      <c r="C158" s="1179" t="s">
        <v>609</v>
      </c>
      <c r="D158" s="1180" t="s">
        <v>36</v>
      </c>
      <c r="E158" s="547">
        <v>6</v>
      </c>
      <c r="F158" s="1181">
        <v>120</v>
      </c>
      <c r="G158" s="564">
        <f>F158*E158</f>
        <v>720</v>
      </c>
      <c r="H158" s="547"/>
      <c r="I158" s="2383"/>
    </row>
    <row r="159" spans="1:11" s="38" customFormat="1" x14ac:dyDescent="0.2">
      <c r="A159" s="557"/>
      <c r="B159" s="1178"/>
      <c r="C159" s="1179" t="s">
        <v>618</v>
      </c>
      <c r="D159" s="1180" t="s">
        <v>16</v>
      </c>
      <c r="E159" s="547">
        <v>2</v>
      </c>
      <c r="F159" s="1181">
        <v>400</v>
      </c>
      <c r="G159" s="564">
        <f>F159*E159</f>
        <v>800</v>
      </c>
      <c r="H159" s="547"/>
      <c r="I159" s="2383"/>
    </row>
    <row r="160" spans="1:11" s="38" customFormat="1" x14ac:dyDescent="0.2">
      <c r="A160" s="557"/>
      <c r="B160" s="1182"/>
      <c r="C160" s="1179" t="s">
        <v>615</v>
      </c>
      <c r="D160" s="1180" t="s">
        <v>36</v>
      </c>
      <c r="E160" s="547">
        <v>6</v>
      </c>
      <c r="F160" s="1181">
        <v>120</v>
      </c>
      <c r="G160" s="564">
        <f>F160*E160</f>
        <v>720</v>
      </c>
      <c r="H160" s="547">
        <f>SUM(G157:G160)</f>
        <v>2840</v>
      </c>
      <c r="I160" s="2383"/>
    </row>
    <row r="161" spans="1:9" x14ac:dyDescent="0.2">
      <c r="A161" s="588" t="s">
        <v>308</v>
      </c>
      <c r="B161" s="1183" t="s">
        <v>606</v>
      </c>
      <c r="C161" s="1184" t="s">
        <v>610</v>
      </c>
      <c r="D161" s="1185" t="s">
        <v>16</v>
      </c>
      <c r="E161" s="593">
        <v>2</v>
      </c>
      <c r="F161" s="1186">
        <v>300</v>
      </c>
      <c r="G161" s="594">
        <f t="shared" ref="G161:G206" si="1">F161*E161</f>
        <v>600</v>
      </c>
      <c r="H161" s="593"/>
      <c r="I161" s="2383"/>
    </row>
    <row r="162" spans="1:9" x14ac:dyDescent="0.2">
      <c r="A162" s="588"/>
      <c r="B162" s="1183"/>
      <c r="C162" s="1184" t="s">
        <v>560</v>
      </c>
      <c r="D162" s="1185" t="s">
        <v>36</v>
      </c>
      <c r="E162" s="593">
        <v>6</v>
      </c>
      <c r="F162" s="1186">
        <v>120</v>
      </c>
      <c r="G162" s="594">
        <f t="shared" si="1"/>
        <v>720</v>
      </c>
      <c r="H162" s="593">
        <f>SUM(G161:G162)</f>
        <v>1320</v>
      </c>
      <c r="I162" s="2382"/>
    </row>
    <row r="163" spans="1:9" x14ac:dyDescent="0.2">
      <c r="A163" s="617" t="s">
        <v>309</v>
      </c>
      <c r="B163" s="1187" t="s">
        <v>606</v>
      </c>
      <c r="C163" s="1188" t="s">
        <v>612</v>
      </c>
      <c r="D163" s="1189" t="s">
        <v>620</v>
      </c>
      <c r="E163" s="622">
        <v>3</v>
      </c>
      <c r="F163" s="1190">
        <v>50</v>
      </c>
      <c r="G163" s="621">
        <f t="shared" si="1"/>
        <v>150</v>
      </c>
      <c r="H163" s="622"/>
      <c r="I163" s="2383"/>
    </row>
    <row r="164" spans="1:9" x14ac:dyDescent="0.2">
      <c r="A164" s="617"/>
      <c r="B164" s="1187"/>
      <c r="C164" s="1188" t="s">
        <v>619</v>
      </c>
      <c r="D164" s="1189" t="s">
        <v>36</v>
      </c>
      <c r="E164" s="622">
        <v>6</v>
      </c>
      <c r="F164" s="1190">
        <v>120</v>
      </c>
      <c r="G164" s="621">
        <f t="shared" si="1"/>
        <v>720</v>
      </c>
      <c r="H164" s="622">
        <f>SUM(G163:G164)</f>
        <v>870</v>
      </c>
      <c r="I164" s="2476"/>
    </row>
    <row r="165" spans="1:9" x14ac:dyDescent="0.2">
      <c r="A165" s="640" t="s">
        <v>310</v>
      </c>
      <c r="B165" s="1191" t="s">
        <v>606</v>
      </c>
      <c r="C165" s="1192" t="s">
        <v>614</v>
      </c>
      <c r="D165" s="1193" t="s">
        <v>16</v>
      </c>
      <c r="E165" s="645">
        <v>2</v>
      </c>
      <c r="F165" s="1194">
        <v>300</v>
      </c>
      <c r="G165" s="644">
        <f t="shared" si="1"/>
        <v>600</v>
      </c>
      <c r="H165" s="645"/>
      <c r="I165" s="2383"/>
    </row>
    <row r="166" spans="1:9" x14ac:dyDescent="0.2">
      <c r="A166" s="640"/>
      <c r="B166" s="1191"/>
      <c r="C166" s="1192" t="s">
        <v>609</v>
      </c>
      <c r="D166" s="1193" t="s">
        <v>36</v>
      </c>
      <c r="E166" s="645">
        <v>6</v>
      </c>
      <c r="F166" s="1194">
        <v>120</v>
      </c>
      <c r="G166" s="644">
        <f t="shared" si="1"/>
        <v>720</v>
      </c>
      <c r="H166" s="645"/>
      <c r="I166" s="2383"/>
    </row>
    <row r="167" spans="1:9" x14ac:dyDescent="0.2">
      <c r="A167" s="640"/>
      <c r="B167" s="1191"/>
      <c r="C167" s="1192" t="s">
        <v>617</v>
      </c>
      <c r="D167" s="1193" t="s">
        <v>16</v>
      </c>
      <c r="E167" s="645">
        <v>2</v>
      </c>
      <c r="F167" s="1194">
        <v>400</v>
      </c>
      <c r="G167" s="644">
        <f t="shared" si="1"/>
        <v>800</v>
      </c>
      <c r="H167" s="645"/>
      <c r="I167" s="2383"/>
    </row>
    <row r="168" spans="1:9" x14ac:dyDescent="0.2">
      <c r="A168" s="640"/>
      <c r="B168" s="1191"/>
      <c r="C168" s="1192" t="s">
        <v>615</v>
      </c>
      <c r="D168" s="1193" t="s">
        <v>36</v>
      </c>
      <c r="E168" s="645">
        <v>6</v>
      </c>
      <c r="F168" s="1194">
        <v>120</v>
      </c>
      <c r="G168" s="644">
        <f t="shared" si="1"/>
        <v>720</v>
      </c>
      <c r="H168" s="645">
        <f>SUM(G165:G168)</f>
        <v>2840</v>
      </c>
      <c r="I168" s="2476"/>
    </row>
    <row r="169" spans="1:9" x14ac:dyDescent="0.2">
      <c r="A169" s="656" t="s">
        <v>311</v>
      </c>
      <c r="B169" s="665" t="s">
        <v>606</v>
      </c>
      <c r="C169" s="1195" t="s">
        <v>68</v>
      </c>
      <c r="D169" s="1196" t="s">
        <v>16</v>
      </c>
      <c r="E169" s="661">
        <v>1</v>
      </c>
      <c r="F169" s="1197">
        <v>400</v>
      </c>
      <c r="G169" s="663">
        <f t="shared" si="1"/>
        <v>400</v>
      </c>
      <c r="H169" s="661"/>
      <c r="I169" s="2383"/>
    </row>
    <row r="170" spans="1:9" x14ac:dyDescent="0.2">
      <c r="A170" s="656"/>
      <c r="B170" s="665"/>
      <c r="C170" s="1195" t="s">
        <v>558</v>
      </c>
      <c r="D170" s="1196" t="s">
        <v>36</v>
      </c>
      <c r="E170" s="661">
        <v>3</v>
      </c>
      <c r="F170" s="1197">
        <v>150</v>
      </c>
      <c r="G170" s="663">
        <f t="shared" si="1"/>
        <v>450</v>
      </c>
      <c r="H170" s="661">
        <f>SUM(G169:G170)</f>
        <v>850</v>
      </c>
      <c r="I170" s="2382"/>
    </row>
    <row r="171" spans="1:9" x14ac:dyDescent="0.2">
      <c r="A171" s="836" t="s">
        <v>407</v>
      </c>
      <c r="B171" s="1198" t="s">
        <v>606</v>
      </c>
      <c r="C171" s="1199" t="s">
        <v>72</v>
      </c>
      <c r="D171" s="1200" t="s">
        <v>16</v>
      </c>
      <c r="E171" s="843">
        <v>1</v>
      </c>
      <c r="F171" s="1201">
        <v>300</v>
      </c>
      <c r="G171" s="846">
        <f t="shared" si="1"/>
        <v>300</v>
      </c>
      <c r="H171" s="843"/>
      <c r="I171" s="2383"/>
    </row>
    <row r="172" spans="1:9" x14ac:dyDescent="0.2">
      <c r="A172" s="836"/>
      <c r="B172" s="1198"/>
      <c r="C172" s="1199" t="s">
        <v>558</v>
      </c>
      <c r="D172" s="1200" t="s">
        <v>36</v>
      </c>
      <c r="E172" s="843">
        <v>3</v>
      </c>
      <c r="F172" s="1201">
        <v>150</v>
      </c>
      <c r="G172" s="846">
        <f t="shared" si="1"/>
        <v>450</v>
      </c>
      <c r="H172" s="843">
        <f>SUM(G171:G172)</f>
        <v>750</v>
      </c>
      <c r="I172" s="2382"/>
    </row>
    <row r="173" spans="1:9" x14ac:dyDescent="0.2">
      <c r="A173" s="548" t="s">
        <v>408</v>
      </c>
      <c r="B173" s="1202" t="s">
        <v>606</v>
      </c>
      <c r="C173" s="1203" t="s">
        <v>69</v>
      </c>
      <c r="D173" s="1204" t="s">
        <v>16</v>
      </c>
      <c r="E173" s="553">
        <v>1</v>
      </c>
      <c r="F173" s="1205">
        <v>400</v>
      </c>
      <c r="G173" s="554">
        <f t="shared" si="1"/>
        <v>400</v>
      </c>
      <c r="H173" s="553"/>
      <c r="I173" s="2383"/>
    </row>
    <row r="174" spans="1:9" x14ac:dyDescent="0.2">
      <c r="A174" s="548"/>
      <c r="B174" s="1202"/>
      <c r="C174" s="1203" t="s">
        <v>558</v>
      </c>
      <c r="D174" s="1204" t="s">
        <v>36</v>
      </c>
      <c r="E174" s="553">
        <v>3</v>
      </c>
      <c r="F174" s="1205">
        <v>120</v>
      </c>
      <c r="G174" s="554">
        <f t="shared" si="1"/>
        <v>360</v>
      </c>
      <c r="H174" s="553"/>
      <c r="I174" s="2383"/>
    </row>
    <row r="175" spans="1:9" x14ac:dyDescent="0.2">
      <c r="A175" s="548"/>
      <c r="B175" s="1202"/>
      <c r="C175" s="1203" t="s">
        <v>616</v>
      </c>
      <c r="D175" s="1204" t="s">
        <v>16</v>
      </c>
      <c r="E175" s="553">
        <v>2</v>
      </c>
      <c r="F175" s="1205">
        <v>400</v>
      </c>
      <c r="G175" s="554">
        <f t="shared" si="1"/>
        <v>800</v>
      </c>
      <c r="H175" s="553"/>
      <c r="I175" s="2383"/>
    </row>
    <row r="176" spans="1:9" x14ac:dyDescent="0.2">
      <c r="A176" s="548"/>
      <c r="B176" s="1202"/>
      <c r="C176" s="1203" t="s">
        <v>615</v>
      </c>
      <c r="D176" s="1204" t="s">
        <v>36</v>
      </c>
      <c r="E176" s="553">
        <v>6</v>
      </c>
      <c r="F176" s="1205">
        <v>150</v>
      </c>
      <c r="G176" s="554">
        <f t="shared" si="1"/>
        <v>900</v>
      </c>
      <c r="H176" s="553">
        <f>SUM(G173:G176)</f>
        <v>2460</v>
      </c>
      <c r="I176" s="2382"/>
    </row>
    <row r="177" spans="1:9" x14ac:dyDescent="0.2">
      <c r="A177" s="876" t="s">
        <v>409</v>
      </c>
      <c r="B177" s="1206" t="s">
        <v>606</v>
      </c>
      <c r="C177" s="1207" t="s">
        <v>70</v>
      </c>
      <c r="D177" s="1208" t="s">
        <v>16</v>
      </c>
      <c r="E177" s="882">
        <v>0</v>
      </c>
      <c r="F177" s="1209">
        <v>100</v>
      </c>
      <c r="G177" s="885">
        <f t="shared" si="1"/>
        <v>0</v>
      </c>
      <c r="H177" s="882"/>
      <c r="I177" s="2383"/>
    </row>
    <row r="178" spans="1:9" x14ac:dyDescent="0.2">
      <c r="A178" s="1210"/>
      <c r="B178" s="1206"/>
      <c r="C178" s="1207" t="s">
        <v>621</v>
      </c>
      <c r="D178" s="1208" t="s">
        <v>36</v>
      </c>
      <c r="E178" s="882">
        <v>3</v>
      </c>
      <c r="F178" s="1209">
        <v>80</v>
      </c>
      <c r="G178" s="885">
        <f t="shared" si="1"/>
        <v>240</v>
      </c>
      <c r="H178" s="882">
        <f>SUM(G177:G178)</f>
        <v>240</v>
      </c>
      <c r="I178" s="2382"/>
    </row>
    <row r="179" spans="1:9" x14ac:dyDescent="0.2">
      <c r="A179" s="907" t="s">
        <v>410</v>
      </c>
      <c r="B179" s="1211" t="s">
        <v>606</v>
      </c>
      <c r="C179" s="1212" t="s">
        <v>95</v>
      </c>
      <c r="D179" s="1213" t="s">
        <v>16</v>
      </c>
      <c r="E179" s="911">
        <v>1</v>
      </c>
      <c r="F179" s="1214">
        <v>100</v>
      </c>
      <c r="G179" s="910">
        <f t="shared" si="1"/>
        <v>100</v>
      </c>
      <c r="H179" s="911"/>
      <c r="I179" s="2383"/>
    </row>
    <row r="180" spans="1:9" x14ac:dyDescent="0.2">
      <c r="A180" s="907"/>
      <c r="B180" s="1211"/>
      <c r="C180" s="1212" t="s">
        <v>558</v>
      </c>
      <c r="D180" s="1213" t="s">
        <v>36</v>
      </c>
      <c r="E180" s="911">
        <v>3</v>
      </c>
      <c r="F180" s="1214">
        <v>120</v>
      </c>
      <c r="G180" s="910">
        <f t="shared" si="1"/>
        <v>360</v>
      </c>
      <c r="H180" s="911">
        <f>SUM(G179:G180)</f>
        <v>460</v>
      </c>
      <c r="I180" s="2382"/>
    </row>
    <row r="181" spans="1:9" x14ac:dyDescent="0.2">
      <c r="A181" s="923" t="s">
        <v>411</v>
      </c>
      <c r="B181" s="1215" t="s">
        <v>606</v>
      </c>
      <c r="C181" s="1216" t="s">
        <v>570</v>
      </c>
      <c r="D181" s="1217" t="s">
        <v>16</v>
      </c>
      <c r="E181" s="929">
        <v>1</v>
      </c>
      <c r="F181" s="1218">
        <v>300</v>
      </c>
      <c r="G181" s="931">
        <f t="shared" si="1"/>
        <v>300</v>
      </c>
      <c r="H181" s="929"/>
      <c r="I181" s="2383"/>
    </row>
    <row r="182" spans="1:9" x14ac:dyDescent="0.2">
      <c r="A182" s="923"/>
      <c r="B182" s="1215"/>
      <c r="C182" s="1216" t="s">
        <v>558</v>
      </c>
      <c r="D182" s="1217" t="s">
        <v>36</v>
      </c>
      <c r="E182" s="929">
        <v>3</v>
      </c>
      <c r="F182" s="1218">
        <v>120</v>
      </c>
      <c r="G182" s="931">
        <f t="shared" si="1"/>
        <v>360</v>
      </c>
      <c r="H182" s="929">
        <f>SUM(G181:G182)</f>
        <v>660</v>
      </c>
      <c r="I182" s="2476"/>
    </row>
    <row r="183" spans="1:9" x14ac:dyDescent="0.2">
      <c r="A183" s="936" t="s">
        <v>412</v>
      </c>
      <c r="B183" s="1219" t="s">
        <v>606</v>
      </c>
      <c r="C183" s="1220" t="s">
        <v>474</v>
      </c>
      <c r="D183" s="1221" t="s">
        <v>16</v>
      </c>
      <c r="E183" s="943">
        <v>1</v>
      </c>
      <c r="F183" s="1222">
        <v>300</v>
      </c>
      <c r="G183" s="946">
        <f t="shared" si="1"/>
        <v>300</v>
      </c>
      <c r="H183" s="943"/>
      <c r="I183" s="2383"/>
    </row>
    <row r="184" spans="1:9" x14ac:dyDescent="0.2">
      <c r="A184" s="936"/>
      <c r="B184" s="1219"/>
      <c r="C184" s="1220" t="s">
        <v>558</v>
      </c>
      <c r="D184" s="1221" t="s">
        <v>36</v>
      </c>
      <c r="E184" s="943">
        <v>3</v>
      </c>
      <c r="F184" s="1222">
        <v>120</v>
      </c>
      <c r="G184" s="946">
        <f t="shared" si="1"/>
        <v>360</v>
      </c>
      <c r="H184" s="943">
        <f>SUM(G183:G184)</f>
        <v>660</v>
      </c>
      <c r="I184" s="2382"/>
    </row>
    <row r="185" spans="1:9" x14ac:dyDescent="0.2">
      <c r="A185" s="969" t="s">
        <v>413</v>
      </c>
      <c r="B185" s="1223" t="s">
        <v>606</v>
      </c>
      <c r="C185" s="1224" t="s">
        <v>68</v>
      </c>
      <c r="D185" s="1225" t="s">
        <v>16</v>
      </c>
      <c r="E185" s="975">
        <v>1</v>
      </c>
      <c r="F185" s="1226">
        <v>400</v>
      </c>
      <c r="G185" s="976">
        <f t="shared" si="1"/>
        <v>400</v>
      </c>
      <c r="H185" s="975"/>
      <c r="I185" s="2383"/>
    </row>
    <row r="186" spans="1:9" x14ac:dyDescent="0.2">
      <c r="A186" s="969"/>
      <c r="B186" s="1223"/>
      <c r="C186" s="1224" t="s">
        <v>558</v>
      </c>
      <c r="D186" s="1225" t="s">
        <v>36</v>
      </c>
      <c r="E186" s="975">
        <v>3</v>
      </c>
      <c r="F186" s="1226">
        <v>120</v>
      </c>
      <c r="G186" s="976">
        <f t="shared" si="1"/>
        <v>360</v>
      </c>
      <c r="H186" s="975">
        <f>SUM(G185:G186)</f>
        <v>760</v>
      </c>
      <c r="I186" s="2382"/>
    </row>
    <row r="187" spans="1:9" x14ac:dyDescent="0.2">
      <c r="A187" s="990" t="s">
        <v>414</v>
      </c>
      <c r="B187" s="1227" t="s">
        <v>606</v>
      </c>
      <c r="C187" s="1228" t="s">
        <v>68</v>
      </c>
      <c r="D187" s="1229" t="s">
        <v>16</v>
      </c>
      <c r="E187" s="995">
        <v>1</v>
      </c>
      <c r="F187" s="1230">
        <v>400</v>
      </c>
      <c r="G187" s="998">
        <f t="shared" si="1"/>
        <v>400</v>
      </c>
      <c r="H187" s="995"/>
      <c r="I187" s="2383"/>
    </row>
    <row r="188" spans="1:9" x14ac:dyDescent="0.2">
      <c r="A188" s="990"/>
      <c r="B188" s="1227"/>
      <c r="C188" s="1228" t="s">
        <v>558</v>
      </c>
      <c r="D188" s="1229" t="s">
        <v>36</v>
      </c>
      <c r="E188" s="995">
        <v>3</v>
      </c>
      <c r="F188" s="1230">
        <v>120</v>
      </c>
      <c r="G188" s="998">
        <f t="shared" si="1"/>
        <v>360</v>
      </c>
      <c r="H188" s="995">
        <f>SUM(G187:G188)</f>
        <v>760</v>
      </c>
      <c r="I188" s="2382"/>
    </row>
    <row r="189" spans="1:9" x14ac:dyDescent="0.2">
      <c r="A189" s="1011" t="s">
        <v>415</v>
      </c>
      <c r="B189" s="1231" t="s">
        <v>606</v>
      </c>
      <c r="C189" s="1232" t="s">
        <v>70</v>
      </c>
      <c r="D189" s="1233" t="s">
        <v>16</v>
      </c>
      <c r="E189" s="1014">
        <v>0</v>
      </c>
      <c r="F189" s="1234">
        <v>0</v>
      </c>
      <c r="G189" s="1016">
        <f t="shared" si="1"/>
        <v>0</v>
      </c>
      <c r="H189" s="1014"/>
      <c r="I189" s="2383"/>
    </row>
    <row r="190" spans="1:9" x14ac:dyDescent="0.2">
      <c r="A190" s="1011"/>
      <c r="B190" s="1231"/>
      <c r="C190" s="1232" t="s">
        <v>558</v>
      </c>
      <c r="D190" s="1233" t="s">
        <v>36</v>
      </c>
      <c r="E190" s="1014">
        <v>0</v>
      </c>
      <c r="F190" s="1234">
        <v>0</v>
      </c>
      <c r="G190" s="1016">
        <f t="shared" si="1"/>
        <v>0</v>
      </c>
      <c r="H190" s="1014">
        <f>SUM(G189:G190)</f>
        <v>0</v>
      </c>
      <c r="I190" s="2382"/>
    </row>
    <row r="191" spans="1:9" x14ac:dyDescent="0.2">
      <c r="A191" s="1017" t="s">
        <v>416</v>
      </c>
      <c r="B191" s="1235" t="s">
        <v>606</v>
      </c>
      <c r="C191" s="1236" t="s">
        <v>95</v>
      </c>
      <c r="D191" s="1237" t="s">
        <v>16</v>
      </c>
      <c r="E191" s="1023">
        <v>1</v>
      </c>
      <c r="F191" s="1238">
        <v>100</v>
      </c>
      <c r="G191" s="1025">
        <f t="shared" si="1"/>
        <v>100</v>
      </c>
      <c r="H191" s="1023"/>
      <c r="I191" s="2383"/>
    </row>
    <row r="192" spans="1:9" x14ac:dyDescent="0.2">
      <c r="A192" s="1017"/>
      <c r="B192" s="1235"/>
      <c r="C192" s="1236" t="s">
        <v>558</v>
      </c>
      <c r="D192" s="1237" t="s">
        <v>36</v>
      </c>
      <c r="E192" s="1023">
        <v>3</v>
      </c>
      <c r="F192" s="1238">
        <v>120</v>
      </c>
      <c r="G192" s="1025">
        <f t="shared" si="1"/>
        <v>360</v>
      </c>
      <c r="H192" s="1023">
        <f>SUM(G191:G192)</f>
        <v>460</v>
      </c>
      <c r="I192" s="2382"/>
    </row>
    <row r="193" spans="1:9" x14ac:dyDescent="0.2">
      <c r="A193" s="1026" t="s">
        <v>417</v>
      </c>
      <c r="B193" s="1239" t="s">
        <v>606</v>
      </c>
      <c r="C193" s="1240" t="s">
        <v>95</v>
      </c>
      <c r="D193" s="1035" t="s">
        <v>16</v>
      </c>
      <c r="E193" s="1032">
        <v>1</v>
      </c>
      <c r="F193" s="1036">
        <v>100</v>
      </c>
      <c r="G193" s="1034">
        <f t="shared" si="1"/>
        <v>100</v>
      </c>
      <c r="H193" s="1032"/>
      <c r="I193" s="2383"/>
    </row>
    <row r="194" spans="1:9" x14ac:dyDescent="0.2">
      <c r="A194" s="1026"/>
      <c r="B194" s="1239"/>
      <c r="C194" s="1240" t="s">
        <v>558</v>
      </c>
      <c r="D194" s="1035" t="s">
        <v>36</v>
      </c>
      <c r="E194" s="1032">
        <v>3</v>
      </c>
      <c r="F194" s="1036">
        <v>120</v>
      </c>
      <c r="G194" s="1034">
        <f t="shared" si="1"/>
        <v>360</v>
      </c>
      <c r="H194" s="1032">
        <f>SUM(G193:G194)</f>
        <v>460</v>
      </c>
      <c r="I194" s="2382"/>
    </row>
    <row r="195" spans="1:9" x14ac:dyDescent="0.2">
      <c r="A195" s="1042" t="s">
        <v>418</v>
      </c>
      <c r="B195" s="1241" t="s">
        <v>606</v>
      </c>
      <c r="C195" s="1242" t="s">
        <v>569</v>
      </c>
      <c r="D195" s="1243" t="s">
        <v>16</v>
      </c>
      <c r="E195" s="1048">
        <v>1</v>
      </c>
      <c r="F195" s="1244">
        <v>300</v>
      </c>
      <c r="G195" s="1050">
        <f t="shared" si="1"/>
        <v>300</v>
      </c>
      <c r="H195" s="1048"/>
      <c r="I195" s="2383"/>
    </row>
    <row r="196" spans="1:9" x14ac:dyDescent="0.2">
      <c r="A196" s="1042"/>
      <c r="B196" s="1241"/>
      <c r="C196" s="1242" t="s">
        <v>559</v>
      </c>
      <c r="D196" s="1243" t="s">
        <v>36</v>
      </c>
      <c r="E196" s="1048">
        <v>3</v>
      </c>
      <c r="F196" s="1244">
        <v>120</v>
      </c>
      <c r="G196" s="1050">
        <f t="shared" si="1"/>
        <v>360</v>
      </c>
      <c r="H196" s="1048">
        <f>SUM(G195:G196)</f>
        <v>660</v>
      </c>
      <c r="I196" s="2382"/>
    </row>
    <row r="197" spans="1:9" x14ac:dyDescent="0.2">
      <c r="A197" s="1080" t="s">
        <v>419</v>
      </c>
      <c r="B197" s="1245" t="s">
        <v>606</v>
      </c>
      <c r="C197" s="1246" t="s">
        <v>69</v>
      </c>
      <c r="D197" s="1247" t="s">
        <v>16</v>
      </c>
      <c r="E197" s="1084">
        <v>1</v>
      </c>
      <c r="F197" s="1248">
        <v>400</v>
      </c>
      <c r="G197" s="1083">
        <f t="shared" si="1"/>
        <v>400</v>
      </c>
      <c r="H197" s="1084"/>
      <c r="I197" s="2383"/>
    </row>
    <row r="198" spans="1:9" x14ac:dyDescent="0.2">
      <c r="A198" s="1080"/>
      <c r="B198" s="1245"/>
      <c r="C198" s="1246" t="s">
        <v>558</v>
      </c>
      <c r="D198" s="1247" t="s">
        <v>36</v>
      </c>
      <c r="E198" s="1084">
        <v>3</v>
      </c>
      <c r="F198" s="1248">
        <v>120</v>
      </c>
      <c r="G198" s="1083">
        <f t="shared" si="1"/>
        <v>360</v>
      </c>
      <c r="H198" s="1084">
        <f>SUM(G197:G198)</f>
        <v>760</v>
      </c>
      <c r="I198" s="2382"/>
    </row>
    <row r="199" spans="1:9" x14ac:dyDescent="0.2">
      <c r="A199" s="1097" t="s">
        <v>420</v>
      </c>
      <c r="B199" s="1249" t="s">
        <v>606</v>
      </c>
      <c r="C199" s="1250" t="s">
        <v>71</v>
      </c>
      <c r="D199" s="1251" t="s">
        <v>16</v>
      </c>
      <c r="E199" s="1101">
        <v>1</v>
      </c>
      <c r="F199" s="1252">
        <v>300</v>
      </c>
      <c r="G199" s="1100">
        <f t="shared" si="1"/>
        <v>300</v>
      </c>
      <c r="H199" s="1101"/>
      <c r="I199" s="2383"/>
    </row>
    <row r="200" spans="1:9" x14ac:dyDescent="0.2">
      <c r="A200" s="1097"/>
      <c r="B200" s="1249"/>
      <c r="C200" s="1250" t="s">
        <v>558</v>
      </c>
      <c r="D200" s="1251" t="s">
        <v>36</v>
      </c>
      <c r="E200" s="1101">
        <v>3</v>
      </c>
      <c r="F200" s="1252">
        <v>120</v>
      </c>
      <c r="G200" s="1100">
        <f t="shared" si="1"/>
        <v>360</v>
      </c>
      <c r="H200" s="1101">
        <f>SUM(G199:G200)</f>
        <v>660</v>
      </c>
      <c r="I200" s="2382"/>
    </row>
    <row r="201" spans="1:9" x14ac:dyDescent="0.2">
      <c r="A201" s="1114" t="s">
        <v>949</v>
      </c>
      <c r="B201" s="1253" t="s">
        <v>606</v>
      </c>
      <c r="C201" s="1254" t="s">
        <v>969</v>
      </c>
      <c r="D201" s="1255" t="s">
        <v>16</v>
      </c>
      <c r="E201" s="1118">
        <v>1</v>
      </c>
      <c r="F201" s="1256">
        <v>300</v>
      </c>
      <c r="G201" s="1117">
        <f t="shared" si="1"/>
        <v>300</v>
      </c>
      <c r="H201" s="1118"/>
      <c r="I201" s="2383"/>
    </row>
    <row r="202" spans="1:9" x14ac:dyDescent="0.2">
      <c r="A202" s="1114"/>
      <c r="B202" s="1253"/>
      <c r="C202" s="1254" t="s">
        <v>558</v>
      </c>
      <c r="D202" s="1255" t="s">
        <v>36</v>
      </c>
      <c r="E202" s="1118">
        <v>3</v>
      </c>
      <c r="F202" s="1256">
        <v>120</v>
      </c>
      <c r="G202" s="1117">
        <f t="shared" si="1"/>
        <v>360</v>
      </c>
      <c r="H202" s="1118">
        <f>SUM(G201:G202)</f>
        <v>660</v>
      </c>
      <c r="I202" s="2382"/>
    </row>
    <row r="203" spans="1:9" x14ac:dyDescent="0.2">
      <c r="A203" s="1131" t="s">
        <v>421</v>
      </c>
      <c r="B203" s="1257" t="s">
        <v>606</v>
      </c>
      <c r="C203" s="1258" t="s">
        <v>474</v>
      </c>
      <c r="D203" s="1259" t="s">
        <v>16</v>
      </c>
      <c r="E203" s="1135">
        <v>1</v>
      </c>
      <c r="F203" s="1260">
        <v>300</v>
      </c>
      <c r="G203" s="1134">
        <f t="shared" si="1"/>
        <v>300</v>
      </c>
      <c r="H203" s="1135"/>
      <c r="I203" s="2383"/>
    </row>
    <row r="204" spans="1:9" x14ac:dyDescent="0.2">
      <c r="A204" s="1131"/>
      <c r="B204" s="1257"/>
      <c r="C204" s="1258" t="s">
        <v>558</v>
      </c>
      <c r="D204" s="1259" t="s">
        <v>36</v>
      </c>
      <c r="E204" s="1135">
        <v>3</v>
      </c>
      <c r="F204" s="1260">
        <v>120</v>
      </c>
      <c r="G204" s="1134">
        <f t="shared" si="1"/>
        <v>360</v>
      </c>
      <c r="H204" s="1135">
        <f>SUM(G203:G204)</f>
        <v>660</v>
      </c>
      <c r="I204" s="2382"/>
    </row>
    <row r="205" spans="1:9" x14ac:dyDescent="0.2">
      <c r="A205" s="548" t="s">
        <v>422</v>
      </c>
      <c r="B205" s="1202" t="s">
        <v>606</v>
      </c>
      <c r="C205" s="1203" t="s">
        <v>474</v>
      </c>
      <c r="D205" s="1204" t="s">
        <v>16</v>
      </c>
      <c r="E205" s="553">
        <v>1</v>
      </c>
      <c r="F205" s="1205">
        <v>300</v>
      </c>
      <c r="G205" s="554">
        <f t="shared" si="1"/>
        <v>300</v>
      </c>
      <c r="H205" s="553"/>
      <c r="I205" s="2383"/>
    </row>
    <row r="206" spans="1:9" x14ac:dyDescent="0.2">
      <c r="A206" s="548"/>
      <c r="B206" s="1202"/>
      <c r="C206" s="1203" t="s">
        <v>558</v>
      </c>
      <c r="D206" s="1204" t="s">
        <v>36</v>
      </c>
      <c r="E206" s="553">
        <v>3</v>
      </c>
      <c r="F206" s="1205">
        <v>120</v>
      </c>
      <c r="G206" s="554">
        <f t="shared" si="1"/>
        <v>360</v>
      </c>
      <c r="H206" s="553">
        <f>SUM(G205:G206)</f>
        <v>660</v>
      </c>
      <c r="I206" s="2382"/>
    </row>
    <row r="207" spans="1:9" x14ac:dyDescent="0.2">
      <c r="A207" s="2081" t="s">
        <v>950</v>
      </c>
      <c r="B207" s="2119" t="s">
        <v>606</v>
      </c>
      <c r="C207" s="2120" t="s">
        <v>474</v>
      </c>
      <c r="D207" s="2121" t="s">
        <v>16</v>
      </c>
      <c r="E207" s="2087">
        <v>0</v>
      </c>
      <c r="F207" s="2122">
        <v>300</v>
      </c>
      <c r="G207" s="2089">
        <f t="shared" ref="G207:G208" si="2">F207*E207</f>
        <v>0</v>
      </c>
      <c r="H207" s="2087"/>
      <c r="I207" s="2383"/>
    </row>
    <row r="208" spans="1:9" x14ac:dyDescent="0.2">
      <c r="A208" s="2081"/>
      <c r="B208" s="2119"/>
      <c r="C208" s="2120" t="s">
        <v>558</v>
      </c>
      <c r="D208" s="2121" t="s">
        <v>36</v>
      </c>
      <c r="E208" s="2087">
        <v>0</v>
      </c>
      <c r="F208" s="2122">
        <v>120</v>
      </c>
      <c r="G208" s="2089">
        <f t="shared" si="2"/>
        <v>0</v>
      </c>
      <c r="H208" s="2087">
        <f>SUM(G207:G208)</f>
        <v>0</v>
      </c>
      <c r="I208" s="2382"/>
    </row>
    <row r="209" spans="1:11" x14ac:dyDescent="0.2">
      <c r="A209" s="2094" t="s">
        <v>951</v>
      </c>
      <c r="B209" s="2127" t="s">
        <v>606</v>
      </c>
      <c r="C209" s="2128" t="s">
        <v>474</v>
      </c>
      <c r="D209" s="2129" t="s">
        <v>16</v>
      </c>
      <c r="E209" s="2100">
        <v>1</v>
      </c>
      <c r="F209" s="2130">
        <v>300</v>
      </c>
      <c r="G209" s="2102">
        <f t="shared" ref="G209:G210" si="3">F209*E209</f>
        <v>300</v>
      </c>
      <c r="H209" s="2100"/>
      <c r="I209" s="2383"/>
    </row>
    <row r="210" spans="1:11" x14ac:dyDescent="0.2">
      <c r="A210" s="2094"/>
      <c r="B210" s="2127"/>
      <c r="C210" s="2128" t="s">
        <v>558</v>
      </c>
      <c r="D210" s="2129" t="s">
        <v>36</v>
      </c>
      <c r="E210" s="2100">
        <v>3</v>
      </c>
      <c r="F210" s="2130">
        <v>120</v>
      </c>
      <c r="G210" s="2102">
        <f t="shared" si="3"/>
        <v>360</v>
      </c>
      <c r="H210" s="2100">
        <f>SUM(G209:G210)</f>
        <v>660</v>
      </c>
      <c r="I210" s="2382"/>
    </row>
    <row r="211" spans="1:11" x14ac:dyDescent="0.2">
      <c r="A211" s="1026" t="s">
        <v>952</v>
      </c>
      <c r="B211" s="1239" t="s">
        <v>606</v>
      </c>
      <c r="C211" s="1240" t="s">
        <v>474</v>
      </c>
      <c r="D211" s="1035" t="s">
        <v>16</v>
      </c>
      <c r="E211" s="1032">
        <v>1</v>
      </c>
      <c r="F211" s="1036">
        <v>400</v>
      </c>
      <c r="G211" s="1034">
        <f t="shared" ref="G211:G212" si="4">F211*E211</f>
        <v>400</v>
      </c>
      <c r="H211" s="1032"/>
      <c r="I211" s="2383"/>
    </row>
    <row r="212" spans="1:11" x14ac:dyDescent="0.2">
      <c r="A212" s="1026"/>
      <c r="B212" s="1239"/>
      <c r="C212" s="1240" t="s">
        <v>558</v>
      </c>
      <c r="D212" s="1035" t="s">
        <v>36</v>
      </c>
      <c r="E212" s="1032">
        <v>3</v>
      </c>
      <c r="F212" s="1036">
        <v>120</v>
      </c>
      <c r="G212" s="1034">
        <f t="shared" si="4"/>
        <v>360</v>
      </c>
      <c r="H212" s="1032">
        <f>SUM(G211:G212)</f>
        <v>760</v>
      </c>
      <c r="I212" s="2382"/>
    </row>
    <row r="213" spans="1:11" x14ac:dyDescent="0.2">
      <c r="A213" s="78" t="s">
        <v>9</v>
      </c>
      <c r="B213" s="12"/>
      <c r="C213" s="232"/>
      <c r="D213" s="12"/>
      <c r="E213" s="145"/>
      <c r="F213" s="27"/>
      <c r="G213" s="27"/>
      <c r="H213" s="28">
        <f>SUM(H151:H212)</f>
        <v>28110</v>
      </c>
    </row>
    <row r="214" spans="1:11" x14ac:dyDescent="0.2">
      <c r="A214" s="76" t="s">
        <v>27</v>
      </c>
      <c r="B214" s="6"/>
      <c r="C214" s="231"/>
      <c r="D214" s="6"/>
      <c r="E214" s="144"/>
      <c r="F214" s="21"/>
      <c r="G214" s="21"/>
      <c r="H214" s="22"/>
    </row>
    <row r="215" spans="1:11" x14ac:dyDescent="0.2">
      <c r="A215" s="77"/>
      <c r="B215" s="16"/>
      <c r="C215" s="248"/>
      <c r="D215" s="16"/>
      <c r="E215" s="182"/>
      <c r="F215" s="26"/>
      <c r="G215" s="23">
        <f>F215*E215</f>
        <v>0</v>
      </c>
      <c r="H215" s="26">
        <f>SUM(G214:G215)</f>
        <v>0</v>
      </c>
    </row>
    <row r="216" spans="1:11" x14ac:dyDescent="0.2">
      <c r="A216" s="78" t="s">
        <v>10</v>
      </c>
      <c r="B216" s="12"/>
      <c r="C216" s="232"/>
      <c r="D216" s="12"/>
      <c r="E216" s="145"/>
      <c r="F216" s="27"/>
      <c r="G216" s="27"/>
      <c r="H216" s="28"/>
    </row>
    <row r="217" spans="1:11" x14ac:dyDescent="0.2">
      <c r="A217" s="148" t="s">
        <v>76</v>
      </c>
      <c r="B217" s="6"/>
      <c r="C217" s="231"/>
      <c r="D217" s="6"/>
      <c r="E217" s="144"/>
      <c r="F217" s="21"/>
      <c r="G217" s="21"/>
      <c r="H217" s="22">
        <f>SUM(G217:G217)</f>
        <v>0</v>
      </c>
    </row>
    <row r="218" spans="1:11" x14ac:dyDescent="0.2">
      <c r="A218" s="1656" t="s">
        <v>409</v>
      </c>
      <c r="B218" s="1657" t="s">
        <v>26</v>
      </c>
      <c r="C218" s="1416" t="s">
        <v>86</v>
      </c>
      <c r="D218" s="1658" t="s">
        <v>14</v>
      </c>
      <c r="E218" s="1659"/>
      <c r="F218" s="1660"/>
      <c r="G218" s="1488">
        <v>0</v>
      </c>
      <c r="H218" s="1661"/>
      <c r="I218" s="2471"/>
      <c r="J218" s="47"/>
      <c r="K218" s="47"/>
    </row>
    <row r="219" spans="1:11" x14ac:dyDescent="0.2">
      <c r="A219" s="1662"/>
      <c r="B219" s="1663" t="s">
        <v>50</v>
      </c>
      <c r="C219" s="1416" t="s">
        <v>566</v>
      </c>
      <c r="D219" s="1658"/>
      <c r="E219" s="1664"/>
      <c r="F219" s="1333"/>
      <c r="G219" s="1488">
        <v>0</v>
      </c>
      <c r="H219" s="1337"/>
      <c r="I219" s="2471"/>
      <c r="J219" s="47"/>
      <c r="K219" s="47"/>
    </row>
    <row r="220" spans="1:11" x14ac:dyDescent="0.2">
      <c r="A220" s="1662"/>
      <c r="B220" s="1208" t="s">
        <v>603</v>
      </c>
      <c r="C220" s="1416" t="s">
        <v>562</v>
      </c>
      <c r="D220" s="1658"/>
      <c r="E220" s="1664">
        <v>1</v>
      </c>
      <c r="F220" s="1209">
        <v>8000</v>
      </c>
      <c r="G220" s="1488">
        <f>F220*E220</f>
        <v>8000</v>
      </c>
      <c r="H220" s="1337"/>
      <c r="I220" s="2471"/>
      <c r="J220" s="47"/>
      <c r="K220" s="47"/>
    </row>
    <row r="221" spans="1:11" x14ac:dyDescent="0.2">
      <c r="A221" s="1662"/>
      <c r="B221" s="1658"/>
      <c r="C221" s="1416"/>
      <c r="D221" s="1658"/>
      <c r="E221" s="1664"/>
      <c r="F221" s="1333"/>
      <c r="G221" s="1488">
        <f>F221*E221</f>
        <v>0</v>
      </c>
      <c r="H221" s="1337">
        <f>SUM(G218:G221)</f>
        <v>8000</v>
      </c>
      <c r="I221" s="2471"/>
      <c r="J221" s="47"/>
      <c r="K221" s="47"/>
    </row>
    <row r="222" spans="1:11" x14ac:dyDescent="0.2">
      <c r="A222" s="1275" t="s">
        <v>107</v>
      </c>
      <c r="B222" s="1608" t="s">
        <v>604</v>
      </c>
      <c r="C222" s="1604" t="s">
        <v>605</v>
      </c>
      <c r="D222" s="1608" t="s">
        <v>16</v>
      </c>
      <c r="E222" s="1605">
        <v>10</v>
      </c>
      <c r="F222" s="1274">
        <v>400</v>
      </c>
      <c r="G222" s="1278">
        <f>F222*E222</f>
        <v>4000</v>
      </c>
      <c r="H222" s="1274"/>
      <c r="I222" s="2471"/>
      <c r="J222" s="47"/>
      <c r="K222" s="47"/>
    </row>
    <row r="223" spans="1:11" x14ac:dyDescent="0.2">
      <c r="A223" s="1279"/>
      <c r="B223" s="1606"/>
      <c r="C223" s="1280"/>
      <c r="D223" s="1606"/>
      <c r="E223" s="1607"/>
      <c r="F223" s="1282"/>
      <c r="G223" s="1283">
        <v>0</v>
      </c>
      <c r="H223" s="1282">
        <f>SUM(G222:G223)</f>
        <v>4000</v>
      </c>
      <c r="I223" s="2471"/>
      <c r="J223" s="47"/>
      <c r="K223" s="47"/>
    </row>
    <row r="224" spans="1:11" x14ac:dyDescent="0.2">
      <c r="A224" s="1061" t="s">
        <v>415</v>
      </c>
      <c r="B224" s="1062" t="s">
        <v>604</v>
      </c>
      <c r="C224" s="2371" t="s">
        <v>1003</v>
      </c>
      <c r="D224" s="2374" t="s">
        <v>1000</v>
      </c>
      <c r="E224" s="2477">
        <v>3</v>
      </c>
      <c r="F224" s="2478">
        <v>200</v>
      </c>
      <c r="G224" s="2479">
        <f>F224*E224</f>
        <v>600</v>
      </c>
      <c r="H224" s="2478"/>
      <c r="I224" s="2057"/>
      <c r="J224" s="47"/>
      <c r="K224" s="47"/>
    </row>
    <row r="225" spans="1:11" x14ac:dyDescent="0.2">
      <c r="A225" s="1068"/>
      <c r="B225" s="2372"/>
      <c r="C225" s="2373"/>
      <c r="D225" s="2372"/>
      <c r="E225" s="2480"/>
      <c r="F225" s="2481"/>
      <c r="G225" s="2482">
        <v>0</v>
      </c>
      <c r="H225" s="2481">
        <f>SUM(G224:G225)</f>
        <v>600</v>
      </c>
      <c r="I225" s="2471"/>
      <c r="J225" s="47"/>
      <c r="K225" s="47"/>
    </row>
    <row r="226" spans="1:11" x14ac:dyDescent="0.2">
      <c r="A226" s="78" t="s">
        <v>211</v>
      </c>
      <c r="B226" s="50"/>
      <c r="C226" s="232"/>
      <c r="D226" s="50"/>
      <c r="E226" s="145"/>
      <c r="F226" s="51"/>
      <c r="G226" s="27"/>
      <c r="H226" s="51">
        <f>SUM(H218:H225)</f>
        <v>12600</v>
      </c>
    </row>
    <row r="227" spans="1:11" x14ac:dyDescent="0.2">
      <c r="A227" s="79" t="s">
        <v>13</v>
      </c>
      <c r="B227" s="18"/>
      <c r="C227" s="236"/>
      <c r="D227" s="18"/>
      <c r="E227" s="146"/>
      <c r="F227" s="33"/>
      <c r="G227" s="33"/>
      <c r="H227" s="34">
        <f>WP6_SEC1_subtotal+WP6_SEC2_subtotal+WP6_SEC3_subtotal+WP6_SEC4_subtotal+WP6_SEC5_subtotal</f>
        <v>220682</v>
      </c>
    </row>
    <row r="228" spans="1:11" ht="14.25" x14ac:dyDescent="0.2">
      <c r="A228" s="140" t="s">
        <v>87</v>
      </c>
      <c r="B228" s="141" t="s">
        <v>104</v>
      </c>
      <c r="C228" s="237"/>
      <c r="D228" s="141"/>
      <c r="E228" s="183"/>
      <c r="F228" s="142"/>
      <c r="G228" s="142"/>
      <c r="H228" s="186">
        <f>H146*0.6</f>
        <v>107683.2</v>
      </c>
      <c r="I228" s="2474"/>
      <c r="J228" s="64"/>
    </row>
    <row r="229" spans="1:11" ht="15.75" x14ac:dyDescent="0.25">
      <c r="A229" s="79" t="s">
        <v>11</v>
      </c>
      <c r="B229" s="10"/>
      <c r="C229" s="236"/>
      <c r="D229" s="10"/>
      <c r="E229" s="184"/>
      <c r="F229" s="31"/>
      <c r="G229" s="31"/>
      <c r="H229" s="32">
        <f>H228+H227</f>
        <v>328365.2</v>
      </c>
    </row>
  </sheetData>
  <sheetProtection password="A72F" sheet="1" objects="1" scenarios="1"/>
  <phoneticPr fontId="0" type="noConversion"/>
  <dataValidations count="87">
    <dataValidation type="list" allowBlank="1" showInputMessage="1" showErrorMessage="1" error="This name is not cecognized" sqref="A1 A61 A126 A123 A174:A175 A120 A46 A166:A167 A129 A55 A158:A159 A86 A152:A153 A18 A144 A141 A138 A135 A132">
      <formula1>partners_list</formula1>
    </dataValidation>
    <dataValidation type="list" allowBlank="1" showInputMessage="1" showErrorMessage="1" error="This name is not cecognized" sqref="B66:B70">
      <formula1>P8_employees</formula1>
    </dataValidation>
    <dataValidation type="list" allowBlank="1" showInputMessage="1" showErrorMessage="1" error="This name is not cecognized" sqref="B63:B65">
      <formula1>P7_employees</formula1>
    </dataValidation>
    <dataValidation type="list" allowBlank="1" showInputMessage="1" showErrorMessage="1" error="This name is not cecognized" sqref="B6:B16">
      <formula1>CO_employees</formula1>
    </dataValidation>
    <dataValidation type="list" allowBlank="1" showInputMessage="1" showErrorMessage="1" error="This name is not cecognized" sqref="B134:B136">
      <formula1>P24_employees</formula1>
    </dataValidation>
    <dataValidation type="list" allowBlank="1" showInputMessage="1" showErrorMessage="1" error="This name is not cecognized" sqref="B131:B133">
      <formula1>P23_employees</formula1>
    </dataValidation>
    <dataValidation type="list" allowBlank="1" showInputMessage="1" showErrorMessage="1" error="This name is not cecognized" sqref="B125:B127">
      <formula1>P21_employees</formula1>
    </dataValidation>
    <dataValidation type="list" allowBlank="1" showInputMessage="1" showErrorMessage="1" error="This name is not cecognized" sqref="B122:B124">
      <formula1>P20_employees</formula1>
    </dataValidation>
    <dataValidation type="list" allowBlank="1" showInputMessage="1" showErrorMessage="1" error="This name is not cecognized" sqref="B98:B100">
      <formula1>P12_employees</formula1>
    </dataValidation>
    <dataValidation type="list" allowBlank="1" showInputMessage="1" showErrorMessage="1" error="This name is not cecognized" sqref="B110:B112">
      <formula1>P16_employees</formula1>
    </dataValidation>
    <dataValidation type="list" allowBlank="1" showInputMessage="1" showErrorMessage="1" error="This name is not cecognized" sqref="B116:B118">
      <formula1>P18_employees</formula1>
    </dataValidation>
    <dataValidation type="list" allowBlank="1" showInputMessage="1" showErrorMessage="1" error="This name is not cecognized" sqref="B113:B115">
      <formula1>P17_employees</formula1>
    </dataValidation>
    <dataValidation type="list" allowBlank="1" showInputMessage="1" showErrorMessage="1" error="This name is not cecognized" sqref="B107:B109">
      <formula1>P15_employees</formula1>
    </dataValidation>
    <dataValidation type="list" allowBlank="1" showInputMessage="1" showErrorMessage="1" error="This name is not cecognized" sqref="B104:B106">
      <formula1>P14_employees</formula1>
    </dataValidation>
    <dataValidation type="list" allowBlank="1" showInputMessage="1" showErrorMessage="1" error="This name is not cecognized" sqref="B119:B121">
      <formula1>P19_employees</formula1>
    </dataValidation>
    <dataValidation type="list" allowBlank="1" showInputMessage="1" showErrorMessage="1" error="This name is not cecognized" sqref="B101:B103">
      <formula1>P13_employees</formula1>
    </dataValidation>
    <dataValidation type="list" allowBlank="1" showInputMessage="1" showErrorMessage="1" error="This name is not cecognized" sqref="B71:B84">
      <formula1>P9_employees</formula1>
    </dataValidation>
    <dataValidation type="list" allowBlank="1" showInputMessage="1" showErrorMessage="1" error="This name is not cecognized" sqref="B95:B97">
      <formula1>P11_employees</formula1>
    </dataValidation>
    <dataValidation type="list" allowBlank="1" showInputMessage="1" showErrorMessage="1" error="This name is not cecognized" sqref="B51:B53">
      <formula1>P4_employees</formula1>
    </dataValidation>
    <dataValidation type="list" allowBlank="1" showInputMessage="1" showErrorMessage="1" error="This name is not cecognized" sqref="B54:B62">
      <formula1>P5_employees</formula1>
    </dataValidation>
    <dataValidation type="list" allowBlank="1" showInputMessage="1" showErrorMessage="1" error="This name is not cecognized" sqref="B45:B50">
      <formula1>P3_employees</formula1>
    </dataValidation>
    <dataValidation type="list" allowBlank="1" showInputMessage="1" showErrorMessage="1" error="This name is not cecognized" sqref="B38:B44">
      <formula1>P2_employees</formula1>
    </dataValidation>
    <dataValidation type="list" allowBlank="1" showInputMessage="1" showErrorMessage="1" error="This name is not cecognized" sqref="B17:B37">
      <formula1>P6_employees</formula1>
    </dataValidation>
    <dataValidation type="list" allowBlank="1" showInputMessage="1" showErrorMessage="1" error="This name is not cecognized" sqref="B85:B94">
      <formula1>P10_employees</formula1>
    </dataValidation>
    <dataValidation type="list" allowBlank="1" showInputMessage="1" showErrorMessage="1" error="This name is not cecognized" sqref="B128:B130">
      <formula1>P22_employees</formula1>
    </dataValidation>
    <dataValidation type="list" allowBlank="1" showInputMessage="1" showErrorMessage="1" error="This name is not cecognized" sqref="B137:B139">
      <formula1>P25_employees</formula1>
    </dataValidation>
    <dataValidation type="list" allowBlank="1" showInputMessage="1" showErrorMessage="1" error="This name is not cecognized" sqref="B140:B142">
      <formula1>P26_employees</formula1>
    </dataValidation>
    <dataValidation type="list" allowBlank="1" showInputMessage="1" showErrorMessage="1" error="This name is not cecognized" sqref="B143:B145">
      <formula1>P27_employees</formula1>
    </dataValidation>
    <dataValidation type="list" allowBlank="1" showInputMessage="1" showErrorMessage="1" error="This name is not cecognized" sqref="A6">
      <formula1>partners_list</formula1>
    </dataValidation>
    <dataValidation type="list" allowBlank="1" showInputMessage="1" showErrorMessage="1" error="This name is not cecognized" sqref="A17">
      <formula1>partners_list</formula1>
    </dataValidation>
    <dataValidation type="list" allowBlank="1" showInputMessage="1" showErrorMessage="1" error="This name is not cecognized" sqref="A38">
      <formula1>partners_list</formula1>
    </dataValidation>
    <dataValidation type="list" allowBlank="1" showInputMessage="1" showErrorMessage="1" error="This name is not cecognized" sqref="A45">
      <formula1>partners_list</formula1>
    </dataValidation>
    <dataValidation type="list" allowBlank="1" showInputMessage="1" showErrorMessage="1" error="This name is not cecognized" sqref="A51">
      <formula1>partners_list</formula1>
    </dataValidation>
    <dataValidation type="list" allowBlank="1" showInputMessage="1" showErrorMessage="1" error="This name is not cecognized" sqref="A54">
      <formula1>partners_list</formula1>
    </dataValidation>
    <dataValidation type="list" allowBlank="1" showInputMessage="1" showErrorMessage="1" error="This name is not cecognized" sqref="A63">
      <formula1>partners_list</formula1>
    </dataValidation>
    <dataValidation type="list" allowBlank="1" showInputMessage="1" showErrorMessage="1" error="This name is not cecognized" sqref="A66">
      <formula1>partners_list</formula1>
    </dataValidation>
    <dataValidation type="list" allowBlank="1" showInputMessage="1" showErrorMessage="1" error="This name is not cecognized" sqref="A71">
      <formula1>partners_list</formula1>
    </dataValidation>
    <dataValidation type="list" allowBlank="1" showInputMessage="1" showErrorMessage="1" error="This name is not cecognized" sqref="A85">
      <formula1>partners_list</formula1>
    </dataValidation>
    <dataValidation type="list" allowBlank="1" showInputMessage="1" showErrorMessage="1" error="This name is not cecognized" sqref="A95">
      <formula1>partners_list</formula1>
    </dataValidation>
    <dataValidation type="list" allowBlank="1" showInputMessage="1" showErrorMessage="1" error="This name is not cecognized" sqref="A98">
      <formula1>partners_list</formula1>
    </dataValidation>
    <dataValidation type="list" allowBlank="1" showInputMessage="1" showErrorMessage="1" error="This name is not cecognized" sqref="A101">
      <formula1>partners_list</formula1>
    </dataValidation>
    <dataValidation type="list" allowBlank="1" showInputMessage="1" showErrorMessage="1" error="This name is not cecognized" sqref="A104">
      <formula1>partners_list</formula1>
    </dataValidation>
    <dataValidation type="list" allowBlank="1" showInputMessage="1" showErrorMessage="1" error="This name is not cecognized" sqref="A107">
      <formula1>partners_list</formula1>
    </dataValidation>
    <dataValidation type="list" allowBlank="1" showInputMessage="1" showErrorMessage="1" error="This name is not cecognized" sqref="A110">
      <formula1>partners_list</formula1>
    </dataValidation>
    <dataValidation type="list" allowBlank="1" showInputMessage="1" showErrorMessage="1" error="This name is not cecognized" sqref="A113">
      <formula1>partners_list</formula1>
    </dataValidation>
    <dataValidation type="list" allowBlank="1" showInputMessage="1" showErrorMessage="1" error="This name is not cecognized" sqref="A116">
      <formula1>partners_list</formula1>
    </dataValidation>
    <dataValidation type="list" allowBlank="1" showInputMessage="1" showErrorMessage="1" error="This name is not cecognized" sqref="A119">
      <formula1>partners_list</formula1>
    </dataValidation>
    <dataValidation type="list" allowBlank="1" showInputMessage="1" showErrorMessage="1" error="This name is not cecognized" sqref="A122">
      <formula1>partners_list</formula1>
    </dataValidation>
    <dataValidation type="list" allowBlank="1" showInputMessage="1" showErrorMessage="1" error="This name is not cecognized" sqref="A125">
      <formula1>partners_list</formula1>
    </dataValidation>
    <dataValidation type="list" allowBlank="1" showInputMessage="1" showErrorMessage="1" error="This name is not cecognized" sqref="A128">
      <formula1>partners_list</formula1>
    </dataValidation>
    <dataValidation type="list" allowBlank="1" showInputMessage="1" showErrorMessage="1" error="This name is not cecognized" sqref="A131">
      <formula1>partners_list</formula1>
    </dataValidation>
    <dataValidation type="list" allowBlank="1" showInputMessage="1" showErrorMessage="1" error="This name is not cecognized" sqref="A134">
      <formula1>partners_list</formula1>
    </dataValidation>
    <dataValidation type="list" allowBlank="1" showInputMessage="1" showErrorMessage="1" error="This name is not cecognized" sqref="A137">
      <formula1>partners_list</formula1>
    </dataValidation>
    <dataValidation type="list" allowBlank="1" showInputMessage="1" showErrorMessage="1" error="This name is not cecognized" sqref="A140">
      <formula1>partners_list</formula1>
    </dataValidation>
    <dataValidation type="list" allowBlank="1" showInputMessage="1" showErrorMessage="1" error="This name is not cecognized" sqref="A143">
      <formula1>partners_list</formula1>
    </dataValidation>
    <dataValidation type="list" allowBlank="1" showInputMessage="1" showErrorMessage="1" error="This name is not cecognized" sqref="A148">
      <formula1>partners_list</formula1>
    </dataValidation>
    <dataValidation type="list" allowBlank="1" showInputMessage="1" showErrorMessage="1" error="This name is not cecognized" sqref="A151">
      <formula1>partners_list</formula1>
    </dataValidation>
    <dataValidation type="list" allowBlank="1" showInputMessage="1" showErrorMessage="1" error="This name is not cecognized" sqref="A155">
      <formula1>partners_list</formula1>
    </dataValidation>
    <dataValidation type="list" allowBlank="1" showInputMessage="1" showErrorMessage="1" error="This name is not cecognized" sqref="A157">
      <formula1>partners_list</formula1>
    </dataValidation>
    <dataValidation type="list" allowBlank="1" showInputMessage="1" showErrorMessage="1" error="This name is not cecognized" sqref="A161">
      <formula1>partners_list</formula1>
    </dataValidation>
    <dataValidation type="list" allowBlank="1" showInputMessage="1" showErrorMessage="1" error="This name is not cecognized" sqref="A163">
      <formula1>partners_list</formula1>
    </dataValidation>
    <dataValidation type="list" allowBlank="1" showInputMessage="1" showErrorMessage="1" error="This name is not cecognized" sqref="A165">
      <formula1>partners_list</formula1>
    </dataValidation>
    <dataValidation type="list" allowBlank="1" showInputMessage="1" showErrorMessage="1" error="This name is not cecognized" sqref="A169">
      <formula1>partners_list</formula1>
    </dataValidation>
    <dataValidation type="list" allowBlank="1" showInputMessage="1" showErrorMessage="1" error="This name is not cecognized" sqref="A171">
      <formula1>partners_list</formula1>
    </dataValidation>
    <dataValidation type="list" allowBlank="1" showInputMessage="1" showErrorMessage="1" error="This name is not cecognized" sqref="A173">
      <formula1>partners_list</formula1>
    </dataValidation>
    <dataValidation type="list" allowBlank="1" showInputMessage="1" showErrorMessage="1" error="This name is not cecognized" sqref="A177">
      <formula1>partners_list</formula1>
    </dataValidation>
    <dataValidation type="list" allowBlank="1" showInputMessage="1" showErrorMessage="1" error="This name is not cecognized" sqref="A179">
      <formula1>partners_list</formula1>
    </dataValidation>
    <dataValidation type="list" allowBlank="1" showInputMessage="1" showErrorMessage="1" error="This name is not cecognized" sqref="A181">
      <formula1>partners_list</formula1>
    </dataValidation>
    <dataValidation type="list" allowBlank="1" showInputMessage="1" showErrorMessage="1" error="This name is not cecognized" sqref="A183">
      <formula1>partners_list</formula1>
    </dataValidation>
    <dataValidation type="list" allowBlank="1" showInputMessage="1" showErrorMessage="1" error="This name is not cecognized" sqref="A185">
      <formula1>partners_list</formula1>
    </dataValidation>
    <dataValidation type="list" allowBlank="1" showInputMessage="1" showErrorMessage="1" error="This name is not cecognized" sqref="A187">
      <formula1>partners_list</formula1>
    </dataValidation>
    <dataValidation type="list" allowBlank="1" showInputMessage="1" showErrorMessage="1" error="This name is not cecognized" sqref="A189">
      <formula1>partners_list</formula1>
    </dataValidation>
    <dataValidation type="list" allowBlank="1" showInputMessage="1" showErrorMessage="1" error="This name is not cecognized" sqref="A191">
      <formula1>partners_list</formula1>
    </dataValidation>
    <dataValidation type="list" allowBlank="1" showInputMessage="1" showErrorMessage="1" error="This name is not cecognized" sqref="A193">
      <formula1>partners_list</formula1>
    </dataValidation>
    <dataValidation type="list" allowBlank="1" showInputMessage="1" showErrorMessage="1" error="This name is not cecognized" sqref="A195">
      <formula1>partners_list</formula1>
    </dataValidation>
    <dataValidation type="list" allowBlank="1" showInputMessage="1" showErrorMessage="1" error="This name is not cecognized" sqref="A197">
      <formula1>partners_list</formula1>
    </dataValidation>
    <dataValidation type="list" allowBlank="1" showInputMessage="1" showErrorMessage="1" error="This name is not cecognized" sqref="A199">
      <formula1>partners_list</formula1>
    </dataValidation>
    <dataValidation type="list" allowBlank="1" showInputMessage="1" showErrorMessage="1" error="This name is not cecognized" sqref="A201">
      <formula1>partners_list</formula1>
    </dataValidation>
    <dataValidation type="list" allowBlank="1" showInputMessage="1" showErrorMessage="1" error="This name is not cecognized" sqref="A203">
      <formula1>partners_list</formula1>
    </dataValidation>
    <dataValidation type="list" allowBlank="1" showInputMessage="1" showErrorMessage="1" error="This name is not cecognized" sqref="A205">
      <formula1>partners_list</formula1>
    </dataValidation>
    <dataValidation type="list" allowBlank="1" showInputMessage="1" showErrorMessage="1" error="This name is not cecognized" sqref="A207">
      <formula1>partners_list</formula1>
    </dataValidation>
    <dataValidation type="list" allowBlank="1" showInputMessage="1" showErrorMessage="1" error="This name is not cecognized" sqref="A209">
      <formula1>partners_list</formula1>
    </dataValidation>
    <dataValidation type="list" allowBlank="1" showInputMessage="1" showErrorMessage="1" error="This name is not cecognized" sqref="A211">
      <formula1>partners_list</formula1>
    </dataValidation>
    <dataValidation type="list" allowBlank="1" showInputMessage="1" showErrorMessage="1" error="This name is not cecognized" sqref="A215">
      <formula1>partners_list</formula1>
    </dataValidation>
    <dataValidation type="list" allowBlank="1" showInputMessage="1" showErrorMessage="1" error="This name is not cecognized" sqref="A218">
      <formula1>partners_list</formula1>
    </dataValidation>
    <dataValidation type="list" allowBlank="1" showInputMessage="1" showErrorMessage="1" error="This name is not cecognized" sqref="A222">
      <formula1>partners_list</formula1>
    </dataValidation>
    <dataValidation type="list" allowBlank="1" showInputMessage="1" showErrorMessage="1" error="This name is not cecognized" sqref="A224">
      <formula1>partners_list</formula1>
    </dataValidation>
  </dataValidations>
  <pageMargins left="0.5" right="0.57999999999999996" top="0.56000000000000005" bottom="0.59" header="0.5" footer="0.5"/>
  <pageSetup scale="76" orientation="landscape" r:id="rId1"/>
  <headerFooter alignWithMargins="0"/>
  <rowBreaks count="3" manualBreakCount="3">
    <brk id="44" max="7" man="1"/>
    <brk id="112" max="7" man="1"/>
    <brk id="14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9" r:id="rId4" name="Button 99">
              <controlPr defaultSize="0" print="0" autoFill="0" autoPict="0" macro="[0]!btnAddPartnerToSection_Click">
                <anchor moveWithCells="1" sizeWithCells="1">
                  <from>
                    <xdr:col>3</xdr:col>
                    <xdr:colOff>0</xdr:colOff>
                    <xdr:row>0</xdr:row>
                    <xdr:rowOff>104775</xdr:rowOff>
                  </from>
                  <to>
                    <xdr:col>5</xdr:col>
                    <xdr:colOff>247650</xdr:colOff>
                    <xdr:row>1</xdr:row>
                    <xdr:rowOff>85725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J154"/>
  <sheetViews>
    <sheetView zoomScaleNormal="100" zoomScaleSheetLayoutView="90" workbookViewId="0">
      <selection activeCell="C23" sqref="C23"/>
    </sheetView>
  </sheetViews>
  <sheetFormatPr defaultColWidth="9.140625" defaultRowHeight="12.75" x14ac:dyDescent="0.2"/>
  <cols>
    <col min="1" max="1" width="10.85546875" style="98" customWidth="1"/>
    <col min="2" max="2" width="24.5703125" customWidth="1"/>
    <col min="3" max="3" width="65.7109375" style="253" customWidth="1"/>
    <col min="4" max="4" width="12.85546875" customWidth="1"/>
    <col min="5" max="5" width="13.5703125" style="38" customWidth="1"/>
    <col min="6" max="6" width="13.5703125" customWidth="1"/>
    <col min="7" max="7" width="13.28515625" customWidth="1"/>
    <col min="8" max="8" width="15.140625" customWidth="1"/>
    <col min="9" max="9" width="8.85546875" style="68" customWidth="1"/>
    <col min="10" max="256" width="11.42578125" customWidth="1"/>
  </cols>
  <sheetData>
    <row r="1" spans="1:10" s="38" customFormat="1" ht="20.25" x14ac:dyDescent="0.3">
      <c r="A1" s="328" t="s">
        <v>143</v>
      </c>
      <c r="C1" s="253"/>
      <c r="I1" s="68"/>
    </row>
    <row r="2" spans="1:10" s="329" customFormat="1" ht="18" x14ac:dyDescent="0.25">
      <c r="A2" s="327" t="s">
        <v>146</v>
      </c>
      <c r="I2" s="330"/>
    </row>
    <row r="3" spans="1:10" s="38" customFormat="1" x14ac:dyDescent="0.2">
      <c r="C3" s="253"/>
      <c r="I3" s="68"/>
    </row>
    <row r="4" spans="1:10" x14ac:dyDescent="0.2">
      <c r="A4" s="75" t="s">
        <v>0</v>
      </c>
      <c r="B4" s="13" t="s">
        <v>1</v>
      </c>
      <c r="C4" s="254" t="s">
        <v>2</v>
      </c>
      <c r="D4" s="13" t="s">
        <v>3</v>
      </c>
      <c r="E4" s="143" t="s">
        <v>4</v>
      </c>
      <c r="F4" s="20" t="s">
        <v>7</v>
      </c>
      <c r="G4" s="20" t="s">
        <v>5</v>
      </c>
      <c r="H4" s="20" t="s">
        <v>6</v>
      </c>
      <c r="I4" s="169"/>
      <c r="J4" s="72"/>
    </row>
    <row r="5" spans="1:10" x14ac:dyDescent="0.2">
      <c r="A5" s="76" t="s">
        <v>23</v>
      </c>
      <c r="B5" s="6"/>
      <c r="C5" s="255"/>
      <c r="D5" s="6"/>
      <c r="E5" s="144"/>
      <c r="F5" s="21"/>
      <c r="G5" s="21"/>
      <c r="H5" s="22">
        <f>SUM(G5:G5)</f>
        <v>0</v>
      </c>
      <c r="I5" s="96"/>
    </row>
    <row r="6" spans="1:10" x14ac:dyDescent="0.2">
      <c r="A6" s="256" t="s">
        <v>107</v>
      </c>
      <c r="B6" s="121" t="s">
        <v>160</v>
      </c>
      <c r="C6" s="258" t="s">
        <v>329</v>
      </c>
      <c r="D6" s="257" t="s">
        <v>17</v>
      </c>
      <c r="E6" s="242">
        <f>SUM(E7:E15)</f>
        <v>1304</v>
      </c>
      <c r="F6" s="243">
        <f>salaries!H6</f>
        <v>26</v>
      </c>
      <c r="G6" s="242">
        <f>F6*E6</f>
        <v>33904</v>
      </c>
      <c r="H6" s="243"/>
      <c r="I6" s="96"/>
    </row>
    <row r="7" spans="1:10" x14ac:dyDescent="0.2">
      <c r="A7" s="83"/>
      <c r="B7" s="84"/>
      <c r="C7" s="265" t="s">
        <v>333</v>
      </c>
      <c r="D7" s="84"/>
      <c r="E7" s="178">
        <v>40</v>
      </c>
      <c r="F7" s="69"/>
      <c r="G7" s="70"/>
      <c r="H7" s="69"/>
      <c r="I7" s="96"/>
    </row>
    <row r="8" spans="1:10" x14ac:dyDescent="0.2">
      <c r="A8" s="83"/>
      <c r="B8" s="84"/>
      <c r="C8" s="516" t="s">
        <v>380</v>
      </c>
      <c r="D8" s="84"/>
      <c r="E8" s="107">
        <v>80</v>
      </c>
      <c r="F8" s="69"/>
      <c r="G8" s="70"/>
      <c r="H8" s="69"/>
      <c r="I8" s="96"/>
    </row>
    <row r="9" spans="1:10" ht="22.5" x14ac:dyDescent="0.2">
      <c r="A9" s="83"/>
      <c r="B9" s="84"/>
      <c r="C9" s="264" t="s">
        <v>379</v>
      </c>
      <c r="D9" s="84"/>
      <c r="E9" s="178">
        <f>2*36*8</f>
        <v>576</v>
      </c>
      <c r="F9" s="69"/>
      <c r="G9" s="70"/>
      <c r="H9" s="69"/>
      <c r="I9" s="96"/>
    </row>
    <row r="10" spans="1:10" x14ac:dyDescent="0.2">
      <c r="A10" s="83"/>
      <c r="B10" s="84"/>
      <c r="C10" s="265" t="s">
        <v>335</v>
      </c>
      <c r="D10" s="84"/>
      <c r="E10" s="178">
        <v>80</v>
      </c>
      <c r="F10" s="69"/>
      <c r="G10" s="70"/>
      <c r="H10" s="69"/>
      <c r="I10" s="96"/>
    </row>
    <row r="11" spans="1:10" x14ac:dyDescent="0.2">
      <c r="A11" s="83"/>
      <c r="B11" s="84"/>
      <c r="C11" s="546" t="s">
        <v>483</v>
      </c>
      <c r="D11" s="84"/>
      <c r="E11" s="178">
        <v>160</v>
      </c>
      <c r="F11" s="69"/>
      <c r="G11" s="70"/>
      <c r="H11" s="69"/>
      <c r="I11" s="96"/>
    </row>
    <row r="12" spans="1:10" x14ac:dyDescent="0.2">
      <c r="A12" s="83"/>
      <c r="B12" s="84"/>
      <c r="C12" s="517" t="s">
        <v>336</v>
      </c>
      <c r="D12" s="84"/>
      <c r="E12" s="178">
        <v>80</v>
      </c>
      <c r="F12" s="69"/>
      <c r="G12" s="70"/>
      <c r="H12" s="69"/>
      <c r="I12" s="96"/>
    </row>
    <row r="13" spans="1:10" x14ac:dyDescent="0.2">
      <c r="A13" s="83"/>
      <c r="B13" s="84"/>
      <c r="C13" s="517" t="s">
        <v>339</v>
      </c>
      <c r="D13" s="84"/>
      <c r="E13" s="107">
        <f>36*8</f>
        <v>288</v>
      </c>
      <c r="F13" s="69"/>
      <c r="G13" s="70"/>
      <c r="H13" s="69"/>
      <c r="I13" s="96"/>
    </row>
    <row r="14" spans="1:10" x14ac:dyDescent="0.2">
      <c r="A14" s="83"/>
      <c r="B14" s="84"/>
      <c r="C14" s="262"/>
      <c r="D14" s="84"/>
      <c r="E14" s="178"/>
      <c r="F14" s="69"/>
      <c r="G14" s="70"/>
      <c r="H14" s="69"/>
      <c r="I14" s="96"/>
    </row>
    <row r="15" spans="1:10" x14ac:dyDescent="0.2">
      <c r="A15" s="83"/>
      <c r="B15" s="84"/>
      <c r="C15" s="262"/>
      <c r="D15" s="84"/>
      <c r="E15" s="178"/>
      <c r="F15" s="69"/>
      <c r="G15" s="70"/>
      <c r="H15" s="69"/>
      <c r="I15" s="96"/>
    </row>
    <row r="16" spans="1:10" x14ac:dyDescent="0.2">
      <c r="A16" s="256"/>
      <c r="B16" s="124" t="s">
        <v>155</v>
      </c>
      <c r="C16" s="271" t="s">
        <v>337</v>
      </c>
      <c r="D16" s="259" t="s">
        <v>17</v>
      </c>
      <c r="E16" s="242">
        <f>SUM(E17:E19)</f>
        <v>368</v>
      </c>
      <c r="F16" s="245">
        <f>salaries!H4</f>
        <v>29</v>
      </c>
      <c r="G16" s="242">
        <f>F16*E16</f>
        <v>10672</v>
      </c>
      <c r="H16" s="245"/>
      <c r="I16" s="96"/>
    </row>
    <row r="17" spans="1:9" ht="22.5" x14ac:dyDescent="0.2">
      <c r="A17" s="83"/>
      <c r="B17" s="84"/>
      <c r="C17" s="264" t="s">
        <v>341</v>
      </c>
      <c r="D17" s="84"/>
      <c r="E17" s="178">
        <f>1*36*8</f>
        <v>288</v>
      </c>
      <c r="F17" s="69"/>
      <c r="G17" s="70"/>
      <c r="H17" s="69"/>
      <c r="I17" s="96"/>
    </row>
    <row r="18" spans="1:9" ht="22.5" x14ac:dyDescent="0.2">
      <c r="A18" s="83"/>
      <c r="B18" s="84"/>
      <c r="C18" s="264" t="s">
        <v>338</v>
      </c>
      <c r="D18" s="84"/>
      <c r="E18" s="178">
        <v>40</v>
      </c>
      <c r="F18" s="69"/>
      <c r="G18" s="70"/>
      <c r="H18" s="69"/>
      <c r="I18" s="96"/>
    </row>
    <row r="19" spans="1:9" x14ac:dyDescent="0.2">
      <c r="A19" s="83"/>
      <c r="B19" s="84"/>
      <c r="C19" s="264" t="s">
        <v>340</v>
      </c>
      <c r="D19" s="84"/>
      <c r="E19" s="178">
        <v>40</v>
      </c>
      <c r="F19" s="69"/>
      <c r="G19" s="70"/>
      <c r="H19" s="69"/>
      <c r="I19" s="96"/>
    </row>
    <row r="20" spans="1:9" x14ac:dyDescent="0.2">
      <c r="A20" s="1262"/>
      <c r="B20" s="1263"/>
      <c r="C20" s="1264"/>
      <c r="D20" s="1265"/>
      <c r="E20" s="1266"/>
      <c r="F20" s="1267"/>
      <c r="G20" s="1266"/>
      <c r="H20" s="1268">
        <f>SUM(G6:G20)</f>
        <v>44576</v>
      </c>
      <c r="I20" s="96"/>
    </row>
    <row r="21" spans="1:9" x14ac:dyDescent="0.2">
      <c r="A21" s="532" t="s">
        <v>203</v>
      </c>
      <c r="B21" s="565" t="s">
        <v>151</v>
      </c>
      <c r="C21" s="566" t="s">
        <v>324</v>
      </c>
      <c r="D21" s="534" t="s">
        <v>17</v>
      </c>
      <c r="E21" s="535">
        <f>SUM(E22:E22)</f>
        <v>40</v>
      </c>
      <c r="F21" s="536">
        <f>salaries!H8</f>
        <v>29</v>
      </c>
      <c r="G21" s="535">
        <f>F21*E21</f>
        <v>1160</v>
      </c>
      <c r="H21" s="567"/>
      <c r="I21" s="177"/>
    </row>
    <row r="22" spans="1:9" x14ac:dyDescent="0.2">
      <c r="A22" s="532"/>
      <c r="B22" s="565"/>
      <c r="C22" s="568" t="s">
        <v>485</v>
      </c>
      <c r="D22" s="565"/>
      <c r="E22" s="569">
        <v>40</v>
      </c>
      <c r="F22" s="567"/>
      <c r="G22" s="569"/>
      <c r="H22" s="567"/>
      <c r="I22" s="177"/>
    </row>
    <row r="23" spans="1:9" x14ac:dyDescent="0.2">
      <c r="A23" s="532"/>
      <c r="B23" s="565" t="s">
        <v>154</v>
      </c>
      <c r="C23" s="566" t="s">
        <v>324</v>
      </c>
      <c r="D23" s="534" t="s">
        <v>17</v>
      </c>
      <c r="E23" s="535">
        <f>SUM(E24:E24)</f>
        <v>80</v>
      </c>
      <c r="F23" s="536">
        <f>salaries!H11</f>
        <v>20</v>
      </c>
      <c r="G23" s="535">
        <f>F23*E23</f>
        <v>1600</v>
      </c>
      <c r="H23" s="536"/>
      <c r="I23" s="168"/>
    </row>
    <row r="24" spans="1:9" x14ac:dyDescent="0.2">
      <c r="A24" s="571"/>
      <c r="B24" s="572"/>
      <c r="C24" s="573" t="s">
        <v>484</v>
      </c>
      <c r="D24" s="572"/>
      <c r="E24" s="574">
        <v>80</v>
      </c>
      <c r="F24" s="575"/>
      <c r="G24" s="574"/>
      <c r="H24" s="575">
        <f>SUM(G21:G24)</f>
        <v>2760</v>
      </c>
      <c r="I24" s="177"/>
    </row>
    <row r="25" spans="1:9" x14ac:dyDescent="0.2">
      <c r="A25" s="557" t="s">
        <v>204</v>
      </c>
      <c r="B25" s="558" t="s">
        <v>183</v>
      </c>
      <c r="C25" s="559" t="s">
        <v>324</v>
      </c>
      <c r="D25" s="560" t="s">
        <v>17</v>
      </c>
      <c r="E25" s="561">
        <f>SUM(E26:E26)</f>
        <v>40</v>
      </c>
      <c r="F25" s="562">
        <f>salaries!H12</f>
        <v>27</v>
      </c>
      <c r="G25" s="561">
        <f>F25*E25</f>
        <v>1080</v>
      </c>
      <c r="H25" s="547"/>
      <c r="I25" s="177"/>
    </row>
    <row r="26" spans="1:9" x14ac:dyDescent="0.2">
      <c r="A26" s="557"/>
      <c r="B26" s="558"/>
      <c r="C26" s="563" t="s">
        <v>485</v>
      </c>
      <c r="D26" s="558"/>
      <c r="E26" s="564">
        <v>40</v>
      </c>
      <c r="F26" s="547"/>
      <c r="G26" s="564"/>
      <c r="H26" s="547"/>
      <c r="I26" s="177"/>
    </row>
    <row r="27" spans="1:9" x14ac:dyDescent="0.2">
      <c r="A27" s="557"/>
      <c r="B27" s="558" t="s">
        <v>186</v>
      </c>
      <c r="C27" s="559" t="s">
        <v>324</v>
      </c>
      <c r="D27" s="560" t="s">
        <v>17</v>
      </c>
      <c r="E27" s="561">
        <f>SUM(E28:E28)</f>
        <v>80</v>
      </c>
      <c r="F27" s="562">
        <f>salaries!H15</f>
        <v>20</v>
      </c>
      <c r="G27" s="561">
        <f>F27*E27</f>
        <v>1600</v>
      </c>
      <c r="H27" s="562"/>
      <c r="I27" s="168"/>
    </row>
    <row r="28" spans="1:9" x14ac:dyDescent="0.2">
      <c r="A28" s="580"/>
      <c r="B28" s="578"/>
      <c r="C28" s="577" t="s">
        <v>484</v>
      </c>
      <c r="D28" s="578"/>
      <c r="E28" s="579">
        <v>80</v>
      </c>
      <c r="F28" s="581"/>
      <c r="G28" s="579"/>
      <c r="H28" s="581">
        <f>SUM(G25:G28)</f>
        <v>2680</v>
      </c>
      <c r="I28" s="177"/>
    </row>
    <row r="29" spans="1:9" x14ac:dyDescent="0.2">
      <c r="A29" s="598" t="s">
        <v>308</v>
      </c>
      <c r="B29" s="599" t="s">
        <v>820</v>
      </c>
      <c r="C29" s="600" t="s">
        <v>324</v>
      </c>
      <c r="D29" s="601" t="s">
        <v>17</v>
      </c>
      <c r="E29" s="602">
        <f>SUM(E31:E31)</f>
        <v>40</v>
      </c>
      <c r="F29" s="603">
        <f>salaries!H18</f>
        <v>39</v>
      </c>
      <c r="G29" s="602">
        <f>F29*E29</f>
        <v>1560</v>
      </c>
      <c r="H29" s="604"/>
      <c r="I29" s="177"/>
    </row>
    <row r="30" spans="1:9" x14ac:dyDescent="0.2">
      <c r="A30" s="588"/>
      <c r="B30" s="589"/>
      <c r="C30" s="605" t="s">
        <v>899</v>
      </c>
      <c r="D30" s="1554"/>
      <c r="E30" s="1555">
        <v>80</v>
      </c>
      <c r="F30" s="1724"/>
      <c r="G30" s="1555"/>
      <c r="H30" s="593"/>
      <c r="I30" s="177"/>
    </row>
    <row r="31" spans="1:9" x14ac:dyDescent="0.2">
      <c r="A31" s="588"/>
      <c r="B31" s="589"/>
      <c r="C31" s="605" t="s">
        <v>485</v>
      </c>
      <c r="D31" s="589"/>
      <c r="E31" s="594">
        <v>40</v>
      </c>
      <c r="F31" s="593"/>
      <c r="G31" s="594"/>
      <c r="H31" s="593"/>
      <c r="I31" s="177"/>
    </row>
    <row r="32" spans="1:9" x14ac:dyDescent="0.2">
      <c r="A32" s="588"/>
      <c r="B32" s="589" t="s">
        <v>188</v>
      </c>
      <c r="C32" s="607" t="s">
        <v>324</v>
      </c>
      <c r="D32" s="590" t="s">
        <v>17</v>
      </c>
      <c r="E32" s="591">
        <f>SUM(E33:E33)</f>
        <v>80</v>
      </c>
      <c r="F32" s="592">
        <f>salaries!H19</f>
        <v>16</v>
      </c>
      <c r="G32" s="591">
        <f>F32*E32</f>
        <v>1280</v>
      </c>
      <c r="H32" s="592"/>
      <c r="I32" s="168"/>
    </row>
    <row r="33" spans="1:9" x14ac:dyDescent="0.2">
      <c r="A33" s="608"/>
      <c r="B33" s="596"/>
      <c r="C33" s="595" t="s">
        <v>484</v>
      </c>
      <c r="D33" s="596"/>
      <c r="E33" s="597">
        <v>80</v>
      </c>
      <c r="F33" s="609"/>
      <c r="G33" s="597"/>
      <c r="H33" s="609">
        <f>SUM(G29:G33)</f>
        <v>2840</v>
      </c>
      <c r="I33" s="177"/>
    </row>
    <row r="34" spans="1:9" x14ac:dyDescent="0.2">
      <c r="A34" s="610" t="s">
        <v>309</v>
      </c>
      <c r="B34" s="611" t="s">
        <v>824</v>
      </c>
      <c r="C34" s="612" t="s">
        <v>324</v>
      </c>
      <c r="D34" s="613" t="s">
        <v>17</v>
      </c>
      <c r="E34" s="614">
        <f>SUM(E35:E35)</f>
        <v>40</v>
      </c>
      <c r="F34" s="615">
        <f>salaries!H22</f>
        <v>38</v>
      </c>
      <c r="G34" s="614">
        <f>F34*E34</f>
        <v>1520</v>
      </c>
      <c r="H34" s="616"/>
      <c r="I34" s="177"/>
    </row>
    <row r="35" spans="1:9" x14ac:dyDescent="0.2">
      <c r="A35" s="617"/>
      <c r="B35" s="618"/>
      <c r="C35" s="619" t="s">
        <v>485</v>
      </c>
      <c r="D35" s="620"/>
      <c r="E35" s="621">
        <v>40</v>
      </c>
      <c r="F35" s="622"/>
      <c r="G35" s="621"/>
      <c r="H35" s="622"/>
      <c r="I35" s="322"/>
    </row>
    <row r="36" spans="1:9" x14ac:dyDescent="0.2">
      <c r="A36" s="617"/>
      <c r="B36" s="618" t="s">
        <v>316</v>
      </c>
      <c r="C36" s="624" t="s">
        <v>324</v>
      </c>
      <c r="D36" s="625" t="s">
        <v>17</v>
      </c>
      <c r="E36" s="626">
        <f>SUM(E38:E38)</f>
        <v>80</v>
      </c>
      <c r="F36" s="632">
        <f>salaries!H23</f>
        <v>36</v>
      </c>
      <c r="G36" s="633">
        <f>F36*E36</f>
        <v>2880</v>
      </c>
      <c r="H36" s="622"/>
      <c r="I36" s="177"/>
    </row>
    <row r="37" spans="1:9" x14ac:dyDescent="0.2">
      <c r="A37" s="617"/>
      <c r="B37" s="618"/>
      <c r="C37" s="619" t="s">
        <v>899</v>
      </c>
      <c r="D37" s="2034"/>
      <c r="E37" s="1289">
        <v>80</v>
      </c>
      <c r="F37" s="632"/>
      <c r="G37" s="633"/>
      <c r="H37" s="622"/>
      <c r="I37" s="177"/>
    </row>
    <row r="38" spans="1:9" x14ac:dyDescent="0.2">
      <c r="A38" s="627"/>
      <c r="B38" s="628"/>
      <c r="C38" s="684" t="s">
        <v>484</v>
      </c>
      <c r="D38" s="629"/>
      <c r="E38" s="630">
        <v>80</v>
      </c>
      <c r="F38" s="631"/>
      <c r="G38" s="630"/>
      <c r="H38" s="631">
        <f>SUM(G34:G38)</f>
        <v>4400</v>
      </c>
      <c r="I38" s="177"/>
    </row>
    <row r="39" spans="1:9" x14ac:dyDescent="0.2">
      <c r="A39" s="634" t="s">
        <v>310</v>
      </c>
      <c r="B39" s="635" t="s">
        <v>213</v>
      </c>
      <c r="C39" s="636" t="s">
        <v>324</v>
      </c>
      <c r="D39" s="637" t="s">
        <v>17</v>
      </c>
      <c r="E39" s="638">
        <f>SUM(E40:E40)</f>
        <v>40</v>
      </c>
      <c r="F39" s="639">
        <f>salaries!H25</f>
        <v>40</v>
      </c>
      <c r="G39" s="638">
        <f>F39*E39</f>
        <v>1600</v>
      </c>
      <c r="H39" s="639"/>
      <c r="I39" s="177"/>
    </row>
    <row r="40" spans="1:9" x14ac:dyDescent="0.2">
      <c r="A40" s="640"/>
      <c r="B40" s="641"/>
      <c r="C40" s="642" t="s">
        <v>485</v>
      </c>
      <c r="D40" s="643"/>
      <c r="E40" s="644">
        <v>40</v>
      </c>
      <c r="F40" s="645"/>
      <c r="G40" s="644"/>
      <c r="H40" s="645"/>
      <c r="I40" s="177"/>
    </row>
    <row r="41" spans="1:9" x14ac:dyDescent="0.2">
      <c r="A41" s="647"/>
      <c r="B41" s="641" t="s">
        <v>215</v>
      </c>
      <c r="C41" s="648" t="s">
        <v>324</v>
      </c>
      <c r="D41" s="649" t="s">
        <v>17</v>
      </c>
      <c r="E41" s="650">
        <f>SUM(E43:E43)</f>
        <v>80</v>
      </c>
      <c r="F41" s="682">
        <f>salaries!H27</f>
        <v>32</v>
      </c>
      <c r="G41" s="683">
        <f>F41*E41</f>
        <v>2560</v>
      </c>
      <c r="H41" s="645"/>
      <c r="I41" s="177"/>
    </row>
    <row r="42" spans="1:9" x14ac:dyDescent="0.2">
      <c r="A42" s="647"/>
      <c r="B42" s="641"/>
      <c r="C42" s="642" t="s">
        <v>899</v>
      </c>
      <c r="D42" s="1527"/>
      <c r="E42" s="1528">
        <v>80</v>
      </c>
      <c r="F42" s="682"/>
      <c r="G42" s="683"/>
      <c r="H42" s="645"/>
      <c r="I42" s="177"/>
    </row>
    <row r="43" spans="1:9" x14ac:dyDescent="0.2">
      <c r="A43" s="651"/>
      <c r="B43" s="652"/>
      <c r="C43" s="653" t="s">
        <v>484</v>
      </c>
      <c r="D43" s="652"/>
      <c r="E43" s="654">
        <v>80</v>
      </c>
      <c r="F43" s="655"/>
      <c r="G43" s="654"/>
      <c r="H43" s="655">
        <f>SUM(G39:G43)</f>
        <v>4160</v>
      </c>
      <c r="I43" s="177"/>
    </row>
    <row r="44" spans="1:9" x14ac:dyDescent="0.2">
      <c r="A44" s="669" t="s">
        <v>311</v>
      </c>
      <c r="B44" s="670" t="s">
        <v>217</v>
      </c>
      <c r="C44" s="671" t="s">
        <v>324</v>
      </c>
      <c r="D44" s="672" t="s">
        <v>17</v>
      </c>
      <c r="E44" s="673">
        <f>SUM(E45:E46)</f>
        <v>360</v>
      </c>
      <c r="F44" s="674">
        <f>salaries!H29</f>
        <v>15</v>
      </c>
      <c r="G44" s="673">
        <f>F44*E44</f>
        <v>5400</v>
      </c>
      <c r="H44" s="675"/>
      <c r="I44" s="177"/>
    </row>
    <row r="45" spans="1:9" x14ac:dyDescent="0.2">
      <c r="A45" s="656"/>
      <c r="B45" s="657"/>
      <c r="C45" s="676" t="s">
        <v>485</v>
      </c>
      <c r="D45" s="662"/>
      <c r="E45" s="663">
        <v>40</v>
      </c>
      <c r="F45" s="661"/>
      <c r="G45" s="663"/>
      <c r="H45" s="661"/>
      <c r="I45" s="177"/>
    </row>
    <row r="46" spans="1:9" x14ac:dyDescent="0.2">
      <c r="A46" s="656"/>
      <c r="B46" s="657"/>
      <c r="C46" s="677" t="s">
        <v>487</v>
      </c>
      <c r="D46" s="662"/>
      <c r="E46" s="663">
        <v>320</v>
      </c>
      <c r="F46" s="661"/>
      <c r="G46" s="663"/>
      <c r="H46" s="661"/>
      <c r="I46" s="322"/>
    </row>
    <row r="47" spans="1:9" s="68" customFormat="1" x14ac:dyDescent="0.2">
      <c r="A47" s="664"/>
      <c r="B47" s="662" t="s">
        <v>800</v>
      </c>
      <c r="C47" s="678" t="s">
        <v>324</v>
      </c>
      <c r="D47" s="658" t="s">
        <v>17</v>
      </c>
      <c r="E47" s="659">
        <f>SUM(E48:E48)</f>
        <v>320</v>
      </c>
      <c r="F47" s="660">
        <f>salaries!H31</f>
        <v>11</v>
      </c>
      <c r="G47" s="659">
        <f>F47*E47</f>
        <v>3520</v>
      </c>
      <c r="H47" s="660"/>
      <c r="I47" s="168"/>
    </row>
    <row r="48" spans="1:9" s="68" customFormat="1" x14ac:dyDescent="0.2">
      <c r="A48" s="679"/>
      <c r="B48" s="667"/>
      <c r="C48" s="666" t="s">
        <v>486</v>
      </c>
      <c r="D48" s="667"/>
      <c r="E48" s="668">
        <v>320</v>
      </c>
      <c r="F48" s="680"/>
      <c r="G48" s="668"/>
      <c r="H48" s="680">
        <f>SUM(G44:G48)</f>
        <v>8920</v>
      </c>
      <c r="I48" s="95"/>
    </row>
    <row r="49" spans="1:9" x14ac:dyDescent="0.2">
      <c r="A49" s="853" t="s">
        <v>407</v>
      </c>
      <c r="B49" s="854" t="s">
        <v>221</v>
      </c>
      <c r="C49" s="838" t="s">
        <v>324</v>
      </c>
      <c r="D49" s="839" t="s">
        <v>17</v>
      </c>
      <c r="E49" s="840">
        <v>360</v>
      </c>
      <c r="F49" s="855">
        <f>salaries!H34</f>
        <v>15</v>
      </c>
      <c r="G49" s="840">
        <f>F49*E49</f>
        <v>5400</v>
      </c>
      <c r="H49" s="856"/>
      <c r="I49" s="177"/>
    </row>
    <row r="50" spans="1:9" x14ac:dyDescent="0.2">
      <c r="A50" s="836"/>
      <c r="B50" s="837"/>
      <c r="C50" s="844" t="s">
        <v>485</v>
      </c>
      <c r="D50" s="845"/>
      <c r="E50" s="846">
        <v>40</v>
      </c>
      <c r="F50" s="843"/>
      <c r="G50" s="846"/>
      <c r="H50" s="843"/>
      <c r="I50" s="177"/>
    </row>
    <row r="51" spans="1:9" x14ac:dyDescent="0.2">
      <c r="A51" s="836"/>
      <c r="B51" s="837"/>
      <c r="C51" s="847" t="s">
        <v>487</v>
      </c>
      <c r="D51" s="845"/>
      <c r="E51" s="846">
        <v>320</v>
      </c>
      <c r="F51" s="843"/>
      <c r="G51" s="846"/>
      <c r="H51" s="843"/>
      <c r="I51" s="322"/>
    </row>
    <row r="52" spans="1:9" x14ac:dyDescent="0.2">
      <c r="A52" s="836"/>
      <c r="B52" s="837" t="s">
        <v>224</v>
      </c>
      <c r="C52" s="848" t="s">
        <v>324</v>
      </c>
      <c r="D52" s="849" t="s">
        <v>17</v>
      </c>
      <c r="E52" s="842">
        <v>320</v>
      </c>
      <c r="F52" s="860">
        <f>salaries!H37</f>
        <v>12</v>
      </c>
      <c r="G52" s="861">
        <f>F52*E52</f>
        <v>3840</v>
      </c>
      <c r="H52" s="843"/>
      <c r="I52" s="177"/>
    </row>
    <row r="53" spans="1:9" x14ac:dyDescent="0.2">
      <c r="A53" s="857"/>
      <c r="B53" s="858"/>
      <c r="C53" s="850" t="s">
        <v>486</v>
      </c>
      <c r="D53" s="851"/>
      <c r="E53" s="852">
        <v>320</v>
      </c>
      <c r="F53" s="859"/>
      <c r="G53" s="852"/>
      <c r="H53" s="859">
        <f>SUM(G49:G53)</f>
        <v>9240</v>
      </c>
      <c r="I53" s="177"/>
    </row>
    <row r="54" spans="1:9" x14ac:dyDescent="0.2">
      <c r="A54" s="867" t="s">
        <v>408</v>
      </c>
      <c r="B54" s="868" t="s">
        <v>225</v>
      </c>
      <c r="C54" s="869" t="s">
        <v>324</v>
      </c>
      <c r="D54" s="870" t="s">
        <v>17</v>
      </c>
      <c r="E54" s="871">
        <f>SUM(E55:E56)</f>
        <v>360</v>
      </c>
      <c r="F54" s="872">
        <f>salaries!H38</f>
        <v>11</v>
      </c>
      <c r="G54" s="871">
        <f>F54*E54</f>
        <v>3960</v>
      </c>
      <c r="H54" s="873"/>
      <c r="I54" s="177"/>
    </row>
    <row r="55" spans="1:9" x14ac:dyDescent="0.2">
      <c r="A55" s="548"/>
      <c r="B55" s="549"/>
      <c r="C55" s="556" t="s">
        <v>485</v>
      </c>
      <c r="D55" s="549"/>
      <c r="E55" s="554">
        <v>40</v>
      </c>
      <c r="F55" s="553"/>
      <c r="G55" s="554"/>
      <c r="H55" s="553"/>
      <c r="I55" s="177"/>
    </row>
    <row r="56" spans="1:9" x14ac:dyDescent="0.2">
      <c r="A56" s="548"/>
      <c r="B56" s="549"/>
      <c r="C56" s="862" t="s">
        <v>487</v>
      </c>
      <c r="D56" s="549"/>
      <c r="E56" s="554">
        <v>320</v>
      </c>
      <c r="F56" s="553"/>
      <c r="G56" s="554"/>
      <c r="H56" s="553"/>
      <c r="I56" s="322"/>
    </row>
    <row r="57" spans="1:9" s="105" customFormat="1" x14ac:dyDescent="0.2">
      <c r="A57" s="548"/>
      <c r="B57" s="863" t="s">
        <v>228</v>
      </c>
      <c r="C57" s="555" t="s">
        <v>324</v>
      </c>
      <c r="D57" s="550" t="s">
        <v>17</v>
      </c>
      <c r="E57" s="551">
        <f>SUM(E58:E58)</f>
        <v>320</v>
      </c>
      <c r="F57" s="552">
        <f>salaries!H41</f>
        <v>9</v>
      </c>
      <c r="G57" s="551">
        <f>F57*E57</f>
        <v>2880</v>
      </c>
      <c r="H57" s="552"/>
      <c r="I57" s="168"/>
    </row>
    <row r="58" spans="1:9" s="105" customFormat="1" x14ac:dyDescent="0.2">
      <c r="A58" s="874"/>
      <c r="B58" s="865"/>
      <c r="C58" s="864" t="s">
        <v>486</v>
      </c>
      <c r="D58" s="865"/>
      <c r="E58" s="866">
        <v>320</v>
      </c>
      <c r="F58" s="875"/>
      <c r="G58" s="866"/>
      <c r="H58" s="875">
        <f>SUM(G54:G58)</f>
        <v>6840</v>
      </c>
      <c r="I58" s="323"/>
    </row>
    <row r="59" spans="1:9" x14ac:dyDescent="0.2">
      <c r="A59" s="890" t="s">
        <v>409</v>
      </c>
      <c r="B59" s="891" t="s">
        <v>801</v>
      </c>
      <c r="C59" s="892" t="s">
        <v>324</v>
      </c>
      <c r="D59" s="893" t="s">
        <v>17</v>
      </c>
      <c r="E59" s="894">
        <f>SUM(E60:E61)</f>
        <v>360</v>
      </c>
      <c r="F59" s="895">
        <f>salaries!H44</f>
        <v>17</v>
      </c>
      <c r="G59" s="894">
        <f>F59*E59</f>
        <v>6120</v>
      </c>
      <c r="H59" s="896"/>
      <c r="I59" s="177"/>
    </row>
    <row r="60" spans="1:9" x14ac:dyDescent="0.2">
      <c r="A60" s="876"/>
      <c r="B60" s="877"/>
      <c r="C60" s="883" t="s">
        <v>485</v>
      </c>
      <c r="D60" s="884"/>
      <c r="E60" s="885">
        <v>40</v>
      </c>
      <c r="F60" s="882"/>
      <c r="G60" s="885"/>
      <c r="H60" s="882"/>
      <c r="I60" s="177"/>
    </row>
    <row r="61" spans="1:9" x14ac:dyDescent="0.2">
      <c r="A61" s="876"/>
      <c r="B61" s="877"/>
      <c r="C61" s="886" t="s">
        <v>487</v>
      </c>
      <c r="D61" s="884"/>
      <c r="E61" s="885">
        <v>320</v>
      </c>
      <c r="F61" s="882"/>
      <c r="G61" s="885"/>
      <c r="H61" s="882"/>
      <c r="I61" s="322"/>
    </row>
    <row r="62" spans="1:9" x14ac:dyDescent="0.2">
      <c r="A62" s="876"/>
      <c r="B62" s="877" t="s">
        <v>231</v>
      </c>
      <c r="C62" s="878" t="s">
        <v>324</v>
      </c>
      <c r="D62" s="879" t="s">
        <v>17</v>
      </c>
      <c r="E62" s="880">
        <f>SUM(E63:E63)</f>
        <v>320</v>
      </c>
      <c r="F62" s="881">
        <f>salaries!H46</f>
        <v>10</v>
      </c>
      <c r="G62" s="880">
        <f>F62*E62</f>
        <v>3200</v>
      </c>
      <c r="H62" s="881"/>
      <c r="I62" s="168"/>
    </row>
    <row r="63" spans="1:9" x14ac:dyDescent="0.2">
      <c r="A63" s="897"/>
      <c r="B63" s="898"/>
      <c r="C63" s="887" t="s">
        <v>486</v>
      </c>
      <c r="D63" s="888"/>
      <c r="E63" s="889">
        <v>320</v>
      </c>
      <c r="F63" s="899"/>
      <c r="G63" s="889"/>
      <c r="H63" s="899">
        <f>SUM(G59:G63)</f>
        <v>9320</v>
      </c>
      <c r="I63" s="177"/>
    </row>
    <row r="64" spans="1:9" x14ac:dyDescent="0.2">
      <c r="A64" s="900" t="s">
        <v>410</v>
      </c>
      <c r="B64" s="901" t="s">
        <v>232</v>
      </c>
      <c r="C64" s="902" t="s">
        <v>324</v>
      </c>
      <c r="D64" s="903" t="s">
        <v>17</v>
      </c>
      <c r="E64" s="904">
        <f>SUM(E65:E66)</f>
        <v>360</v>
      </c>
      <c r="F64" s="905">
        <f>salaries!H47</f>
        <v>11</v>
      </c>
      <c r="G64" s="904">
        <f>F64*E64</f>
        <v>3960</v>
      </c>
      <c r="H64" s="906"/>
      <c r="I64" s="177"/>
    </row>
    <row r="65" spans="1:10" x14ac:dyDescent="0.2">
      <c r="A65" s="907"/>
      <c r="B65" s="908"/>
      <c r="C65" s="909" t="s">
        <v>485</v>
      </c>
      <c r="D65" s="908"/>
      <c r="E65" s="910">
        <v>40</v>
      </c>
      <c r="F65" s="911"/>
      <c r="G65" s="910"/>
      <c r="H65" s="911"/>
      <c r="I65" s="177"/>
    </row>
    <row r="66" spans="1:10" x14ac:dyDescent="0.2">
      <c r="A66" s="907"/>
      <c r="B66" s="908"/>
      <c r="C66" s="912" t="s">
        <v>487</v>
      </c>
      <c r="D66" s="908"/>
      <c r="E66" s="910">
        <v>320</v>
      </c>
      <c r="F66" s="911"/>
      <c r="G66" s="910"/>
      <c r="H66" s="911"/>
      <c r="I66" s="322"/>
    </row>
    <row r="67" spans="1:10" s="68" customFormat="1" x14ac:dyDescent="0.2">
      <c r="A67" s="913"/>
      <c r="B67" s="908" t="s">
        <v>235</v>
      </c>
      <c r="C67" s="916" t="s">
        <v>324</v>
      </c>
      <c r="D67" s="917" t="s">
        <v>17</v>
      </c>
      <c r="E67" s="915">
        <f>SUM(E68:E68)</f>
        <v>320</v>
      </c>
      <c r="F67" s="914">
        <f>salaries!H50</f>
        <v>11</v>
      </c>
      <c r="G67" s="915">
        <f>F67*E67</f>
        <v>3520</v>
      </c>
      <c r="H67" s="914"/>
      <c r="I67" s="168"/>
    </row>
    <row r="68" spans="1:10" s="68" customFormat="1" x14ac:dyDescent="0.2">
      <c r="A68" s="918"/>
      <c r="B68" s="919"/>
      <c r="C68" s="920" t="s">
        <v>486</v>
      </c>
      <c r="D68" s="919"/>
      <c r="E68" s="921">
        <v>320</v>
      </c>
      <c r="F68" s="922"/>
      <c r="G68" s="921"/>
      <c r="H68" s="922">
        <f>SUM(G64:G68)</f>
        <v>7480</v>
      </c>
      <c r="I68" s="177"/>
    </row>
    <row r="69" spans="1:10" s="68" customFormat="1" x14ac:dyDescent="0.2">
      <c r="A69" s="952" t="s">
        <v>411</v>
      </c>
      <c r="B69" s="953" t="s">
        <v>236</v>
      </c>
      <c r="C69" s="954" t="s">
        <v>324</v>
      </c>
      <c r="D69" s="955" t="s">
        <v>17</v>
      </c>
      <c r="E69" s="956">
        <f>SUM(E70:E71)</f>
        <v>360</v>
      </c>
      <c r="F69" s="957">
        <f>salaries!H51</f>
        <v>20</v>
      </c>
      <c r="G69" s="956">
        <f>F69*E69</f>
        <v>7200</v>
      </c>
      <c r="H69" s="958"/>
      <c r="I69" s="177"/>
    </row>
    <row r="70" spans="1:10" s="68" customFormat="1" x14ac:dyDescent="0.2">
      <c r="A70" s="923"/>
      <c r="B70" s="924"/>
      <c r="C70" s="930" t="s">
        <v>485</v>
      </c>
      <c r="D70" s="924"/>
      <c r="E70" s="931">
        <v>40</v>
      </c>
      <c r="F70" s="929"/>
      <c r="G70" s="931"/>
      <c r="H70" s="929"/>
      <c r="I70" s="177"/>
    </row>
    <row r="71" spans="1:10" s="68" customFormat="1" x14ac:dyDescent="0.2">
      <c r="A71" s="923"/>
      <c r="B71" s="924"/>
      <c r="C71" s="932" t="s">
        <v>487</v>
      </c>
      <c r="D71" s="924"/>
      <c r="E71" s="931">
        <v>320</v>
      </c>
      <c r="F71" s="929"/>
      <c r="G71" s="931"/>
      <c r="H71" s="929"/>
      <c r="I71" s="322"/>
    </row>
    <row r="72" spans="1:10" s="68" customFormat="1" x14ac:dyDescent="0.2">
      <c r="A72" s="923"/>
      <c r="B72" s="924" t="s">
        <v>238</v>
      </c>
      <c r="C72" s="925" t="s">
        <v>324</v>
      </c>
      <c r="D72" s="926" t="s">
        <v>17</v>
      </c>
      <c r="E72" s="927">
        <f>SUM(E73:E73)</f>
        <v>320</v>
      </c>
      <c r="F72" s="966">
        <f>salaries!H53</f>
        <v>18</v>
      </c>
      <c r="G72" s="967">
        <f>F72*E72</f>
        <v>5760</v>
      </c>
      <c r="H72" s="929"/>
      <c r="I72" s="177"/>
    </row>
    <row r="73" spans="1:10" s="68" customFormat="1" x14ac:dyDescent="0.2">
      <c r="A73" s="959"/>
      <c r="B73" s="934"/>
      <c r="C73" s="933" t="s">
        <v>486</v>
      </c>
      <c r="D73" s="934"/>
      <c r="E73" s="935">
        <v>320</v>
      </c>
      <c r="F73" s="960"/>
      <c r="G73" s="935"/>
      <c r="H73" s="960">
        <f>SUM(G69:G73)</f>
        <v>12960</v>
      </c>
      <c r="I73" s="177"/>
    </row>
    <row r="74" spans="1:10" s="68" customFormat="1" x14ac:dyDescent="0.2">
      <c r="A74" s="961" t="s">
        <v>412</v>
      </c>
      <c r="B74" s="968" t="s">
        <v>240</v>
      </c>
      <c r="C74" s="938" t="s">
        <v>324</v>
      </c>
      <c r="D74" s="939" t="s">
        <v>17</v>
      </c>
      <c r="E74" s="940">
        <f>SUM(E75:E76)</f>
        <v>360</v>
      </c>
      <c r="F74" s="962">
        <f>salaries!H55</f>
        <v>21</v>
      </c>
      <c r="G74" s="940">
        <f>F74*E74</f>
        <v>7560</v>
      </c>
      <c r="H74" s="963"/>
      <c r="I74" s="177"/>
    </row>
    <row r="75" spans="1:10" s="68" customFormat="1" x14ac:dyDescent="0.2">
      <c r="A75" s="936"/>
      <c r="B75" s="944"/>
      <c r="C75" s="945" t="s">
        <v>485</v>
      </c>
      <c r="D75" s="944"/>
      <c r="E75" s="946">
        <v>40</v>
      </c>
      <c r="F75" s="943"/>
      <c r="G75" s="946"/>
      <c r="H75" s="943"/>
      <c r="I75" s="177"/>
    </row>
    <row r="76" spans="1:10" s="68" customFormat="1" x14ac:dyDescent="0.2">
      <c r="A76" s="936"/>
      <c r="B76" s="944"/>
      <c r="C76" s="947" t="s">
        <v>487</v>
      </c>
      <c r="D76" s="944"/>
      <c r="E76" s="946">
        <v>320</v>
      </c>
      <c r="F76" s="943"/>
      <c r="G76" s="946"/>
      <c r="H76" s="943"/>
      <c r="I76" s="322"/>
    </row>
    <row r="77" spans="1:10" s="68" customFormat="1" x14ac:dyDescent="0.2">
      <c r="A77" s="936"/>
      <c r="B77" s="944" t="s">
        <v>241</v>
      </c>
      <c r="C77" s="948" t="s">
        <v>324</v>
      </c>
      <c r="D77" s="1270" t="s">
        <v>17</v>
      </c>
      <c r="E77" s="942">
        <f>SUM(E78)</f>
        <v>320</v>
      </c>
      <c r="F77" s="1271">
        <f>salaries!H56</f>
        <v>20</v>
      </c>
      <c r="G77" s="1272">
        <f>F77*E77</f>
        <v>6400</v>
      </c>
      <c r="H77" s="943"/>
      <c r="I77" s="177"/>
    </row>
    <row r="78" spans="1:10" s="68" customFormat="1" x14ac:dyDescent="0.2">
      <c r="A78" s="964"/>
      <c r="B78" s="950"/>
      <c r="C78" s="949" t="s">
        <v>486</v>
      </c>
      <c r="D78" s="950"/>
      <c r="E78" s="951">
        <v>320</v>
      </c>
      <c r="F78" s="965"/>
      <c r="G78" s="951"/>
      <c r="H78" s="965">
        <f>SUM(G74:G78)</f>
        <v>13960</v>
      </c>
      <c r="I78" s="177"/>
    </row>
    <row r="79" spans="1:10" x14ac:dyDescent="0.2">
      <c r="A79" s="78" t="s">
        <v>8</v>
      </c>
      <c r="B79" s="12"/>
      <c r="C79" s="260"/>
      <c r="D79" s="12" t="s">
        <v>34</v>
      </c>
      <c r="E79" s="145"/>
      <c r="F79" s="27"/>
      <c r="G79" s="27" t="s">
        <v>35</v>
      </c>
      <c r="H79" s="28">
        <f>SUM(H6:H78)</f>
        <v>130136</v>
      </c>
      <c r="J79" s="97"/>
    </row>
    <row r="80" spans="1:10" x14ac:dyDescent="0.2">
      <c r="A80" s="76" t="s">
        <v>24</v>
      </c>
      <c r="B80" s="6"/>
      <c r="C80" s="255"/>
      <c r="D80" s="6"/>
      <c r="E80" s="144"/>
      <c r="F80" s="21"/>
      <c r="G80" s="21"/>
      <c r="H80" s="22">
        <f>SUM(G80:G80)</f>
        <v>0</v>
      </c>
    </row>
    <row r="81" spans="1:9" x14ac:dyDescent="0.2">
      <c r="A81" s="1275" t="s">
        <v>107</v>
      </c>
      <c r="B81" s="1273" t="s">
        <v>119</v>
      </c>
      <c r="C81" s="1276" t="s">
        <v>120</v>
      </c>
      <c r="D81" s="1273" t="s">
        <v>14</v>
      </c>
      <c r="E81" s="1277">
        <v>1</v>
      </c>
      <c r="F81" s="1274">
        <v>20000</v>
      </c>
      <c r="G81" s="1278">
        <f>F81*E81</f>
        <v>20000</v>
      </c>
      <c r="H81" s="1274"/>
    </row>
    <row r="82" spans="1:9" x14ac:dyDescent="0.2">
      <c r="A82" s="1279"/>
      <c r="B82" s="520"/>
      <c r="C82" s="1280"/>
      <c r="D82" s="520"/>
      <c r="E82" s="1281"/>
      <c r="F82" s="1282"/>
      <c r="G82" s="1283"/>
      <c r="H82" s="1282">
        <f>SUM(G81:G82)</f>
        <v>20000</v>
      </c>
    </row>
    <row r="83" spans="1:9" x14ac:dyDescent="0.2">
      <c r="A83" s="78" t="s">
        <v>74</v>
      </c>
      <c r="B83" s="12"/>
      <c r="C83" s="260"/>
      <c r="D83" s="12"/>
      <c r="E83" s="145"/>
      <c r="F83" s="27"/>
      <c r="G83" s="154"/>
      <c r="H83" s="28">
        <f>SUM(H81:H82)</f>
        <v>20000</v>
      </c>
    </row>
    <row r="84" spans="1:9" x14ac:dyDescent="0.2">
      <c r="A84" s="76" t="s">
        <v>25</v>
      </c>
      <c r="B84" s="6"/>
      <c r="C84" s="255"/>
      <c r="D84" s="6"/>
      <c r="E84" s="144"/>
      <c r="F84" s="21"/>
      <c r="G84" s="21"/>
      <c r="H84" s="22">
        <f>SUM(G84:G84)</f>
        <v>0</v>
      </c>
    </row>
    <row r="85" spans="1:9" x14ac:dyDescent="0.2">
      <c r="A85" s="1394" t="s">
        <v>107</v>
      </c>
      <c r="B85" s="121" t="s">
        <v>507</v>
      </c>
      <c r="C85" s="221" t="s">
        <v>515</v>
      </c>
      <c r="D85" s="122" t="s">
        <v>115</v>
      </c>
      <c r="E85" s="113">
        <v>1</v>
      </c>
      <c r="F85" s="123">
        <v>204</v>
      </c>
      <c r="G85" s="1395">
        <f t="shared" ref="G85:G90" si="0">F85*E85</f>
        <v>204</v>
      </c>
      <c r="H85" s="113"/>
      <c r="I85" s="2189" t="s">
        <v>1013</v>
      </c>
    </row>
    <row r="86" spans="1:9" x14ac:dyDescent="0.2">
      <c r="A86" s="92"/>
      <c r="B86" s="124"/>
      <c r="C86" s="222" t="s">
        <v>516</v>
      </c>
      <c r="D86" s="112" t="s">
        <v>36</v>
      </c>
      <c r="E86" s="115">
        <v>2</v>
      </c>
      <c r="F86" s="125">
        <v>150</v>
      </c>
      <c r="G86" s="107">
        <f t="shared" si="0"/>
        <v>300</v>
      </c>
      <c r="H86" s="115">
        <f>SUM(G85:G86)</f>
        <v>504</v>
      </c>
    </row>
    <row r="87" spans="1:9" x14ac:dyDescent="0.2">
      <c r="A87" s="532" t="s">
        <v>203</v>
      </c>
      <c r="B87" s="1173" t="s">
        <v>507</v>
      </c>
      <c r="C87" s="1174" t="s">
        <v>512</v>
      </c>
      <c r="D87" s="1175" t="s">
        <v>115</v>
      </c>
      <c r="E87" s="567">
        <v>1</v>
      </c>
      <c r="F87" s="1176">
        <v>200</v>
      </c>
      <c r="G87" s="569">
        <f t="shared" si="0"/>
        <v>200</v>
      </c>
      <c r="H87" s="567"/>
    </row>
    <row r="88" spans="1:9" x14ac:dyDescent="0.2">
      <c r="A88" s="532"/>
      <c r="B88" s="1177"/>
      <c r="C88" s="1174" t="s">
        <v>516</v>
      </c>
      <c r="D88" s="1175" t="s">
        <v>36</v>
      </c>
      <c r="E88" s="567">
        <v>2</v>
      </c>
      <c r="F88" s="1176">
        <v>150</v>
      </c>
      <c r="G88" s="569">
        <f t="shared" si="0"/>
        <v>300</v>
      </c>
      <c r="H88" s="567">
        <f>SUM(G87:G88)</f>
        <v>500</v>
      </c>
    </row>
    <row r="89" spans="1:9" x14ac:dyDescent="0.2">
      <c r="A89" s="557" t="s">
        <v>204</v>
      </c>
      <c r="B89" s="1178" t="s">
        <v>507</v>
      </c>
      <c r="C89" s="1179" t="s">
        <v>476</v>
      </c>
      <c r="D89" s="1180" t="s">
        <v>115</v>
      </c>
      <c r="E89" s="547">
        <v>1</v>
      </c>
      <c r="F89" s="1181">
        <v>200</v>
      </c>
      <c r="G89" s="564">
        <f t="shared" si="0"/>
        <v>200</v>
      </c>
      <c r="H89" s="547"/>
    </row>
    <row r="90" spans="1:9" x14ac:dyDescent="0.2">
      <c r="A90" s="557"/>
      <c r="B90" s="1182"/>
      <c r="C90" s="1179" t="s">
        <v>516</v>
      </c>
      <c r="D90" s="1180" t="s">
        <v>36</v>
      </c>
      <c r="E90" s="547">
        <v>2</v>
      </c>
      <c r="F90" s="1181">
        <v>150</v>
      </c>
      <c r="G90" s="564">
        <f t="shared" si="0"/>
        <v>300</v>
      </c>
      <c r="H90" s="547">
        <f>SUM(G89:G90)</f>
        <v>500</v>
      </c>
    </row>
    <row r="91" spans="1:9" x14ac:dyDescent="0.2">
      <c r="A91" s="588" t="s">
        <v>308</v>
      </c>
      <c r="B91" s="1183" t="s">
        <v>507</v>
      </c>
      <c r="C91" s="1184" t="s">
        <v>513</v>
      </c>
      <c r="D91" s="1185" t="s">
        <v>115</v>
      </c>
      <c r="E91" s="593">
        <v>2</v>
      </c>
      <c r="F91" s="1186">
        <v>200</v>
      </c>
      <c r="G91" s="594">
        <f t="shared" ref="G91:G110" si="1">F91*E91</f>
        <v>400</v>
      </c>
      <c r="H91" s="593"/>
    </row>
    <row r="92" spans="1:9" x14ac:dyDescent="0.2">
      <c r="A92" s="588"/>
      <c r="B92" s="1183"/>
      <c r="C92" s="1184" t="s">
        <v>511</v>
      </c>
      <c r="D92" s="1185" t="s">
        <v>36</v>
      </c>
      <c r="E92" s="593">
        <v>4</v>
      </c>
      <c r="F92" s="1186">
        <v>150</v>
      </c>
      <c r="G92" s="594">
        <f t="shared" si="1"/>
        <v>600</v>
      </c>
      <c r="H92" s="593">
        <f>SUM(G91:G92)</f>
        <v>1000</v>
      </c>
    </row>
    <row r="93" spans="1:9" x14ac:dyDescent="0.2">
      <c r="A93" s="617" t="s">
        <v>309</v>
      </c>
      <c r="B93" s="1187" t="s">
        <v>507</v>
      </c>
      <c r="C93" s="1188" t="s">
        <v>514</v>
      </c>
      <c r="D93" s="1189" t="s">
        <v>115</v>
      </c>
      <c r="E93" s="622">
        <v>2</v>
      </c>
      <c r="F93" s="1190">
        <v>200</v>
      </c>
      <c r="G93" s="621">
        <f t="shared" si="1"/>
        <v>400</v>
      </c>
      <c r="H93" s="622"/>
    </row>
    <row r="94" spans="1:9" x14ac:dyDescent="0.2">
      <c r="A94" s="617"/>
      <c r="B94" s="1187"/>
      <c r="C94" s="1188" t="s">
        <v>511</v>
      </c>
      <c r="D94" s="1189" t="s">
        <v>36</v>
      </c>
      <c r="E94" s="622">
        <v>4</v>
      </c>
      <c r="F94" s="1190">
        <v>150</v>
      </c>
      <c r="G94" s="621">
        <f t="shared" si="1"/>
        <v>600</v>
      </c>
      <c r="H94" s="622">
        <f>SUM(G93:G94)</f>
        <v>1000</v>
      </c>
    </row>
    <row r="95" spans="1:9" x14ac:dyDescent="0.2">
      <c r="A95" s="640" t="s">
        <v>310</v>
      </c>
      <c r="B95" s="1191" t="s">
        <v>507</v>
      </c>
      <c r="C95" s="1192" t="s">
        <v>510</v>
      </c>
      <c r="D95" s="1193" t="s">
        <v>115</v>
      </c>
      <c r="E95" s="645">
        <v>2</v>
      </c>
      <c r="F95" s="1194">
        <v>200</v>
      </c>
      <c r="G95" s="644">
        <f t="shared" si="1"/>
        <v>400</v>
      </c>
      <c r="H95" s="645"/>
    </row>
    <row r="96" spans="1:9" x14ac:dyDescent="0.2">
      <c r="A96" s="640"/>
      <c r="B96" s="1191"/>
      <c r="C96" s="1192" t="s">
        <v>511</v>
      </c>
      <c r="D96" s="1193" t="s">
        <v>36</v>
      </c>
      <c r="E96" s="645">
        <v>4</v>
      </c>
      <c r="F96" s="1194">
        <v>150</v>
      </c>
      <c r="G96" s="644">
        <f t="shared" si="1"/>
        <v>600</v>
      </c>
      <c r="H96" s="645">
        <f>SUM(G95:G96)</f>
        <v>1000</v>
      </c>
    </row>
    <row r="97" spans="1:8" x14ac:dyDescent="0.2">
      <c r="A97" s="656" t="s">
        <v>311</v>
      </c>
      <c r="B97" s="665" t="s">
        <v>506</v>
      </c>
      <c r="C97" s="1195" t="s">
        <v>508</v>
      </c>
      <c r="D97" s="1196" t="s">
        <v>509</v>
      </c>
      <c r="E97" s="661">
        <v>6</v>
      </c>
      <c r="F97" s="1197">
        <v>100</v>
      </c>
      <c r="G97" s="663">
        <f t="shared" si="1"/>
        <v>600</v>
      </c>
      <c r="H97" s="661"/>
    </row>
    <row r="98" spans="1:8" x14ac:dyDescent="0.2">
      <c r="A98" s="656"/>
      <c r="B98" s="665"/>
      <c r="C98" s="1195" t="s">
        <v>740</v>
      </c>
      <c r="D98" s="1196" t="s">
        <v>36</v>
      </c>
      <c r="E98" s="661">
        <v>24</v>
      </c>
      <c r="F98" s="1197">
        <v>50</v>
      </c>
      <c r="G98" s="663">
        <f t="shared" si="1"/>
        <v>1200</v>
      </c>
      <c r="H98" s="661">
        <f>SUM(G97:G98)</f>
        <v>1800</v>
      </c>
    </row>
    <row r="99" spans="1:8" x14ac:dyDescent="0.2">
      <c r="A99" s="836" t="s">
        <v>407</v>
      </c>
      <c r="B99" s="1198" t="s">
        <v>506</v>
      </c>
      <c r="C99" s="1199" t="s">
        <v>508</v>
      </c>
      <c r="D99" s="1200" t="s">
        <v>509</v>
      </c>
      <c r="E99" s="843">
        <v>6</v>
      </c>
      <c r="F99" s="1201">
        <v>100</v>
      </c>
      <c r="G99" s="846">
        <f t="shared" si="1"/>
        <v>600</v>
      </c>
      <c r="H99" s="843"/>
    </row>
    <row r="100" spans="1:8" x14ac:dyDescent="0.2">
      <c r="A100" s="836"/>
      <c r="B100" s="1198"/>
      <c r="C100" s="1199" t="s">
        <v>90</v>
      </c>
      <c r="D100" s="1200" t="s">
        <v>36</v>
      </c>
      <c r="E100" s="843">
        <v>24</v>
      </c>
      <c r="F100" s="1201">
        <v>50</v>
      </c>
      <c r="G100" s="846">
        <f t="shared" si="1"/>
        <v>1200</v>
      </c>
      <c r="H100" s="843">
        <f>SUM(G99:G100)</f>
        <v>1800</v>
      </c>
    </row>
    <row r="101" spans="1:8" x14ac:dyDescent="0.2">
      <c r="A101" s="548" t="s">
        <v>408</v>
      </c>
      <c r="B101" s="1202" t="s">
        <v>506</v>
      </c>
      <c r="C101" s="1203" t="s">
        <v>508</v>
      </c>
      <c r="D101" s="1204" t="s">
        <v>509</v>
      </c>
      <c r="E101" s="553">
        <v>6</v>
      </c>
      <c r="F101" s="1205">
        <v>100</v>
      </c>
      <c r="G101" s="554">
        <f t="shared" si="1"/>
        <v>600</v>
      </c>
      <c r="H101" s="553"/>
    </row>
    <row r="102" spans="1:8" x14ac:dyDescent="0.2">
      <c r="A102" s="548"/>
      <c r="B102" s="1202"/>
      <c r="C102" s="1203" t="s">
        <v>90</v>
      </c>
      <c r="D102" s="1204" t="s">
        <v>36</v>
      </c>
      <c r="E102" s="553">
        <v>24</v>
      </c>
      <c r="F102" s="1205">
        <v>50</v>
      </c>
      <c r="G102" s="554">
        <f t="shared" si="1"/>
        <v>1200</v>
      </c>
      <c r="H102" s="553">
        <f>SUM(G101:G102)</f>
        <v>1800</v>
      </c>
    </row>
    <row r="103" spans="1:8" x14ac:dyDescent="0.2">
      <c r="A103" s="876" t="s">
        <v>409</v>
      </c>
      <c r="B103" s="1206" t="s">
        <v>506</v>
      </c>
      <c r="C103" s="1207" t="s">
        <v>508</v>
      </c>
      <c r="D103" s="1208" t="s">
        <v>509</v>
      </c>
      <c r="E103" s="882">
        <v>6</v>
      </c>
      <c r="F103" s="1209">
        <v>100</v>
      </c>
      <c r="G103" s="885">
        <f t="shared" si="1"/>
        <v>600</v>
      </c>
      <c r="H103" s="882"/>
    </row>
    <row r="104" spans="1:8" x14ac:dyDescent="0.2">
      <c r="A104" s="1210"/>
      <c r="B104" s="1206"/>
      <c r="C104" s="1207" t="s">
        <v>90</v>
      </c>
      <c r="D104" s="1208" t="s">
        <v>36</v>
      </c>
      <c r="E104" s="882">
        <v>24</v>
      </c>
      <c r="F104" s="1209">
        <v>50</v>
      </c>
      <c r="G104" s="885">
        <f t="shared" si="1"/>
        <v>1200</v>
      </c>
      <c r="H104" s="882">
        <f>SUM(G103:G104)</f>
        <v>1800</v>
      </c>
    </row>
    <row r="105" spans="1:8" x14ac:dyDescent="0.2">
      <c r="A105" s="907" t="s">
        <v>410</v>
      </c>
      <c r="B105" s="1211" t="s">
        <v>506</v>
      </c>
      <c r="C105" s="1212" t="s">
        <v>508</v>
      </c>
      <c r="D105" s="1213" t="s">
        <v>509</v>
      </c>
      <c r="E105" s="911">
        <v>6</v>
      </c>
      <c r="F105" s="1214">
        <v>100</v>
      </c>
      <c r="G105" s="910">
        <f t="shared" si="1"/>
        <v>600</v>
      </c>
      <c r="H105" s="911"/>
    </row>
    <row r="106" spans="1:8" x14ac:dyDescent="0.2">
      <c r="A106" s="907"/>
      <c r="B106" s="1211"/>
      <c r="C106" s="1212" t="s">
        <v>90</v>
      </c>
      <c r="D106" s="1213" t="s">
        <v>36</v>
      </c>
      <c r="E106" s="911">
        <v>24</v>
      </c>
      <c r="F106" s="1214">
        <v>50</v>
      </c>
      <c r="G106" s="910">
        <f t="shared" si="1"/>
        <v>1200</v>
      </c>
      <c r="H106" s="911">
        <f>SUM(G105:G106)</f>
        <v>1800</v>
      </c>
    </row>
    <row r="107" spans="1:8" x14ac:dyDescent="0.2">
      <c r="A107" s="923" t="s">
        <v>411</v>
      </c>
      <c r="B107" s="1215" t="s">
        <v>506</v>
      </c>
      <c r="C107" s="1216" t="s">
        <v>508</v>
      </c>
      <c r="D107" s="1217" t="s">
        <v>509</v>
      </c>
      <c r="E107" s="929">
        <v>6</v>
      </c>
      <c r="F107" s="1218">
        <v>100</v>
      </c>
      <c r="G107" s="931">
        <f t="shared" si="1"/>
        <v>600</v>
      </c>
      <c r="H107" s="929"/>
    </row>
    <row r="108" spans="1:8" x14ac:dyDescent="0.2">
      <c r="A108" s="923"/>
      <c r="B108" s="1215"/>
      <c r="C108" s="1216" t="s">
        <v>90</v>
      </c>
      <c r="D108" s="1217" t="s">
        <v>36</v>
      </c>
      <c r="E108" s="929">
        <v>24</v>
      </c>
      <c r="F108" s="1218">
        <v>50</v>
      </c>
      <c r="G108" s="931">
        <f t="shared" si="1"/>
        <v>1200</v>
      </c>
      <c r="H108" s="929">
        <f>SUM(G107:G108)</f>
        <v>1800</v>
      </c>
    </row>
    <row r="109" spans="1:8" x14ac:dyDescent="0.2">
      <c r="A109" s="936" t="s">
        <v>412</v>
      </c>
      <c r="B109" s="1219" t="s">
        <v>506</v>
      </c>
      <c r="C109" s="1220" t="s">
        <v>508</v>
      </c>
      <c r="D109" s="1221" t="s">
        <v>509</v>
      </c>
      <c r="E109" s="943">
        <v>6</v>
      </c>
      <c r="F109" s="1222">
        <v>100</v>
      </c>
      <c r="G109" s="946">
        <f t="shared" si="1"/>
        <v>600</v>
      </c>
      <c r="H109" s="943"/>
    </row>
    <row r="110" spans="1:8" x14ac:dyDescent="0.2">
      <c r="A110" s="964"/>
      <c r="B110" s="1396"/>
      <c r="C110" s="1397" t="s">
        <v>90</v>
      </c>
      <c r="D110" s="1398" t="s">
        <v>36</v>
      </c>
      <c r="E110" s="965">
        <v>24</v>
      </c>
      <c r="F110" s="1399">
        <v>50</v>
      </c>
      <c r="G110" s="951">
        <f t="shared" si="1"/>
        <v>1200</v>
      </c>
      <c r="H110" s="965">
        <f>SUM(G109:G110)</f>
        <v>1800</v>
      </c>
    </row>
    <row r="111" spans="1:8" x14ac:dyDescent="0.2">
      <c r="A111" s="1400" t="s">
        <v>9</v>
      </c>
      <c r="B111" s="50"/>
      <c r="C111" s="1401"/>
      <c r="D111" s="50"/>
      <c r="E111" s="1402"/>
      <c r="F111" s="51"/>
      <c r="G111" s="51"/>
      <c r="H111" s="51">
        <f>SUM(H85:H110)</f>
        <v>17104</v>
      </c>
    </row>
    <row r="112" spans="1:8" x14ac:dyDescent="0.2">
      <c r="A112" s="76" t="s">
        <v>27</v>
      </c>
      <c r="B112" s="6"/>
      <c r="C112" s="255"/>
      <c r="D112" s="6"/>
      <c r="E112" s="144"/>
      <c r="F112" s="21"/>
      <c r="G112" s="21"/>
      <c r="H112" s="22"/>
    </row>
    <row r="113" spans="1:8" x14ac:dyDescent="0.2">
      <c r="A113" s="77"/>
      <c r="B113" s="43" t="s">
        <v>37</v>
      </c>
      <c r="C113" s="261"/>
      <c r="D113" s="43"/>
      <c r="E113" s="202"/>
      <c r="F113" s="44"/>
      <c r="G113" s="23">
        <f>F113*E113</f>
        <v>0</v>
      </c>
      <c r="H113" s="24">
        <f>SUM(G112:G113)</f>
        <v>0</v>
      </c>
    </row>
    <row r="114" spans="1:8" x14ac:dyDescent="0.2">
      <c r="A114" s="78" t="s">
        <v>10</v>
      </c>
      <c r="B114" s="12"/>
      <c r="C114" s="260"/>
      <c r="D114" s="12"/>
      <c r="E114" s="145"/>
      <c r="F114" s="27"/>
      <c r="G114" s="27"/>
      <c r="H114" s="28">
        <f>G113</f>
        <v>0</v>
      </c>
    </row>
    <row r="115" spans="1:8" x14ac:dyDescent="0.2">
      <c r="A115" s="76" t="s">
        <v>76</v>
      </c>
      <c r="B115" s="6"/>
      <c r="C115" s="255"/>
      <c r="D115" s="6"/>
      <c r="E115" s="144"/>
      <c r="F115" s="21"/>
      <c r="G115" s="21"/>
      <c r="H115" s="22">
        <f>SUM(G115:G115)</f>
        <v>0</v>
      </c>
    </row>
    <row r="116" spans="1:8" x14ac:dyDescent="0.2">
      <c r="A116" s="1576" t="s">
        <v>203</v>
      </c>
      <c r="B116" s="1764"/>
      <c r="C116" s="1765"/>
      <c r="D116" s="1764"/>
      <c r="E116" s="1766">
        <v>0</v>
      </c>
      <c r="F116" s="1767">
        <v>0</v>
      </c>
      <c r="G116" s="1768">
        <v>0</v>
      </c>
      <c r="H116" s="1767"/>
    </row>
    <row r="117" spans="1:8" x14ac:dyDescent="0.2">
      <c r="A117" s="532"/>
      <c r="B117" s="565" t="s">
        <v>490</v>
      </c>
      <c r="C117" s="1582" t="s">
        <v>495</v>
      </c>
      <c r="D117" s="565" t="s">
        <v>14</v>
      </c>
      <c r="E117" s="1769">
        <v>1</v>
      </c>
      <c r="F117" s="537">
        <v>500</v>
      </c>
      <c r="G117" s="539">
        <f t="shared" ref="G117:G150" si="2">F117*E117</f>
        <v>500</v>
      </c>
      <c r="H117" s="537"/>
    </row>
    <row r="118" spans="1:8" x14ac:dyDescent="0.2">
      <c r="A118" s="532"/>
      <c r="B118" s="565" t="s">
        <v>491</v>
      </c>
      <c r="C118" s="1582" t="s">
        <v>494</v>
      </c>
      <c r="D118" s="565" t="s">
        <v>14</v>
      </c>
      <c r="E118" s="1769">
        <v>1</v>
      </c>
      <c r="F118" s="537">
        <v>700</v>
      </c>
      <c r="G118" s="539">
        <f t="shared" si="2"/>
        <v>700</v>
      </c>
      <c r="H118" s="537"/>
    </row>
    <row r="119" spans="1:8" x14ac:dyDescent="0.2">
      <c r="A119" s="571"/>
      <c r="B119" s="572" t="s">
        <v>492</v>
      </c>
      <c r="C119" s="1588" t="s">
        <v>493</v>
      </c>
      <c r="D119" s="572" t="s">
        <v>15</v>
      </c>
      <c r="E119" s="1770">
        <v>1</v>
      </c>
      <c r="F119" s="1591">
        <v>3000</v>
      </c>
      <c r="G119" s="1592">
        <f t="shared" si="2"/>
        <v>3000</v>
      </c>
      <c r="H119" s="1591">
        <f>SUM(G116:G119)</f>
        <v>4200</v>
      </c>
    </row>
    <row r="120" spans="1:8" x14ac:dyDescent="0.2">
      <c r="A120" s="610" t="s">
        <v>309</v>
      </c>
      <c r="B120" s="1284" t="s">
        <v>490</v>
      </c>
      <c r="C120" s="1285" t="s">
        <v>496</v>
      </c>
      <c r="D120" s="1284" t="s">
        <v>14</v>
      </c>
      <c r="E120" s="1286">
        <v>1</v>
      </c>
      <c r="F120" s="1294">
        <v>200</v>
      </c>
      <c r="G120" s="1287">
        <f t="shared" si="2"/>
        <v>200</v>
      </c>
      <c r="H120" s="1297"/>
    </row>
    <row r="121" spans="1:8" x14ac:dyDescent="0.2">
      <c r="A121" s="617"/>
      <c r="B121" s="620" t="s">
        <v>491</v>
      </c>
      <c r="C121" s="1288" t="s">
        <v>497</v>
      </c>
      <c r="D121" s="620" t="s">
        <v>14</v>
      </c>
      <c r="E121" s="1289">
        <v>1</v>
      </c>
      <c r="F121" s="1295">
        <v>200</v>
      </c>
      <c r="G121" s="1290">
        <f t="shared" si="2"/>
        <v>200</v>
      </c>
      <c r="H121" s="1298"/>
    </row>
    <row r="122" spans="1:8" x14ac:dyDescent="0.2">
      <c r="A122" s="627"/>
      <c r="B122" s="629" t="s">
        <v>492</v>
      </c>
      <c r="C122" s="1288" t="s">
        <v>493</v>
      </c>
      <c r="D122" s="629" t="s">
        <v>15</v>
      </c>
      <c r="E122" s="1291">
        <v>1</v>
      </c>
      <c r="F122" s="1293">
        <v>1000</v>
      </c>
      <c r="G122" s="1292">
        <f t="shared" si="2"/>
        <v>1000</v>
      </c>
      <c r="H122" s="1296">
        <f>SUM(G120:G122)</f>
        <v>1400</v>
      </c>
    </row>
    <row r="123" spans="1:8" x14ac:dyDescent="0.2">
      <c r="A123" s="669" t="s">
        <v>311</v>
      </c>
      <c r="B123" s="1386" t="s">
        <v>490</v>
      </c>
      <c r="C123" s="1391" t="s">
        <v>498</v>
      </c>
      <c r="D123" s="1388" t="s">
        <v>14</v>
      </c>
      <c r="E123" s="1299">
        <v>1</v>
      </c>
      <c r="F123" s="1300">
        <v>300</v>
      </c>
      <c r="G123" s="1301">
        <f t="shared" si="2"/>
        <v>300</v>
      </c>
      <c r="H123" s="1302"/>
    </row>
    <row r="124" spans="1:8" x14ac:dyDescent="0.2">
      <c r="A124" s="656"/>
      <c r="B124" s="665" t="s">
        <v>491</v>
      </c>
      <c r="C124" s="1392" t="s">
        <v>498</v>
      </c>
      <c r="D124" s="1389" t="s">
        <v>14</v>
      </c>
      <c r="E124" s="1303">
        <v>1</v>
      </c>
      <c r="F124" s="1304">
        <v>150</v>
      </c>
      <c r="G124" s="1305">
        <f t="shared" si="2"/>
        <v>150</v>
      </c>
      <c r="H124" s="1306"/>
    </row>
    <row r="125" spans="1:8" x14ac:dyDescent="0.2">
      <c r="A125" s="656"/>
      <c r="B125" s="665" t="s">
        <v>518</v>
      </c>
      <c r="C125" s="1392" t="s">
        <v>517</v>
      </c>
      <c r="D125" s="1389" t="s">
        <v>14</v>
      </c>
      <c r="E125" s="1303">
        <v>3</v>
      </c>
      <c r="F125" s="1304">
        <v>200</v>
      </c>
      <c r="G125" s="1305">
        <f t="shared" si="2"/>
        <v>600</v>
      </c>
      <c r="H125" s="1306"/>
    </row>
    <row r="126" spans="1:8" x14ac:dyDescent="0.2">
      <c r="A126" s="1307"/>
      <c r="B126" s="1387" t="s">
        <v>492</v>
      </c>
      <c r="C126" s="1393" t="s">
        <v>493</v>
      </c>
      <c r="D126" s="1390" t="s">
        <v>15</v>
      </c>
      <c r="E126" s="1308">
        <v>1</v>
      </c>
      <c r="F126" s="1309">
        <v>3000</v>
      </c>
      <c r="G126" s="1310">
        <f t="shared" si="2"/>
        <v>3000</v>
      </c>
      <c r="H126" s="1311">
        <f>SUM(G123:G126)</f>
        <v>4050</v>
      </c>
    </row>
    <row r="127" spans="1:8" x14ac:dyDescent="0.2">
      <c r="A127" s="853" t="s">
        <v>407</v>
      </c>
      <c r="B127" s="1379" t="s">
        <v>490</v>
      </c>
      <c r="C127" s="1384" t="s">
        <v>499</v>
      </c>
      <c r="D127" s="1381" t="s">
        <v>14</v>
      </c>
      <c r="E127" s="1312">
        <v>1</v>
      </c>
      <c r="F127" s="1313">
        <v>300</v>
      </c>
      <c r="G127" s="1314">
        <f t="shared" si="2"/>
        <v>300</v>
      </c>
      <c r="H127" s="1315"/>
    </row>
    <row r="128" spans="1:8" x14ac:dyDescent="0.2">
      <c r="A128" s="836"/>
      <c r="B128" s="1198" t="s">
        <v>491</v>
      </c>
      <c r="C128" s="1384" t="s">
        <v>499</v>
      </c>
      <c r="D128" s="1382" t="s">
        <v>14</v>
      </c>
      <c r="E128" s="1316">
        <v>1</v>
      </c>
      <c r="F128" s="1317">
        <v>150</v>
      </c>
      <c r="G128" s="1318">
        <f t="shared" si="2"/>
        <v>150</v>
      </c>
      <c r="H128" s="1319"/>
    </row>
    <row r="129" spans="1:8" x14ac:dyDescent="0.2">
      <c r="A129" s="836"/>
      <c r="B129" s="1198" t="s">
        <v>518</v>
      </c>
      <c r="C129" s="1384" t="s">
        <v>517</v>
      </c>
      <c r="D129" s="1382" t="s">
        <v>14</v>
      </c>
      <c r="E129" s="1316">
        <v>3</v>
      </c>
      <c r="F129" s="1317">
        <v>200</v>
      </c>
      <c r="G129" s="1318">
        <f t="shared" si="2"/>
        <v>600</v>
      </c>
      <c r="H129" s="1319"/>
    </row>
    <row r="130" spans="1:8" x14ac:dyDescent="0.2">
      <c r="A130" s="857"/>
      <c r="B130" s="1380" t="s">
        <v>492</v>
      </c>
      <c r="C130" s="1385" t="s">
        <v>493</v>
      </c>
      <c r="D130" s="1383" t="s">
        <v>15</v>
      </c>
      <c r="E130" s="1320">
        <v>1</v>
      </c>
      <c r="F130" s="1321">
        <v>3000</v>
      </c>
      <c r="G130" s="1322">
        <f t="shared" si="2"/>
        <v>3000</v>
      </c>
      <c r="H130" s="1323">
        <f>SUM(G127:G130)</f>
        <v>4050</v>
      </c>
    </row>
    <row r="131" spans="1:8" x14ac:dyDescent="0.2">
      <c r="A131" s="548" t="s">
        <v>408</v>
      </c>
      <c r="B131" s="549" t="s">
        <v>490</v>
      </c>
      <c r="C131" s="1324" t="s">
        <v>500</v>
      </c>
      <c r="D131" s="549" t="s">
        <v>14</v>
      </c>
      <c r="E131" s="1325">
        <v>1</v>
      </c>
      <c r="F131" s="1326">
        <v>300</v>
      </c>
      <c r="G131" s="1327">
        <f t="shared" si="2"/>
        <v>300</v>
      </c>
      <c r="H131" s="1328"/>
    </row>
    <row r="132" spans="1:8" x14ac:dyDescent="0.2">
      <c r="A132" s="548"/>
      <c r="B132" s="549" t="s">
        <v>491</v>
      </c>
      <c r="C132" s="1324" t="s">
        <v>505</v>
      </c>
      <c r="D132" s="549" t="s">
        <v>14</v>
      </c>
      <c r="E132" s="1325">
        <v>1</v>
      </c>
      <c r="F132" s="1326">
        <v>150</v>
      </c>
      <c r="G132" s="1327">
        <f t="shared" si="2"/>
        <v>150</v>
      </c>
      <c r="H132" s="1328"/>
    </row>
    <row r="133" spans="1:8" x14ac:dyDescent="0.2">
      <c r="A133" s="548"/>
      <c r="B133" s="549" t="s">
        <v>518</v>
      </c>
      <c r="C133" s="1324" t="s">
        <v>517</v>
      </c>
      <c r="D133" s="549" t="s">
        <v>14</v>
      </c>
      <c r="E133" s="1325">
        <v>3</v>
      </c>
      <c r="F133" s="1326">
        <v>200</v>
      </c>
      <c r="G133" s="1327">
        <f t="shared" si="2"/>
        <v>600</v>
      </c>
      <c r="H133" s="1328"/>
    </row>
    <row r="134" spans="1:8" x14ac:dyDescent="0.2">
      <c r="A134" s="874"/>
      <c r="B134" s="865" t="s">
        <v>492</v>
      </c>
      <c r="C134" s="1329" t="s">
        <v>493</v>
      </c>
      <c r="D134" s="865" t="s">
        <v>15</v>
      </c>
      <c r="E134" s="1330">
        <v>1</v>
      </c>
      <c r="F134" s="1331">
        <v>3000</v>
      </c>
      <c r="G134" s="1332">
        <f t="shared" si="2"/>
        <v>3000</v>
      </c>
      <c r="H134" s="1353">
        <f>SUM(G131:G134)</f>
        <v>4050</v>
      </c>
    </row>
    <row r="135" spans="1:8" x14ac:dyDescent="0.2">
      <c r="A135" s="876" t="s">
        <v>409</v>
      </c>
      <c r="B135" s="884" t="s">
        <v>490</v>
      </c>
      <c r="C135" s="1334" t="s">
        <v>501</v>
      </c>
      <c r="D135" s="884" t="s">
        <v>14</v>
      </c>
      <c r="E135" s="1335">
        <v>1</v>
      </c>
      <c r="F135" s="1336">
        <v>300</v>
      </c>
      <c r="G135" s="1337">
        <f t="shared" si="2"/>
        <v>300</v>
      </c>
      <c r="H135" s="1333"/>
    </row>
    <row r="136" spans="1:8" x14ac:dyDescent="0.2">
      <c r="A136" s="876"/>
      <c r="B136" s="884" t="s">
        <v>491</v>
      </c>
      <c r="C136" s="1334" t="s">
        <v>501</v>
      </c>
      <c r="D136" s="884" t="s">
        <v>14</v>
      </c>
      <c r="E136" s="1335">
        <v>1</v>
      </c>
      <c r="F136" s="1336">
        <v>150</v>
      </c>
      <c r="G136" s="1337">
        <f t="shared" si="2"/>
        <v>150</v>
      </c>
      <c r="H136" s="1333"/>
    </row>
    <row r="137" spans="1:8" x14ac:dyDescent="0.2">
      <c r="A137" s="876"/>
      <c r="B137" s="884" t="s">
        <v>518</v>
      </c>
      <c r="C137" s="1334" t="s">
        <v>517</v>
      </c>
      <c r="D137" s="884" t="s">
        <v>14</v>
      </c>
      <c r="E137" s="1335">
        <v>3</v>
      </c>
      <c r="F137" s="1336">
        <v>300</v>
      </c>
      <c r="G137" s="1337">
        <f t="shared" si="2"/>
        <v>900</v>
      </c>
      <c r="H137" s="1333"/>
    </row>
    <row r="138" spans="1:8" x14ac:dyDescent="0.2">
      <c r="A138" s="897"/>
      <c r="B138" s="888" t="s">
        <v>492</v>
      </c>
      <c r="C138" s="1338" t="s">
        <v>493</v>
      </c>
      <c r="D138" s="888" t="s">
        <v>15</v>
      </c>
      <c r="E138" s="1339">
        <v>1</v>
      </c>
      <c r="F138" s="1340">
        <v>3000</v>
      </c>
      <c r="G138" s="1341">
        <f t="shared" si="2"/>
        <v>3000</v>
      </c>
      <c r="H138" s="1354">
        <f>SUM(G135:G138)</f>
        <v>4350</v>
      </c>
    </row>
    <row r="139" spans="1:8" x14ac:dyDescent="0.2">
      <c r="A139" s="907" t="s">
        <v>410</v>
      </c>
      <c r="B139" s="908" t="s">
        <v>490</v>
      </c>
      <c r="C139" s="1343" t="s">
        <v>502</v>
      </c>
      <c r="D139" s="908" t="s">
        <v>14</v>
      </c>
      <c r="E139" s="1344">
        <v>1</v>
      </c>
      <c r="F139" s="1345">
        <v>300</v>
      </c>
      <c r="G139" s="1346">
        <f t="shared" si="2"/>
        <v>300</v>
      </c>
      <c r="H139" s="1342"/>
    </row>
    <row r="140" spans="1:8" x14ac:dyDescent="0.2">
      <c r="A140" s="907"/>
      <c r="B140" s="908" t="s">
        <v>491</v>
      </c>
      <c r="C140" s="1343" t="s">
        <v>502</v>
      </c>
      <c r="D140" s="908" t="s">
        <v>14</v>
      </c>
      <c r="E140" s="1344">
        <v>1</v>
      </c>
      <c r="F140" s="1345">
        <v>150</v>
      </c>
      <c r="G140" s="1346">
        <f t="shared" si="2"/>
        <v>150</v>
      </c>
      <c r="H140" s="1342"/>
    </row>
    <row r="141" spans="1:8" x14ac:dyDescent="0.2">
      <c r="A141" s="907"/>
      <c r="B141" s="908" t="s">
        <v>518</v>
      </c>
      <c r="C141" s="1343" t="s">
        <v>517</v>
      </c>
      <c r="D141" s="908" t="s">
        <v>14</v>
      </c>
      <c r="E141" s="1344">
        <v>3</v>
      </c>
      <c r="F141" s="1345">
        <v>200</v>
      </c>
      <c r="G141" s="1346">
        <f t="shared" si="2"/>
        <v>600</v>
      </c>
      <c r="H141" s="1342"/>
    </row>
    <row r="142" spans="1:8" x14ac:dyDescent="0.2">
      <c r="A142" s="1347"/>
      <c r="B142" s="919" t="s">
        <v>492</v>
      </c>
      <c r="C142" s="1348" t="s">
        <v>493</v>
      </c>
      <c r="D142" s="919" t="s">
        <v>15</v>
      </c>
      <c r="E142" s="1349">
        <v>1</v>
      </c>
      <c r="F142" s="1350">
        <v>3000</v>
      </c>
      <c r="G142" s="1351">
        <f t="shared" si="2"/>
        <v>3000</v>
      </c>
      <c r="H142" s="1352">
        <f>SUM(G139:G142)</f>
        <v>4050</v>
      </c>
    </row>
    <row r="143" spans="1:8" x14ac:dyDescent="0.2">
      <c r="A143" s="952" t="s">
        <v>411</v>
      </c>
      <c r="B143" s="953" t="s">
        <v>490</v>
      </c>
      <c r="C143" s="1355" t="s">
        <v>503</v>
      </c>
      <c r="D143" s="953" t="s">
        <v>14</v>
      </c>
      <c r="E143" s="1356">
        <v>1</v>
      </c>
      <c r="F143" s="1357">
        <v>300</v>
      </c>
      <c r="G143" s="1358">
        <f t="shared" si="2"/>
        <v>300</v>
      </c>
      <c r="H143" s="1359"/>
    </row>
    <row r="144" spans="1:8" x14ac:dyDescent="0.2">
      <c r="A144" s="923"/>
      <c r="B144" s="924" t="s">
        <v>491</v>
      </c>
      <c r="C144" s="1360" t="s">
        <v>503</v>
      </c>
      <c r="D144" s="924" t="s">
        <v>14</v>
      </c>
      <c r="E144" s="1361">
        <v>1</v>
      </c>
      <c r="F144" s="1362">
        <v>150</v>
      </c>
      <c r="G144" s="1363">
        <f t="shared" si="2"/>
        <v>150</v>
      </c>
      <c r="H144" s="1364"/>
    </row>
    <row r="145" spans="1:8" x14ac:dyDescent="0.2">
      <c r="A145" s="923"/>
      <c r="B145" s="924" t="s">
        <v>518</v>
      </c>
      <c r="C145" s="1360" t="s">
        <v>517</v>
      </c>
      <c r="D145" s="924" t="s">
        <v>14</v>
      </c>
      <c r="E145" s="1361">
        <v>3</v>
      </c>
      <c r="F145" s="1362">
        <v>300</v>
      </c>
      <c r="G145" s="1363">
        <f t="shared" si="2"/>
        <v>900</v>
      </c>
      <c r="H145" s="1364"/>
    </row>
    <row r="146" spans="1:8" x14ac:dyDescent="0.2">
      <c r="A146" s="959"/>
      <c r="B146" s="934" t="s">
        <v>492</v>
      </c>
      <c r="C146" s="1365" t="s">
        <v>493</v>
      </c>
      <c r="D146" s="934" t="s">
        <v>15</v>
      </c>
      <c r="E146" s="1366">
        <v>1</v>
      </c>
      <c r="F146" s="1367">
        <v>3000</v>
      </c>
      <c r="G146" s="1368">
        <f t="shared" si="2"/>
        <v>3000</v>
      </c>
      <c r="H146" s="1369">
        <f>SUM(G143:G146)</f>
        <v>4350</v>
      </c>
    </row>
    <row r="147" spans="1:8" x14ac:dyDescent="0.2">
      <c r="A147" s="936" t="s">
        <v>412</v>
      </c>
      <c r="B147" s="944" t="s">
        <v>490</v>
      </c>
      <c r="C147" s="1370" t="s">
        <v>504</v>
      </c>
      <c r="D147" s="944" t="s">
        <v>14</v>
      </c>
      <c r="E147" s="1371">
        <v>1</v>
      </c>
      <c r="F147" s="1372">
        <v>300</v>
      </c>
      <c r="G147" s="1373">
        <f t="shared" si="2"/>
        <v>300</v>
      </c>
      <c r="H147" s="1374"/>
    </row>
    <row r="148" spans="1:8" x14ac:dyDescent="0.2">
      <c r="A148" s="936"/>
      <c r="B148" s="944" t="s">
        <v>491</v>
      </c>
      <c r="C148" s="1370" t="s">
        <v>504</v>
      </c>
      <c r="D148" s="944" t="s">
        <v>14</v>
      </c>
      <c r="E148" s="1371">
        <v>1</v>
      </c>
      <c r="F148" s="1372">
        <v>150</v>
      </c>
      <c r="G148" s="1373">
        <f t="shared" si="2"/>
        <v>150</v>
      </c>
      <c r="H148" s="1374"/>
    </row>
    <row r="149" spans="1:8" x14ac:dyDescent="0.2">
      <c r="A149" s="936"/>
      <c r="B149" s="944" t="s">
        <v>518</v>
      </c>
      <c r="C149" s="1370" t="s">
        <v>517</v>
      </c>
      <c r="D149" s="944" t="s">
        <v>14</v>
      </c>
      <c r="E149" s="1371">
        <v>3</v>
      </c>
      <c r="F149" s="1372">
        <v>200</v>
      </c>
      <c r="G149" s="1373">
        <f t="shared" si="2"/>
        <v>600</v>
      </c>
      <c r="H149" s="1374"/>
    </row>
    <row r="150" spans="1:8" x14ac:dyDescent="0.2">
      <c r="A150" s="936"/>
      <c r="B150" s="950" t="s">
        <v>492</v>
      </c>
      <c r="C150" s="1375" t="s">
        <v>493</v>
      </c>
      <c r="D150" s="950" t="s">
        <v>15</v>
      </c>
      <c r="E150" s="1376">
        <v>1</v>
      </c>
      <c r="F150" s="1377">
        <v>3000</v>
      </c>
      <c r="G150" s="1378">
        <f t="shared" si="2"/>
        <v>3000</v>
      </c>
      <c r="H150" s="1374">
        <f>SUM(G147:G150)</f>
        <v>4050</v>
      </c>
    </row>
    <row r="151" spans="1:8" x14ac:dyDescent="0.2">
      <c r="A151" s="78" t="s">
        <v>211</v>
      </c>
      <c r="B151" s="50"/>
      <c r="C151" s="260"/>
      <c r="D151" s="50"/>
      <c r="E151" s="145"/>
      <c r="F151" s="51"/>
      <c r="G151" s="27"/>
      <c r="H151" s="51">
        <f>SUM(H116:H150)</f>
        <v>34550</v>
      </c>
    </row>
    <row r="152" spans="1:8" x14ac:dyDescent="0.2">
      <c r="A152" s="79" t="s">
        <v>13</v>
      </c>
      <c r="B152" s="18"/>
      <c r="C152" s="263"/>
      <c r="D152" s="18"/>
      <c r="E152" s="146"/>
      <c r="F152" s="33"/>
      <c r="G152" s="33"/>
      <c r="H152" s="34">
        <f>WP7_SEC1_subtotal+WP7_SEC2_subtotal+WP7_SEC3_subtotal+WP7_SEC4_subtotal+WP7_SEC5_subtotal</f>
        <v>201790</v>
      </c>
    </row>
    <row r="153" spans="1:8" ht="14.25" x14ac:dyDescent="0.2">
      <c r="A153" s="140" t="s">
        <v>87</v>
      </c>
      <c r="B153" s="141" t="s">
        <v>125</v>
      </c>
      <c r="C153" s="226"/>
      <c r="D153" s="141"/>
      <c r="E153" s="183"/>
      <c r="F153" s="142"/>
      <c r="G153" s="142"/>
      <c r="H153" s="186">
        <f>H79*0.6</f>
        <v>78081.599999999991</v>
      </c>
    </row>
    <row r="154" spans="1:8" ht="15.75" x14ac:dyDescent="0.25">
      <c r="A154" s="164" t="s">
        <v>91</v>
      </c>
      <c r="B154" s="10"/>
      <c r="C154" s="263"/>
      <c r="D154" s="10"/>
      <c r="E154" s="184"/>
      <c r="F154" s="31"/>
      <c r="G154" s="31"/>
      <c r="H154" s="32">
        <f>H153+H152</f>
        <v>279871.59999999998</v>
      </c>
    </row>
  </sheetData>
  <sheetProtection password="A72F" sheet="1" objects="1" scenarios="1"/>
  <phoneticPr fontId="11" type="noConversion"/>
  <dataValidations count="51">
    <dataValidation type="list" allowBlank="1" showInputMessage="1" showErrorMessage="1" error="This name is not cecognized" sqref="A1 A82 A30 A117:A119 A121:A122 A124:A126 A128:A130 A132:A134 A136:A138 A140:A142 A144:A146 A148:A150">
      <formula1>partners_list</formula1>
    </dataValidation>
    <dataValidation type="list" allowBlank="1" showInputMessage="1" showErrorMessage="1" error="This name is not cecognized" sqref="B6:B20">
      <formula1>CO_employees</formula1>
    </dataValidation>
    <dataValidation type="list" allowBlank="1" showInputMessage="1" showErrorMessage="1" error="This name is not cecognized" sqref="B21:B24">
      <formula1>P2_employees</formula1>
    </dataValidation>
    <dataValidation type="list" allowBlank="1" showInputMessage="1" showErrorMessage="1" error="This name is not cecognized" sqref="B25:B28">
      <formula1>P3_employees</formula1>
    </dataValidation>
    <dataValidation type="list" allowBlank="1" showInputMessage="1" showErrorMessage="1" error="This name is not cecognized" sqref="B29:B33">
      <formula1>P4_employees</formula1>
    </dataValidation>
    <dataValidation type="list" allowBlank="1" showInputMessage="1" showErrorMessage="1" error="This name is not cecognized" sqref="B34:B38">
      <formula1>P5_employees</formula1>
    </dataValidation>
    <dataValidation type="list" allowBlank="1" showInputMessage="1" showErrorMessage="1" error="This name is not cecognized" sqref="B39:B43">
      <formula1>P6_employees</formula1>
    </dataValidation>
    <dataValidation type="list" allowBlank="1" showInputMessage="1" showErrorMessage="1" error="This name is not cecognized" sqref="B44:B48">
      <formula1>P7_employees</formula1>
    </dataValidation>
    <dataValidation type="list" allowBlank="1" showInputMessage="1" showErrorMessage="1" error="This name is not cecognized" sqref="B49:B53">
      <formula1>P8_employees</formula1>
    </dataValidation>
    <dataValidation type="list" allowBlank="1" showInputMessage="1" showErrorMessage="1" error="This name is not cecognized" sqref="B54:B58">
      <formula1>P9_employees</formula1>
    </dataValidation>
    <dataValidation type="list" allowBlank="1" showInputMessage="1" showErrorMessage="1" error="This name is not cecognized" sqref="B59:B63">
      <formula1>P10_employees</formula1>
    </dataValidation>
    <dataValidation type="list" allowBlank="1" showInputMessage="1" showErrorMessage="1" error="This name is not cecognized" sqref="B64:B68">
      <formula1>P11_employees</formula1>
    </dataValidation>
    <dataValidation type="list" allowBlank="1" showInputMessage="1" showErrorMessage="1" error="This name is not cecognized" sqref="B69:B73">
      <formula1>P12_employees</formula1>
    </dataValidation>
    <dataValidation type="list" allowBlank="1" showInputMessage="1" showErrorMessage="1" error="This name is not cecognized" sqref="B74:B78">
      <formula1>P13_employees</formula1>
    </dataValidation>
    <dataValidation type="list" allowBlank="1" showInputMessage="1" showErrorMessage="1" error="This name is not cecognized" sqref="A6">
      <formula1>partners_list</formula1>
    </dataValidation>
    <dataValidation type="list" allowBlank="1" showInputMessage="1" showErrorMessage="1" error="This name is not cecognized" sqref="A21">
      <formula1>partners_list</formula1>
    </dataValidation>
    <dataValidation type="list" allowBlank="1" showInputMessage="1" showErrorMessage="1" error="This name is not cecognized" sqref="A25">
      <formula1>partners_list</formula1>
    </dataValidation>
    <dataValidation type="list" allowBlank="1" showInputMessage="1" showErrorMessage="1" error="This name is not cecognized" sqref="A29">
      <formula1>partners_list</formula1>
    </dataValidation>
    <dataValidation type="list" allowBlank="1" showInputMessage="1" showErrorMessage="1" error="This name is not cecognized" sqref="A34">
      <formula1>partners_list</formula1>
    </dataValidation>
    <dataValidation type="list" allowBlank="1" showInputMessage="1" showErrorMessage="1" error="This name is not cecognized" sqref="A39">
      <formula1>partners_list</formula1>
    </dataValidation>
    <dataValidation type="list" allowBlank="1" showInputMessage="1" showErrorMessage="1" error="This name is not cecognized" sqref="A44">
      <formula1>partners_list</formula1>
    </dataValidation>
    <dataValidation type="list" allowBlank="1" showInputMessage="1" showErrorMessage="1" error="This name is not cecognized" sqref="A49">
      <formula1>partners_list</formula1>
    </dataValidation>
    <dataValidation type="list" allowBlank="1" showInputMessage="1" showErrorMessage="1" error="This name is not cecognized" sqref="A54">
      <formula1>partners_list</formula1>
    </dataValidation>
    <dataValidation type="list" allowBlank="1" showInputMessage="1" showErrorMessage="1" error="This name is not cecognized" sqref="A59">
      <formula1>partners_list</formula1>
    </dataValidation>
    <dataValidation type="list" allowBlank="1" showInputMessage="1" showErrorMessage="1" error="This name is not cecognized" sqref="A64">
      <formula1>partners_list</formula1>
    </dataValidation>
    <dataValidation type="list" allowBlank="1" showInputMessage="1" showErrorMessage="1" error="This name is not cecognized" sqref="A69">
      <formula1>partners_list</formula1>
    </dataValidation>
    <dataValidation type="list" allowBlank="1" showInputMessage="1" showErrorMessage="1" error="This name is not cecognized" sqref="A74">
      <formula1>partners_list</formula1>
    </dataValidation>
    <dataValidation type="list" allowBlank="1" showInputMessage="1" showErrorMessage="1" error="This name is not cecognized" sqref="A81">
      <formula1>partners_list</formula1>
    </dataValidation>
    <dataValidation type="list" allowBlank="1" showInputMessage="1" showErrorMessage="1" error="This name is not cecognized" sqref="A85">
      <formula1>partners_list</formula1>
    </dataValidation>
    <dataValidation type="list" allowBlank="1" showInputMessage="1" showErrorMessage="1" error="This name is not cecognized" sqref="A87">
      <formula1>partners_list</formula1>
    </dataValidation>
    <dataValidation type="list" allowBlank="1" showInputMessage="1" showErrorMessage="1" error="This name is not cecognized" sqref="A89">
      <formula1>partners_list</formula1>
    </dataValidation>
    <dataValidation type="list" allowBlank="1" showInputMessage="1" showErrorMessage="1" error="This name is not cecognized" sqref="A91">
      <formula1>partners_list</formula1>
    </dataValidation>
    <dataValidation type="list" allowBlank="1" showInputMessage="1" showErrorMessage="1" error="This name is not cecognized" sqref="A93">
      <formula1>partners_list</formula1>
    </dataValidation>
    <dataValidation type="list" allowBlank="1" showInputMessage="1" showErrorMessage="1" error="This name is not cecognized" sqref="A95">
      <formula1>partners_list</formula1>
    </dataValidation>
    <dataValidation type="list" allowBlank="1" showInputMessage="1" showErrorMessage="1" error="This name is not cecognized" sqref="A97">
      <formula1>partners_list</formula1>
    </dataValidation>
    <dataValidation type="list" allowBlank="1" showInputMessage="1" showErrorMessage="1" error="This name is not cecognized" sqref="A99">
      <formula1>partners_list</formula1>
    </dataValidation>
    <dataValidation type="list" allowBlank="1" showInputMessage="1" showErrorMessage="1" error="This name is not cecognized" sqref="A101">
      <formula1>partners_list</formula1>
    </dataValidation>
    <dataValidation type="list" allowBlank="1" showInputMessage="1" showErrorMessage="1" error="This name is not cecognized" sqref="A103">
      <formula1>partners_list</formula1>
    </dataValidation>
    <dataValidation type="list" allowBlank="1" showInputMessage="1" showErrorMessage="1" error="This name is not cecognized" sqref="A105">
      <formula1>partners_list</formula1>
    </dataValidation>
    <dataValidation type="list" allowBlank="1" showInputMessage="1" showErrorMessage="1" error="This name is not cecognized" sqref="A107">
      <formula1>partners_list</formula1>
    </dataValidation>
    <dataValidation type="list" allowBlank="1" showInputMessage="1" showErrorMessage="1" error="This name is not cecognized" sqref="A109">
      <formula1>partners_list</formula1>
    </dataValidation>
    <dataValidation type="list" allowBlank="1" showInputMessage="1" showErrorMessage="1" error="This name is not cecognized" sqref="A113">
      <formula1>partners_list</formula1>
    </dataValidation>
    <dataValidation type="list" allowBlank="1" showInputMessage="1" showErrorMessage="1" error="This name is not cecognized" sqref="A116">
      <formula1>partners_list</formula1>
    </dataValidation>
    <dataValidation type="list" allowBlank="1" showInputMessage="1" showErrorMessage="1" error="This name is not cecognized" sqref="A120">
      <formula1>partners_list</formula1>
    </dataValidation>
    <dataValidation type="list" allowBlank="1" showInputMessage="1" showErrorMessage="1" error="This name is not cecognized" sqref="A123">
      <formula1>partners_list</formula1>
    </dataValidation>
    <dataValidation type="list" allowBlank="1" showInputMessage="1" showErrorMessage="1" error="This name is not cecognized" sqref="A127">
      <formula1>partners_list</formula1>
    </dataValidation>
    <dataValidation type="list" allowBlank="1" showInputMessage="1" showErrorMessage="1" error="This name is not cecognized" sqref="A131">
      <formula1>partners_list</formula1>
    </dataValidation>
    <dataValidation type="list" allowBlank="1" showInputMessage="1" showErrorMessage="1" error="This name is not cecognized" sqref="A135">
      <formula1>partners_list</formula1>
    </dataValidation>
    <dataValidation type="list" allowBlank="1" showInputMessage="1" showErrorMessage="1" error="This name is not cecognized" sqref="A139">
      <formula1>partners_list</formula1>
    </dataValidation>
    <dataValidation type="list" allowBlank="1" showInputMessage="1" showErrorMessage="1" error="This name is not cecognized" sqref="A143">
      <formula1>partners_list</formula1>
    </dataValidation>
    <dataValidation type="list" allowBlank="1" showInputMessage="1" showErrorMessage="1" error="This name is not cecognized" sqref="A147">
      <formula1>partners_list</formula1>
    </dataValidation>
  </dataValidations>
  <pageMargins left="0.7" right="0.7" top="0.75" bottom="0.75" header="0.3" footer="0.3"/>
  <pageSetup paperSize="9" scale="76" orientation="landscape" r:id="rId1"/>
  <headerFooter alignWithMargins="0"/>
  <rowBreaks count="5" manualBreakCount="5">
    <brk id="28" max="16383" man="1"/>
    <brk id="47" max="7" man="1"/>
    <brk id="67" max="7" man="1"/>
    <brk id="79" max="7" man="1"/>
    <brk id="155"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6" r:id="rId4" name="Button 2">
              <controlPr defaultSize="0" print="0" autoFill="0" autoPict="0" macro="[0]!btnAddPartnerToSection_Click">
                <anchor moveWithCells="1" sizeWithCells="1">
                  <from>
                    <xdr:col>3</xdr:col>
                    <xdr:colOff>266700</xdr:colOff>
                    <xdr:row>0</xdr:row>
                    <xdr:rowOff>76200</xdr:rowOff>
                  </from>
                  <to>
                    <xdr:col>5</xdr:col>
                    <xdr:colOff>514350</xdr:colOff>
                    <xdr:row>1</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J29"/>
  <sheetViews>
    <sheetView zoomScaleNormal="100" zoomScaleSheetLayoutView="90" workbookViewId="0">
      <selection activeCell="B7" sqref="B7"/>
    </sheetView>
  </sheetViews>
  <sheetFormatPr defaultColWidth="9.140625" defaultRowHeight="12.75" x14ac:dyDescent="0.2"/>
  <cols>
    <col min="1" max="1" width="11.140625" customWidth="1"/>
    <col min="2" max="2" width="29.85546875" customWidth="1"/>
    <col min="3" max="3" width="60.7109375" style="268" customWidth="1"/>
    <col min="4" max="7" width="13.5703125" customWidth="1"/>
    <col min="8" max="8" width="18" customWidth="1"/>
    <col min="9" max="9" width="6" customWidth="1"/>
    <col min="10" max="256" width="11.42578125" customWidth="1"/>
  </cols>
  <sheetData>
    <row r="1" spans="1:10" s="38" customFormat="1" ht="20.25" x14ac:dyDescent="0.3">
      <c r="A1" s="328" t="s">
        <v>143</v>
      </c>
      <c r="C1" s="268"/>
    </row>
    <row r="2" spans="1:10" s="329" customFormat="1" ht="18" x14ac:dyDescent="0.25">
      <c r="A2" s="327" t="s">
        <v>103</v>
      </c>
    </row>
    <row r="4" spans="1:10" x14ac:dyDescent="0.2">
      <c r="A4" s="13" t="s">
        <v>0</v>
      </c>
      <c r="B4" s="13" t="s">
        <v>1</v>
      </c>
      <c r="C4" s="230" t="s">
        <v>2</v>
      </c>
      <c r="D4" s="13" t="s">
        <v>3</v>
      </c>
      <c r="E4" s="20" t="s">
        <v>4</v>
      </c>
      <c r="F4" s="20" t="s">
        <v>7</v>
      </c>
      <c r="G4" s="20" t="s">
        <v>5</v>
      </c>
      <c r="H4" s="20" t="s">
        <v>6</v>
      </c>
      <c r="I4" s="214"/>
      <c r="J4" s="72"/>
    </row>
    <row r="5" spans="1:10" x14ac:dyDescent="0.2">
      <c r="A5" s="5" t="s">
        <v>23</v>
      </c>
      <c r="B5" s="149"/>
      <c r="C5" s="231"/>
      <c r="D5" s="6"/>
      <c r="E5" s="21"/>
      <c r="F5" s="21"/>
      <c r="G5" s="21"/>
      <c r="H5" s="22">
        <f>SUM(G5:G5)</f>
        <v>0</v>
      </c>
      <c r="I5" s="65"/>
    </row>
    <row r="6" spans="1:10" ht="22.5" x14ac:dyDescent="0.2">
      <c r="A6" s="86" t="s">
        <v>107</v>
      </c>
      <c r="B6" s="1261" t="s">
        <v>150</v>
      </c>
      <c r="C6" s="264" t="s">
        <v>127</v>
      </c>
      <c r="D6" s="87" t="s">
        <v>17</v>
      </c>
      <c r="E6" s="267">
        <v>80</v>
      </c>
      <c r="F6" s="88">
        <f>salaries!H3</f>
        <v>26</v>
      </c>
      <c r="G6" s="70">
        <f>F6*E6</f>
        <v>2080</v>
      </c>
      <c r="H6" s="88"/>
      <c r="I6" s="168"/>
    </row>
    <row r="7" spans="1:10" x14ac:dyDescent="0.2">
      <c r="A7" s="86"/>
      <c r="B7" s="114" t="s">
        <v>155</v>
      </c>
      <c r="C7" s="265" t="s">
        <v>46</v>
      </c>
      <c r="D7" s="84" t="s">
        <v>17</v>
      </c>
      <c r="E7" s="70">
        <v>240</v>
      </c>
      <c r="F7" s="69">
        <f>salaries!H4</f>
        <v>29</v>
      </c>
      <c r="G7" s="70">
        <f>F7*E7</f>
        <v>6960</v>
      </c>
      <c r="H7" s="69"/>
      <c r="I7" s="65"/>
    </row>
    <row r="8" spans="1:10" ht="22.5" x14ac:dyDescent="0.2">
      <c r="A8" s="86"/>
      <c r="B8" s="114"/>
      <c r="C8" s="264" t="s">
        <v>126</v>
      </c>
      <c r="D8" s="84"/>
      <c r="E8" s="70"/>
      <c r="F8" s="69"/>
      <c r="G8" s="70"/>
      <c r="H8" s="69"/>
      <c r="I8" s="168"/>
    </row>
    <row r="9" spans="1:10" x14ac:dyDescent="0.2">
      <c r="A9" s="2"/>
      <c r="B9" s="16"/>
      <c r="C9" s="248"/>
      <c r="D9" s="15"/>
      <c r="E9" s="23"/>
      <c r="F9" s="25"/>
      <c r="G9" s="23">
        <f>F9*E9</f>
        <v>0</v>
      </c>
      <c r="H9" s="25">
        <f>SUM(G6:G9)</f>
        <v>9040</v>
      </c>
      <c r="I9" s="65"/>
    </row>
    <row r="10" spans="1:10" x14ac:dyDescent="0.2">
      <c r="A10" s="11" t="s">
        <v>8</v>
      </c>
      <c r="B10" s="153"/>
      <c r="C10" s="232"/>
      <c r="D10" s="12" t="s">
        <v>34</v>
      </c>
      <c r="E10" s="27">
        <f>SUM(E6:E9)</f>
        <v>320</v>
      </c>
      <c r="F10" s="27"/>
      <c r="G10" s="27" t="s">
        <v>35</v>
      </c>
      <c r="H10" s="28">
        <f>SUM(H6:H9)</f>
        <v>9040</v>
      </c>
    </row>
    <row r="11" spans="1:10" x14ac:dyDescent="0.2">
      <c r="A11" s="5" t="s">
        <v>24</v>
      </c>
      <c r="B11" s="6"/>
      <c r="C11" s="231"/>
      <c r="D11" s="6"/>
      <c r="E11" s="21"/>
      <c r="F11" s="21"/>
      <c r="G11" s="21"/>
      <c r="H11" s="22"/>
    </row>
    <row r="12" spans="1:10" x14ac:dyDescent="0.2">
      <c r="A12" s="2"/>
      <c r="B12" s="14"/>
      <c r="C12" s="248" t="s">
        <v>37</v>
      </c>
      <c r="D12" s="14"/>
      <c r="E12" s="23"/>
      <c r="F12" s="24"/>
      <c r="G12" s="23">
        <f>F12*E12</f>
        <v>0</v>
      </c>
      <c r="H12" s="24">
        <v>0</v>
      </c>
    </row>
    <row r="13" spans="1:10" x14ac:dyDescent="0.2">
      <c r="A13" s="2"/>
      <c r="B13" s="16"/>
      <c r="C13" s="248"/>
      <c r="D13" s="16"/>
      <c r="E13" s="23"/>
      <c r="F13" s="26"/>
      <c r="G13" s="23"/>
      <c r="H13" s="26">
        <f>SUM(G11:G13)</f>
        <v>0</v>
      </c>
    </row>
    <row r="14" spans="1:10" x14ac:dyDescent="0.2">
      <c r="A14" s="78" t="s">
        <v>74</v>
      </c>
      <c r="B14" s="12"/>
      <c r="C14" s="232"/>
      <c r="D14" s="12"/>
      <c r="E14" s="27"/>
      <c r="F14" s="27"/>
      <c r="G14" s="27"/>
      <c r="H14" s="28">
        <f>SUM(H13:H13)</f>
        <v>0</v>
      </c>
    </row>
    <row r="15" spans="1:10" x14ac:dyDescent="0.2">
      <c r="A15" s="5" t="s">
        <v>25</v>
      </c>
      <c r="B15" s="6"/>
      <c r="C15" s="231"/>
      <c r="D15" s="6"/>
      <c r="E15" s="21"/>
      <c r="F15" s="21"/>
      <c r="G15" s="21"/>
      <c r="H15" s="22">
        <f>SUM(G15:G15)</f>
        <v>0</v>
      </c>
    </row>
    <row r="16" spans="1:10" x14ac:dyDescent="0.2">
      <c r="A16" s="86" t="s">
        <v>107</v>
      </c>
      <c r="B16" s="89" t="s">
        <v>32</v>
      </c>
      <c r="C16" s="266" t="s">
        <v>45</v>
      </c>
      <c r="D16" s="90" t="s">
        <v>16</v>
      </c>
      <c r="E16" s="88">
        <v>3</v>
      </c>
      <c r="F16" s="91">
        <v>300</v>
      </c>
      <c r="G16" s="70">
        <f>F16*E16</f>
        <v>900</v>
      </c>
      <c r="H16" s="88"/>
    </row>
    <row r="17" spans="1:8" x14ac:dyDescent="0.2">
      <c r="A17" s="86"/>
      <c r="B17" s="86"/>
      <c r="C17" s="233" t="s">
        <v>93</v>
      </c>
      <c r="D17" s="85" t="s">
        <v>36</v>
      </c>
      <c r="E17" s="69">
        <v>6</v>
      </c>
      <c r="F17" s="136">
        <v>150</v>
      </c>
      <c r="G17" s="70">
        <f>F17*E17</f>
        <v>900</v>
      </c>
      <c r="H17" s="69">
        <f>SUM(G16:G17)</f>
        <v>1800</v>
      </c>
    </row>
    <row r="18" spans="1:8" x14ac:dyDescent="0.2">
      <c r="A18" s="11" t="s">
        <v>9</v>
      </c>
      <c r="B18" s="12"/>
      <c r="C18" s="232"/>
      <c r="D18" s="12"/>
      <c r="E18" s="27"/>
      <c r="F18" s="27"/>
      <c r="G18" s="27"/>
      <c r="H18" s="28">
        <f>SUM(H16:H17)</f>
        <v>1800</v>
      </c>
    </row>
    <row r="19" spans="1:8" x14ac:dyDescent="0.2">
      <c r="A19" s="5" t="s">
        <v>27</v>
      </c>
      <c r="B19" s="6"/>
      <c r="C19" s="231"/>
      <c r="D19" s="6"/>
      <c r="E19" s="21"/>
      <c r="F19" s="21"/>
      <c r="G19" s="21"/>
      <c r="H19" s="22"/>
    </row>
    <row r="20" spans="1:8" x14ac:dyDescent="0.2">
      <c r="A20" s="2"/>
      <c r="B20" s="43" t="s">
        <v>37</v>
      </c>
      <c r="C20" s="246"/>
      <c r="D20" s="43"/>
      <c r="E20" s="42">
        <v>0</v>
      </c>
      <c r="F20" s="44">
        <v>0</v>
      </c>
      <c r="G20" s="23">
        <v>0</v>
      </c>
      <c r="H20" s="24">
        <v>0</v>
      </c>
    </row>
    <row r="21" spans="1:8" x14ac:dyDescent="0.2">
      <c r="A21" s="2"/>
      <c r="B21" s="16"/>
      <c r="C21" s="248"/>
      <c r="D21" s="16"/>
      <c r="E21" s="23"/>
      <c r="F21" s="26"/>
      <c r="G21" s="23">
        <v>0</v>
      </c>
      <c r="H21" s="26">
        <f>SUM(G19:G21)</f>
        <v>0</v>
      </c>
    </row>
    <row r="22" spans="1:8" x14ac:dyDescent="0.2">
      <c r="A22" s="11" t="s">
        <v>10</v>
      </c>
      <c r="B22" s="12"/>
      <c r="C22" s="232"/>
      <c r="D22" s="12"/>
      <c r="E22" s="27"/>
      <c r="F22" s="27"/>
      <c r="G22" s="27"/>
      <c r="H22" s="28">
        <f>SUM(H21:H21)</f>
        <v>0</v>
      </c>
    </row>
    <row r="23" spans="1:8" x14ac:dyDescent="0.2">
      <c r="A23" s="5" t="s">
        <v>76</v>
      </c>
      <c r="B23" s="7"/>
      <c r="C23" s="269"/>
      <c r="D23" s="7"/>
      <c r="E23" s="29"/>
      <c r="F23" s="29"/>
      <c r="G23" s="29"/>
      <c r="H23" s="30"/>
    </row>
    <row r="24" spans="1:8" x14ac:dyDescent="0.2">
      <c r="A24" s="2"/>
      <c r="B24" s="15" t="s">
        <v>37</v>
      </c>
      <c r="C24" s="248"/>
      <c r="D24" s="15"/>
      <c r="E24" s="23"/>
      <c r="F24" s="25"/>
      <c r="G24" s="23">
        <v>0</v>
      </c>
      <c r="H24" s="25">
        <v>0</v>
      </c>
    </row>
    <row r="25" spans="1:8" x14ac:dyDescent="0.2">
      <c r="A25" s="2"/>
      <c r="B25" s="16"/>
      <c r="C25" s="248"/>
      <c r="D25" s="16"/>
      <c r="E25" s="23"/>
      <c r="F25" s="26"/>
      <c r="G25" s="23">
        <v>0</v>
      </c>
      <c r="H25" s="26">
        <f>SUM(G23:G25)</f>
        <v>0</v>
      </c>
    </row>
    <row r="26" spans="1:8" x14ac:dyDescent="0.2">
      <c r="A26" s="11" t="s">
        <v>212</v>
      </c>
      <c r="B26" s="12"/>
      <c r="C26" s="232"/>
      <c r="D26" s="12"/>
      <c r="E26" s="27"/>
      <c r="F26" s="27"/>
      <c r="G26" s="27"/>
      <c r="H26" s="28">
        <f>SUM(H25:H25)</f>
        <v>0</v>
      </c>
    </row>
    <row r="27" spans="1:8" ht="15.75" x14ac:dyDescent="0.25">
      <c r="A27" s="9" t="s">
        <v>83</v>
      </c>
      <c r="B27" s="18"/>
      <c r="C27" s="236"/>
      <c r="D27" s="18"/>
      <c r="E27" s="33"/>
      <c r="F27" s="33"/>
      <c r="G27" s="33"/>
      <c r="H27" s="34">
        <f>H10+H14+H18+H22+H26</f>
        <v>10840</v>
      </c>
    </row>
    <row r="28" spans="1:8" x14ac:dyDescent="0.2">
      <c r="A28" s="138" t="s">
        <v>84</v>
      </c>
      <c r="B28" s="138"/>
      <c r="C28" s="270"/>
      <c r="D28" s="138" t="s">
        <v>82</v>
      </c>
      <c r="E28" s="138"/>
      <c r="F28" s="138"/>
      <c r="G28" s="138"/>
      <c r="H28" s="139">
        <f>H10*0.6</f>
        <v>5424</v>
      </c>
    </row>
    <row r="29" spans="1:8" ht="15.75" x14ac:dyDescent="0.25">
      <c r="A29" s="9" t="s">
        <v>85</v>
      </c>
      <c r="B29" s="18"/>
      <c r="C29" s="236"/>
      <c r="D29" s="18"/>
      <c r="E29" s="33"/>
      <c r="F29" s="33"/>
      <c r="G29" s="33"/>
      <c r="H29" s="34">
        <f>H28+H27</f>
        <v>16264</v>
      </c>
    </row>
  </sheetData>
  <sheetProtection password="A72F" sheet="1" objects="1" scenarios="1"/>
  <phoneticPr fontId="11" type="noConversion"/>
  <dataValidations count="7">
    <dataValidation type="list" allowBlank="1" showInputMessage="1" showErrorMessage="1" error="This name is not cecognized" sqref="A1">
      <formula1>partners_list</formula1>
    </dataValidation>
    <dataValidation type="list" allowBlank="1" showInputMessage="1" showErrorMessage="1" error="This name is not cecognized" sqref="B6:B9">
      <formula1>CO_employees</formula1>
    </dataValidation>
    <dataValidation type="list" allowBlank="1" showInputMessage="1" showErrorMessage="1" error="This name is not cecognized" sqref="A6">
      <formula1>partners_list</formula1>
    </dataValidation>
    <dataValidation type="list" allowBlank="1" showInputMessage="1" showErrorMessage="1" error="This name is not cecognized" sqref="A12">
      <formula1>partners_list</formula1>
    </dataValidation>
    <dataValidation type="list" allowBlank="1" showInputMessage="1" showErrorMessage="1" error="This name is not cecognized" sqref="A16">
      <formula1>partners_list</formula1>
    </dataValidation>
    <dataValidation type="list" allowBlank="1" showInputMessage="1" showErrorMessage="1" error="This name is not cecognized" sqref="A20">
      <formula1>partners_list</formula1>
    </dataValidation>
    <dataValidation type="list" allowBlank="1" showInputMessage="1" showErrorMessage="1" error="This name is not cecognized" sqref="A24">
      <formula1>partners_list</formula1>
    </dataValidation>
  </dataValidations>
  <pageMargins left="0.55000000000000004" right="0.75" top="0.51" bottom="0.5" header="0.5" footer="0.5"/>
  <pageSetup paperSize="9" scale="77" orientation="landscape" r:id="rId1"/>
  <headerFooter alignWithMargins="0"/>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93" r:id="rId4" name="Button 5">
              <controlPr defaultSize="0" print="0" autoFill="0" autoPict="0" macro="[0]!btnAddPartnerToSection_Click">
                <anchor moveWithCells="1" sizeWithCells="1">
                  <from>
                    <xdr:col>3</xdr:col>
                    <xdr:colOff>104775</xdr:colOff>
                    <xdr:row>0</xdr:row>
                    <xdr:rowOff>114300</xdr:rowOff>
                  </from>
                  <to>
                    <xdr:col>5</xdr:col>
                    <xdr:colOff>304800</xdr:colOff>
                    <xdr:row>1</xdr:row>
                    <xdr:rowOff>95250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J33"/>
  <sheetViews>
    <sheetView zoomScale="80" zoomScaleNormal="80" workbookViewId="0">
      <selection activeCell="C12" sqref="C12"/>
    </sheetView>
  </sheetViews>
  <sheetFormatPr defaultColWidth="9.140625" defaultRowHeight="12.75" x14ac:dyDescent="0.2"/>
  <cols>
    <col min="1" max="1" width="34.85546875" customWidth="1"/>
    <col min="2" max="2" width="13.85546875" style="36" customWidth="1"/>
    <col min="3" max="3" width="17" style="171" customWidth="1"/>
    <col min="4" max="4" width="16.5703125" style="36" customWidth="1"/>
    <col min="5" max="5" width="12.85546875" style="36" customWidth="1"/>
    <col min="6" max="6" width="12.42578125" style="36" customWidth="1"/>
    <col min="7" max="7" width="15.140625" style="36" customWidth="1"/>
    <col min="8" max="8" width="14.7109375" style="36" customWidth="1"/>
    <col min="9" max="9" width="8.42578125" customWidth="1"/>
    <col min="10" max="256" width="11.42578125" customWidth="1"/>
  </cols>
  <sheetData>
    <row r="1" spans="1:10" ht="18" x14ac:dyDescent="0.25">
      <c r="A1" s="35" t="s">
        <v>12</v>
      </c>
    </row>
    <row r="2" spans="1:10" ht="18" x14ac:dyDescent="0.25">
      <c r="A2" s="35" t="s">
        <v>44</v>
      </c>
    </row>
    <row r="4" spans="1:10" s="68" customFormat="1" x14ac:dyDescent="0.2">
      <c r="B4" s="104"/>
      <c r="C4" s="172"/>
      <c r="D4" s="104"/>
      <c r="E4" s="135"/>
      <c r="F4" s="104"/>
      <c r="G4" s="104"/>
      <c r="H4" s="104"/>
    </row>
    <row r="5" spans="1:10" s="40" customFormat="1" ht="14.25" x14ac:dyDescent="0.2">
      <c r="A5" s="166" t="s">
        <v>18</v>
      </c>
      <c r="B5" s="476" t="s">
        <v>41</v>
      </c>
      <c r="C5" s="477" t="s">
        <v>78</v>
      </c>
      <c r="D5" s="476" t="s">
        <v>42</v>
      </c>
      <c r="E5" s="476" t="s">
        <v>19</v>
      </c>
      <c r="F5" s="476" t="s">
        <v>20</v>
      </c>
      <c r="G5" s="476" t="s">
        <v>92</v>
      </c>
      <c r="H5" s="476" t="s">
        <v>80</v>
      </c>
    </row>
    <row r="6" spans="1:10" s="40" customFormat="1" ht="14.25" x14ac:dyDescent="0.2">
      <c r="A6" s="41" t="s">
        <v>40</v>
      </c>
      <c r="B6" s="52">
        <f>WP1_SEC1_subtotal</f>
        <v>281640</v>
      </c>
      <c r="C6" s="52">
        <f>B6*0.6</f>
        <v>168984</v>
      </c>
      <c r="D6" s="52">
        <f>WP1_SEC2_subtotal</f>
        <v>0</v>
      </c>
      <c r="E6" s="52">
        <f>WP1_SEC3_subtotal</f>
        <v>40570</v>
      </c>
      <c r="F6" s="52">
        <f>WP1_SEC4_subtotal</f>
        <v>0</v>
      </c>
      <c r="G6" s="52">
        <f>WP1_SEC5_subtotal</f>
        <v>37000</v>
      </c>
      <c r="H6" s="63">
        <f>SUM(B6:G6)</f>
        <v>528194</v>
      </c>
      <c r="I6" s="80"/>
    </row>
    <row r="7" spans="1:10" s="40" customFormat="1" ht="14.25" x14ac:dyDescent="0.2">
      <c r="A7" s="41" t="s">
        <v>208</v>
      </c>
      <c r="B7" s="52">
        <f>WP2_SEC1_subtotal</f>
        <v>318724</v>
      </c>
      <c r="C7" s="52">
        <f t="shared" ref="C7:C13" si="0">B7*0.6</f>
        <v>191234.4</v>
      </c>
      <c r="D7" s="52">
        <f>WP2_SEC2_subtotal</f>
        <v>7400</v>
      </c>
      <c r="E7" s="52">
        <f>WP2_SEC3_subtotal</f>
        <v>42896</v>
      </c>
      <c r="F7" s="52">
        <f>WP2_SEC4_subtotal</f>
        <v>0</v>
      </c>
      <c r="G7" s="52">
        <f>WP2_SEC5_subtotal</f>
        <v>28950</v>
      </c>
      <c r="H7" s="63">
        <f t="shared" ref="H7:H13" si="1">SUM(B7:G7)</f>
        <v>589204.4</v>
      </c>
    </row>
    <row r="8" spans="1:10" s="40" customFormat="1" ht="14.25" x14ac:dyDescent="0.2">
      <c r="A8" s="41" t="s">
        <v>479</v>
      </c>
      <c r="B8" s="52">
        <f>WP3_SEC1_subtotal</f>
        <v>406936</v>
      </c>
      <c r="C8" s="52">
        <f t="shared" si="0"/>
        <v>244161.59999999998</v>
      </c>
      <c r="D8" s="52">
        <f>WP3_SEC2_subtotal</f>
        <v>2000</v>
      </c>
      <c r="E8" s="52">
        <f>WP3_SEC3_subtotal</f>
        <v>90222</v>
      </c>
      <c r="F8" s="52">
        <f>WP3_SEC4_subtotal</f>
        <v>0</v>
      </c>
      <c r="G8" s="52">
        <f>WP3_SEC5_subtotal</f>
        <v>27000</v>
      </c>
      <c r="H8" s="63">
        <f t="shared" si="1"/>
        <v>770319.6</v>
      </c>
      <c r="I8" s="36"/>
    </row>
    <row r="9" spans="1:10" s="40" customFormat="1" ht="14.25" x14ac:dyDescent="0.2">
      <c r="A9" s="41" t="s">
        <v>480</v>
      </c>
      <c r="B9" s="52">
        <f>WP4_SEC1_subtotal</f>
        <v>251682</v>
      </c>
      <c r="C9" s="52">
        <f t="shared" si="0"/>
        <v>151009.19999999998</v>
      </c>
      <c r="D9" s="52">
        <f>WP4_SEC2_subtotal</f>
        <v>12000</v>
      </c>
      <c r="E9" s="52">
        <f>WP4_SEC3_subtotal</f>
        <v>44430</v>
      </c>
      <c r="F9" s="52">
        <f>WP4_SEC4_subtotal</f>
        <v>0</v>
      </c>
      <c r="G9" s="52">
        <f>WP4_SEC5_subtotal</f>
        <v>41700</v>
      </c>
      <c r="H9" s="63">
        <f>SUM(B9:G9)</f>
        <v>500821.19999999995</v>
      </c>
      <c r="I9" s="341"/>
    </row>
    <row r="10" spans="1:10" s="40" customFormat="1" ht="14.25" x14ac:dyDescent="0.2">
      <c r="A10" s="41" t="s">
        <v>481</v>
      </c>
      <c r="B10" s="52">
        <f>WP5_SEC1_subtotal</f>
        <v>407400</v>
      </c>
      <c r="C10" s="52">
        <f t="shared" si="0"/>
        <v>244440</v>
      </c>
      <c r="D10" s="52">
        <f>WP5_SEC2_subtotal</f>
        <v>37400</v>
      </c>
      <c r="E10" s="52">
        <f>WP5_SEC3_subtotal</f>
        <v>44995</v>
      </c>
      <c r="F10" s="52">
        <f>WP5_SEC4_subtotal</f>
        <v>0</v>
      </c>
      <c r="G10" s="52">
        <f>WP5_SEC5_subtotal</f>
        <v>50300</v>
      </c>
      <c r="H10" s="63">
        <f t="shared" si="1"/>
        <v>784535</v>
      </c>
    </row>
    <row r="11" spans="1:10" s="40" customFormat="1" ht="14.25" x14ac:dyDescent="0.2">
      <c r="A11" s="41" t="s">
        <v>482</v>
      </c>
      <c r="B11" s="52">
        <f>WP6_SEC1_subtotal</f>
        <v>179472</v>
      </c>
      <c r="C11" s="52">
        <f t="shared" si="0"/>
        <v>107683.2</v>
      </c>
      <c r="D11" s="52">
        <f>WP6_SEC2_subtotal</f>
        <v>500</v>
      </c>
      <c r="E11" s="52">
        <f>WP6_SEC3_subtotal</f>
        <v>28110</v>
      </c>
      <c r="F11" s="52">
        <f>WP6_SEC4_subtotal</f>
        <v>0</v>
      </c>
      <c r="G11" s="52">
        <f>WP6_SEC5_subtotal</f>
        <v>12600</v>
      </c>
      <c r="H11" s="63">
        <f t="shared" si="1"/>
        <v>328365.2</v>
      </c>
    </row>
    <row r="12" spans="1:10" s="40" customFormat="1" ht="14.25" x14ac:dyDescent="0.2">
      <c r="A12" s="41" t="s">
        <v>209</v>
      </c>
      <c r="B12" s="52">
        <f>WP7_SEC1_subtotal</f>
        <v>130136</v>
      </c>
      <c r="C12" s="52">
        <f t="shared" si="0"/>
        <v>78081.599999999991</v>
      </c>
      <c r="D12" s="52">
        <f>WP7_SEC2_subtotal</f>
        <v>20000</v>
      </c>
      <c r="E12" s="52">
        <f>WP7_SEC3_subtotal</f>
        <v>17104</v>
      </c>
      <c r="F12" s="52">
        <f>WP7_SEC4_subtotal</f>
        <v>0</v>
      </c>
      <c r="G12" s="52">
        <f>WP7_SEC5_subtotal</f>
        <v>34550</v>
      </c>
      <c r="H12" s="63">
        <f t="shared" si="1"/>
        <v>279871.59999999998</v>
      </c>
      <c r="I12" s="82"/>
      <c r="J12" s="80"/>
    </row>
    <row r="13" spans="1:10" s="40" customFormat="1" ht="14.25" x14ac:dyDescent="0.2">
      <c r="A13" s="41" t="s">
        <v>210</v>
      </c>
      <c r="B13" s="52">
        <f>WP8_SEC1_subtotal</f>
        <v>9040</v>
      </c>
      <c r="C13" s="52">
        <f t="shared" si="0"/>
        <v>5424</v>
      </c>
      <c r="D13" s="52">
        <f>WP8_SEC2_subtotal</f>
        <v>0</v>
      </c>
      <c r="E13" s="52">
        <f>WP8_SEC3_subtotal</f>
        <v>1800</v>
      </c>
      <c r="F13" s="52">
        <f>WP8_SEC4_subtotal</f>
        <v>0</v>
      </c>
      <c r="G13" s="52">
        <f>WP8_SEC5_subtotal</f>
        <v>0</v>
      </c>
      <c r="H13" s="63">
        <f t="shared" si="1"/>
        <v>16264</v>
      </c>
      <c r="I13" s="81"/>
    </row>
    <row r="14" spans="1:10" s="40" customFormat="1" ht="14.25" x14ac:dyDescent="0.2">
      <c r="A14" s="166" t="s">
        <v>21</v>
      </c>
      <c r="B14" s="167">
        <f>SUM(B6:B13)</f>
        <v>1985030</v>
      </c>
      <c r="C14" s="167">
        <f>SUM(C6:C13)</f>
        <v>1191018</v>
      </c>
      <c r="D14" s="167">
        <f>SUM(D6:D13)</f>
        <v>79300</v>
      </c>
      <c r="E14" s="167">
        <f>SUM(E6:E13)</f>
        <v>310127</v>
      </c>
      <c r="F14" s="167">
        <f t="shared" ref="F14" si="2">SUM(F6:F13)</f>
        <v>0</v>
      </c>
      <c r="G14" s="167">
        <f>SUM(G6:G13)</f>
        <v>232100</v>
      </c>
      <c r="H14" s="167">
        <f>SUM(B14:G14)</f>
        <v>3797575</v>
      </c>
    </row>
    <row r="15" spans="1:10" ht="15" x14ac:dyDescent="0.2">
      <c r="C15" s="188"/>
      <c r="D15" s="189"/>
      <c r="H15" s="104">
        <f>SUM(H6:H13)</f>
        <v>3797575.0000000005</v>
      </c>
      <c r="I15" s="80"/>
    </row>
    <row r="16" spans="1:10" x14ac:dyDescent="0.2">
      <c r="C16" s="190"/>
      <c r="D16" s="189"/>
      <c r="E16" s="1790">
        <f>E14-'Summary 2'!E37</f>
        <v>0</v>
      </c>
      <c r="G16" s="1790">
        <f>G14-'Summary 2'!G37</f>
        <v>0</v>
      </c>
    </row>
    <row r="17" spans="1:9" ht="18" x14ac:dyDescent="0.25">
      <c r="A17" s="57"/>
      <c r="B17" s="55"/>
      <c r="C17" s="173"/>
      <c r="D17" s="55"/>
      <c r="E17" s="55"/>
      <c r="F17" s="55"/>
      <c r="G17" s="55"/>
      <c r="H17" s="55"/>
      <c r="I17" s="56"/>
    </row>
    <row r="18" spans="1:9" ht="18" x14ac:dyDescent="0.25">
      <c r="A18" s="57"/>
      <c r="B18" s="55"/>
      <c r="C18" s="173"/>
      <c r="D18" s="55"/>
      <c r="E18" s="55"/>
      <c r="F18" s="55"/>
      <c r="G18" s="55"/>
      <c r="H18" s="55"/>
      <c r="I18" s="56"/>
    </row>
    <row r="19" spans="1:9" ht="18" x14ac:dyDescent="0.25">
      <c r="A19" s="57"/>
      <c r="B19" s="55"/>
      <c r="C19" s="173"/>
      <c r="D19" s="55"/>
      <c r="E19" s="55"/>
      <c r="F19" s="55"/>
      <c r="G19" s="55"/>
      <c r="H19" s="55"/>
      <c r="I19" s="56"/>
    </row>
    <row r="20" spans="1:9" x14ac:dyDescent="0.2">
      <c r="A20" s="56"/>
      <c r="B20" s="55"/>
      <c r="C20" s="173"/>
      <c r="D20" s="55"/>
      <c r="E20" s="55"/>
      <c r="F20" s="55"/>
      <c r="G20" s="55"/>
      <c r="H20" s="55"/>
      <c r="I20" s="56"/>
    </row>
    <row r="21" spans="1:9" s="40" customFormat="1" ht="14.25" x14ac:dyDescent="0.2">
      <c r="A21" s="53"/>
      <c r="B21" s="58"/>
      <c r="C21" s="174"/>
      <c r="D21" s="55"/>
      <c r="E21" s="58"/>
      <c r="F21" s="55"/>
      <c r="G21" s="58"/>
      <c r="H21" s="58"/>
      <c r="I21" s="53"/>
    </row>
    <row r="22" spans="1:9" s="40" customFormat="1" ht="14.25" x14ac:dyDescent="0.2">
      <c r="A22" s="53"/>
      <c r="B22" s="58"/>
      <c r="C22" s="174"/>
      <c r="D22" s="55"/>
      <c r="E22" s="58"/>
      <c r="F22" s="55"/>
      <c r="G22" s="58"/>
      <c r="H22" s="58"/>
      <c r="I22" s="58"/>
    </row>
    <row r="23" spans="1:9" s="40" customFormat="1" ht="14.25" x14ac:dyDescent="0.2">
      <c r="A23" s="53"/>
      <c r="B23" s="58"/>
      <c r="C23" s="174"/>
      <c r="D23" s="55"/>
      <c r="E23" s="58"/>
      <c r="F23" s="55"/>
      <c r="G23" s="58"/>
      <c r="H23" s="58"/>
      <c r="I23" s="58"/>
    </row>
    <row r="24" spans="1:9" s="40" customFormat="1" ht="14.25" x14ac:dyDescent="0.2">
      <c r="A24" s="53"/>
      <c r="B24" s="58"/>
      <c r="C24" s="174"/>
      <c r="D24" s="55"/>
      <c r="E24" s="58"/>
      <c r="F24" s="55"/>
      <c r="G24" s="58"/>
      <c r="H24" s="58"/>
      <c r="I24" s="58"/>
    </row>
    <row r="25" spans="1:9" s="40" customFormat="1" ht="14.25" x14ac:dyDescent="0.2">
      <c r="A25" s="53"/>
      <c r="B25" s="58"/>
      <c r="C25" s="174"/>
      <c r="D25" s="55"/>
      <c r="E25" s="58"/>
      <c r="F25" s="55"/>
      <c r="G25" s="58"/>
      <c r="H25" s="58"/>
      <c r="I25" s="58"/>
    </row>
    <row r="26" spans="1:9" s="40" customFormat="1" ht="14.25" x14ac:dyDescent="0.2">
      <c r="A26" s="53"/>
      <c r="B26" s="58"/>
      <c r="C26" s="174"/>
      <c r="D26" s="55"/>
      <c r="E26" s="58"/>
      <c r="F26" s="55"/>
      <c r="G26" s="58"/>
      <c r="H26" s="58"/>
      <c r="I26" s="58"/>
    </row>
    <row r="27" spans="1:9" s="45" customFormat="1" ht="14.25" x14ac:dyDescent="0.2">
      <c r="A27" s="59"/>
      <c r="B27" s="60"/>
      <c r="C27" s="175"/>
      <c r="D27" s="60"/>
      <c r="E27" s="60"/>
      <c r="F27" s="60"/>
      <c r="G27" s="60"/>
      <c r="H27" s="60"/>
      <c r="I27" s="59"/>
    </row>
    <row r="28" spans="1:9" s="40" customFormat="1" ht="14.25" x14ac:dyDescent="0.2">
      <c r="A28" s="53"/>
      <c r="B28" s="58"/>
      <c r="C28" s="174"/>
      <c r="D28" s="58"/>
      <c r="E28" s="58"/>
      <c r="F28" s="58"/>
      <c r="G28" s="58"/>
      <c r="H28" s="58"/>
      <c r="I28" s="53"/>
    </row>
    <row r="29" spans="1:9" s="40" customFormat="1" ht="14.25" x14ac:dyDescent="0.2">
      <c r="A29" s="53"/>
      <c r="B29" s="58"/>
      <c r="C29" s="174"/>
      <c r="D29" s="58"/>
      <c r="E29" s="58"/>
      <c r="F29" s="58"/>
      <c r="G29" s="58"/>
      <c r="H29" s="58"/>
      <c r="I29" s="53"/>
    </row>
    <row r="30" spans="1:9" x14ac:dyDescent="0.2">
      <c r="A30" s="56"/>
      <c r="B30" s="55"/>
      <c r="C30" s="173"/>
      <c r="D30" s="55"/>
      <c r="E30" s="55"/>
      <c r="F30" s="55"/>
      <c r="G30" s="55"/>
      <c r="H30" s="55"/>
      <c r="I30" s="56"/>
    </row>
    <row r="31" spans="1:9" s="47" customFormat="1" ht="15" x14ac:dyDescent="0.25">
      <c r="A31" s="46"/>
      <c r="B31" s="54"/>
      <c r="C31" s="176"/>
      <c r="D31" s="54"/>
      <c r="E31" s="54"/>
      <c r="F31" s="55"/>
      <c r="G31" s="55"/>
      <c r="H31" s="55"/>
      <c r="I31" s="56"/>
    </row>
    <row r="32" spans="1:9" x14ac:dyDescent="0.2">
      <c r="A32" s="56"/>
      <c r="B32" s="55"/>
      <c r="C32" s="173"/>
      <c r="D32" s="55"/>
      <c r="E32" s="55"/>
      <c r="F32" s="55"/>
      <c r="G32" s="55"/>
      <c r="H32" s="55"/>
      <c r="I32" s="56"/>
    </row>
    <row r="33" spans="1:9" x14ac:dyDescent="0.2">
      <c r="A33" s="56"/>
      <c r="B33" s="55"/>
      <c r="C33" s="173"/>
      <c r="D33" s="55"/>
      <c r="E33" s="55"/>
      <c r="F33" s="55"/>
      <c r="G33" s="55"/>
      <c r="H33" s="55"/>
      <c r="I33" s="56"/>
    </row>
  </sheetData>
  <sheetProtection password="A72F" sheet="1" objects="1" scenarios="1"/>
  <phoneticPr fontId="0" type="noConversion"/>
  <pageMargins left="0.38" right="0.44" top="1" bottom="1" header="0.5" footer="0.5"/>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btnSetSummary1_Click">
                <anchor moveWithCells="1" sizeWithCells="1">
                  <from>
                    <xdr:col>6</xdr:col>
                    <xdr:colOff>419100</xdr:colOff>
                    <xdr:row>1</xdr:row>
                    <xdr:rowOff>0</xdr:rowOff>
                  </from>
                  <to>
                    <xdr:col>7</xdr:col>
                    <xdr:colOff>457200</xdr:colOff>
                    <xdr:row>1</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AO88"/>
  <sheetViews>
    <sheetView topLeftCell="G1" zoomScale="90" zoomScaleNormal="90" workbookViewId="0">
      <selection activeCell="K19" sqref="K19"/>
    </sheetView>
  </sheetViews>
  <sheetFormatPr defaultColWidth="9.140625" defaultRowHeight="12.75" x14ac:dyDescent="0.2"/>
  <cols>
    <col min="1" max="1" width="15.7109375" customWidth="1"/>
    <col min="2" max="2" width="15.7109375" style="36" customWidth="1"/>
    <col min="3" max="3" width="17.85546875" style="36" customWidth="1"/>
    <col min="4" max="4" width="16.85546875" style="36" customWidth="1"/>
    <col min="5" max="6" width="13.7109375" style="36" customWidth="1"/>
    <col min="7" max="7" width="13.85546875" style="36" customWidth="1"/>
    <col min="8" max="8" width="15.7109375" style="36" customWidth="1"/>
    <col min="9" max="13" width="14.5703125" customWidth="1"/>
    <col min="14" max="14" width="16.85546875" customWidth="1"/>
    <col min="15" max="15" width="16.85546875" style="2387" customWidth="1"/>
    <col min="16" max="16" width="16.85546875" customWidth="1"/>
    <col min="17" max="17" width="16.85546875" style="2387" customWidth="1"/>
    <col min="18" max="19" width="17" style="55" customWidth="1"/>
    <col min="20" max="20" width="14.28515625" style="2458" customWidth="1"/>
    <col min="21" max="21" width="15.42578125" customWidth="1"/>
    <col min="22" max="22" width="14.42578125" customWidth="1"/>
    <col min="23" max="25" width="14.28515625" customWidth="1"/>
    <col min="26" max="265" width="11.42578125" customWidth="1"/>
  </cols>
  <sheetData>
    <row r="1" spans="1:20" s="35" customFormat="1" ht="18" x14ac:dyDescent="0.25">
      <c r="A1" s="35" t="s">
        <v>101</v>
      </c>
      <c r="B1" s="39"/>
      <c r="C1" s="39"/>
      <c r="D1" s="39"/>
      <c r="E1" s="39"/>
      <c r="F1" s="39"/>
      <c r="G1" s="39"/>
      <c r="H1" s="39"/>
      <c r="O1" s="2386"/>
      <c r="Q1" s="2386"/>
      <c r="R1" s="61"/>
      <c r="S1" s="61"/>
      <c r="T1" s="2457"/>
    </row>
    <row r="2" spans="1:20" s="35" customFormat="1" ht="18" x14ac:dyDescent="0.25">
      <c r="A2" s="35" t="s">
        <v>102</v>
      </c>
      <c r="B2" s="39"/>
      <c r="C2" s="39"/>
      <c r="D2" s="39"/>
      <c r="E2" s="39"/>
      <c r="F2" s="39"/>
      <c r="G2" s="39"/>
      <c r="H2" s="39"/>
      <c r="O2" s="2386"/>
      <c r="Q2" s="2386"/>
      <c r="R2" s="61"/>
      <c r="S2" s="61"/>
      <c r="T2" s="2457"/>
    </row>
    <row r="3" spans="1:20" ht="13.5" thickBot="1" x14ac:dyDescent="0.25"/>
    <row r="4" spans="1:20" s="68" customFormat="1" x14ac:dyDescent="0.2">
      <c r="B4" s="104"/>
      <c r="C4" s="104"/>
      <c r="D4" s="104"/>
      <c r="E4" s="104"/>
      <c r="F4" s="104"/>
      <c r="G4" s="104"/>
      <c r="H4" s="104"/>
      <c r="I4" s="2262" t="s">
        <v>997</v>
      </c>
      <c r="J4" s="2263"/>
      <c r="K4" s="2263"/>
      <c r="L4" s="2264"/>
      <c r="M4" s="2262" t="s">
        <v>992</v>
      </c>
      <c r="N4" s="2264"/>
      <c r="O4" s="2388" t="s">
        <v>993</v>
      </c>
      <c r="P4" s="2263"/>
      <c r="Q4" s="2425"/>
      <c r="R4" s="2330"/>
      <c r="S4" s="2334"/>
      <c r="T4" s="2072"/>
    </row>
    <row r="5" spans="1:20" s="38" customFormat="1" ht="12.95" customHeight="1" x14ac:dyDescent="0.2">
      <c r="A5" s="37" t="s">
        <v>0</v>
      </c>
      <c r="B5" s="52" t="s">
        <v>41</v>
      </c>
      <c r="C5" s="52" t="s">
        <v>78</v>
      </c>
      <c r="D5" s="52" t="s">
        <v>42</v>
      </c>
      <c r="E5" s="52" t="s">
        <v>19</v>
      </c>
      <c r="F5" s="52" t="s">
        <v>20</v>
      </c>
      <c r="G5" s="52" t="s">
        <v>43</v>
      </c>
      <c r="H5" s="2231" t="s">
        <v>81</v>
      </c>
      <c r="I5" s="2265"/>
      <c r="J5" s="1269" t="s">
        <v>488</v>
      </c>
      <c r="K5" s="1269"/>
      <c r="L5" s="2266" t="s">
        <v>118</v>
      </c>
      <c r="M5" s="2328" t="s">
        <v>994</v>
      </c>
      <c r="N5" s="2266" t="s">
        <v>1015</v>
      </c>
      <c r="O5" s="2389" t="s">
        <v>937</v>
      </c>
      <c r="P5" s="137"/>
      <c r="Q5" s="2426" t="s">
        <v>940</v>
      </c>
      <c r="R5" s="2331"/>
      <c r="S5" s="2365" t="s">
        <v>995</v>
      </c>
      <c r="T5" s="2057"/>
    </row>
    <row r="6" spans="1:20" s="38" customFormat="1" ht="12.95" customHeight="1" x14ac:dyDescent="0.2">
      <c r="A6" s="37"/>
      <c r="B6" s="52"/>
      <c r="C6" s="52" t="s">
        <v>77</v>
      </c>
      <c r="D6" s="52"/>
      <c r="E6" s="52"/>
      <c r="F6" s="52"/>
      <c r="G6" s="52"/>
      <c r="H6" s="2231"/>
      <c r="I6" s="2265" t="s">
        <v>489</v>
      </c>
      <c r="J6" s="213"/>
      <c r="K6" s="213" t="s">
        <v>890</v>
      </c>
      <c r="L6" s="2266" t="s">
        <v>79</v>
      </c>
      <c r="M6" s="2328"/>
      <c r="N6" s="2266"/>
      <c r="O6" s="2389" t="s">
        <v>936</v>
      </c>
      <c r="P6" s="137" t="s">
        <v>938</v>
      </c>
      <c r="Q6" s="2426" t="s">
        <v>936</v>
      </c>
      <c r="R6" s="2332" t="s">
        <v>939</v>
      </c>
      <c r="S6" s="2365" t="s">
        <v>996</v>
      </c>
      <c r="T6" s="2329"/>
    </row>
    <row r="7" spans="1:20" s="38" customFormat="1" ht="12.95" customHeight="1" x14ac:dyDescent="0.2">
      <c r="A7" s="103" t="s">
        <v>107</v>
      </c>
      <c r="B7" s="133">
        <f>WP1_SEC1_CO_total+WP2_SEC1_CO_total+WP3_SEC1_CO_total+WP4_SEC1_CO_total+WP5_SEC1_CO_total+WP6_SEC1_CO_total+WP7_SEC1_CO_total+WP8_SEC1_CO_total</f>
        <v>239520</v>
      </c>
      <c r="C7" s="133">
        <f t="shared" ref="C7:C21" si="0">B7*0.6</f>
        <v>143712</v>
      </c>
      <c r="D7" s="133">
        <f>WP7_SEC2_CO_total</f>
        <v>20000</v>
      </c>
      <c r="E7" s="133">
        <f>WP1_SEC3_CO_total+WP2_SEC3_CO_total+WP3_SEC3_CO_total+WP4_SEC3_CO_total+WP5_SEC3_CO_total+WP6_SEC3_CO_total+WP7_SEC3_CO_total+WP8_SEC3_CO_total</f>
        <v>28594</v>
      </c>
      <c r="F7" s="133"/>
      <c r="G7" s="133">
        <f>WP1_SEC5_CO_total+WP6_SEC5_CO_total</f>
        <v>24000</v>
      </c>
      <c r="H7" s="2232">
        <f t="shared" ref="H7:H21" si="1">SUM(B7:G7)</f>
        <v>455826</v>
      </c>
      <c r="I7" s="2267">
        <v>75</v>
      </c>
      <c r="J7" s="165">
        <f>H7*0.75</f>
        <v>341869.5</v>
      </c>
      <c r="K7" s="165">
        <v>25</v>
      </c>
      <c r="L7" s="2268">
        <f>H7*0.25</f>
        <v>113956.5</v>
      </c>
      <c r="M7" s="2366"/>
      <c r="N7" s="2268">
        <f>(H37-H7-H28-H32-H8)*0.03</f>
        <v>89203.151999999987</v>
      </c>
      <c r="O7" s="2390">
        <f>P7/H7*100</f>
        <v>94.598377451044911</v>
      </c>
      <c r="P7" s="165">
        <v>431204</v>
      </c>
      <c r="Q7" s="2427">
        <f>R7/H7*100</f>
        <v>5.4016225489550838</v>
      </c>
      <c r="R7" s="2232">
        <f t="shared" ref="R7:R19" si="2">H7-P7</f>
        <v>24622</v>
      </c>
      <c r="S7" s="2335">
        <f>P7+R7</f>
        <v>455826</v>
      </c>
      <c r="T7" s="2056"/>
    </row>
    <row r="8" spans="1:20" s="38" customFormat="1" ht="12.95" customHeight="1" x14ac:dyDescent="0.2">
      <c r="A8" s="751" t="s">
        <v>203</v>
      </c>
      <c r="B8" s="358">
        <f>WP1_SEC1_P2_total+WP2_SEC1_P2_total+WP3_SEC1_P2_total+WP4_SEC1_P2_total+WP5_SEC1_P2_total+WP6_SEC1_P2_total+WP7_SEC1_P2_total</f>
        <v>111592</v>
      </c>
      <c r="C8" s="358">
        <f t="shared" si="0"/>
        <v>66955.199999999997</v>
      </c>
      <c r="D8" s="358"/>
      <c r="E8" s="358">
        <f>WP1_SEC3_P2_total+WP2_SEC3_P2_total+WP3_SEC3_P2_total+WP4_SEC3_P2_total+WP5_SEC3_P2_total+WP6_SEC3_P2_total+WP7_SEC3_P2_total</f>
        <v>16179</v>
      </c>
      <c r="F8" s="358"/>
      <c r="G8" s="358">
        <f>WP4_SEC5_P2_total+WP7_SEC5_P2_total</f>
        <v>8200</v>
      </c>
      <c r="H8" s="2233">
        <f t="shared" si="1"/>
        <v>202926.2</v>
      </c>
      <c r="I8" s="2269">
        <v>72</v>
      </c>
      <c r="J8" s="752">
        <f t="shared" ref="J8:J13" si="3">H8*0.72</f>
        <v>146106.864</v>
      </c>
      <c r="K8" s="752">
        <v>28</v>
      </c>
      <c r="L8" s="2270">
        <f t="shared" ref="L8:L13" si="4">H8*0.28</f>
        <v>56819.33600000001</v>
      </c>
      <c r="M8" s="2269"/>
      <c r="N8" s="2270">
        <v>4000</v>
      </c>
      <c r="O8" s="2391">
        <f>P8/H8*100</f>
        <v>73.969748608114671</v>
      </c>
      <c r="P8" s="752">
        <v>150104</v>
      </c>
      <c r="Q8" s="2428">
        <f>R8/H8*100</f>
        <v>26.030251391885329</v>
      </c>
      <c r="R8" s="2233">
        <f t="shared" si="2"/>
        <v>52822.200000000012</v>
      </c>
      <c r="S8" s="2336">
        <f>P8+R8</f>
        <v>202926.2</v>
      </c>
      <c r="T8" s="2459"/>
    </row>
    <row r="9" spans="1:20" s="38" customFormat="1" ht="12.95" customHeight="1" x14ac:dyDescent="0.2">
      <c r="A9" s="753" t="s">
        <v>204</v>
      </c>
      <c r="B9" s="754">
        <f>WP1_SEC1_P3_total+WP2_SEC1_P3_total+WP3_SEC1_P3_total+WP4_SEC1_P3_total+WP5_SEC1_P3_total+WP6_SEC1_P3_total+WP7_SEC1_P3_total</f>
        <v>95328</v>
      </c>
      <c r="C9" s="754">
        <f t="shared" si="0"/>
        <v>57196.799999999996</v>
      </c>
      <c r="D9" s="754"/>
      <c r="E9" s="754">
        <f>WP1_SEC3_P3_total+WP2_SEC3_P3_total+WP3_SEC3_P3_total+WP4_SEC3_P3_total+WP5_SEC3_P3_total+WP6_SEC3_P3_total+WP7_SEC3_P3_total</f>
        <v>18898</v>
      </c>
      <c r="F9" s="754"/>
      <c r="G9" s="754">
        <f>WP4_SEC5_P3_total</f>
        <v>2500</v>
      </c>
      <c r="H9" s="2234">
        <f t="shared" si="1"/>
        <v>173922.8</v>
      </c>
      <c r="I9" s="2271">
        <v>72</v>
      </c>
      <c r="J9" s="755">
        <f t="shared" si="3"/>
        <v>125224.41599999998</v>
      </c>
      <c r="K9" s="755">
        <v>28</v>
      </c>
      <c r="L9" s="2272">
        <f t="shared" si="4"/>
        <v>48698.383999999998</v>
      </c>
      <c r="M9" s="2271"/>
      <c r="N9" s="2272"/>
      <c r="O9" s="2392">
        <v>72</v>
      </c>
      <c r="P9" s="755">
        <v>125219</v>
      </c>
      <c r="Q9" s="2429">
        <v>28</v>
      </c>
      <c r="R9" s="2234">
        <f t="shared" si="2"/>
        <v>48703.799999999988</v>
      </c>
      <c r="S9" s="2337">
        <f>P9+R9</f>
        <v>173922.8</v>
      </c>
      <c r="T9" s="2460"/>
    </row>
    <row r="10" spans="1:20" s="38" customFormat="1" ht="12.95" customHeight="1" x14ac:dyDescent="0.2">
      <c r="A10" s="756" t="s">
        <v>308</v>
      </c>
      <c r="B10" s="757">
        <f>WP1_SEC1_P4_total+WP2_SEC1_P4_total+WP3_SEC1_P4_total+WP4_SEC1_P4_total+WP5_SEC1_P4_total+WP6_SEC1_P4_total+WP7_SEC1_P4_total</f>
        <v>203352</v>
      </c>
      <c r="C10" s="757">
        <f t="shared" si="0"/>
        <v>122011.2</v>
      </c>
      <c r="D10" s="757">
        <f>WP3_SEC2_P4_total</f>
        <v>2000</v>
      </c>
      <c r="E10" s="757">
        <f>WP1_SEC3_P4_total+WP2_SEC3_P4_total+WP3_SEC3_P4_total+WP5_SEC3_P4_total+WP6_SEC3_P4_total+WP7_SEC3_P4_total</f>
        <v>13565</v>
      </c>
      <c r="F10" s="757"/>
      <c r="G10" s="757">
        <f>WP3_SEC5_P4_total</f>
        <v>5000</v>
      </c>
      <c r="H10" s="2235">
        <f t="shared" si="1"/>
        <v>345928.2</v>
      </c>
      <c r="I10" s="2273">
        <v>72</v>
      </c>
      <c r="J10" s="758">
        <f t="shared" si="3"/>
        <v>249068.304</v>
      </c>
      <c r="K10" s="758">
        <v>28</v>
      </c>
      <c r="L10" s="2274">
        <f t="shared" si="4"/>
        <v>96859.896000000008</v>
      </c>
      <c r="M10" s="2273"/>
      <c r="N10" s="2274"/>
      <c r="O10" s="2393">
        <v>72</v>
      </c>
      <c r="P10" s="758">
        <f>H10*0.72</f>
        <v>249068.304</v>
      </c>
      <c r="Q10" s="2430">
        <v>28</v>
      </c>
      <c r="R10" s="2235">
        <f t="shared" si="2"/>
        <v>96859.896000000008</v>
      </c>
      <c r="S10" s="2338">
        <f>P10+R10</f>
        <v>345928.2</v>
      </c>
      <c r="T10" s="2460"/>
    </row>
    <row r="11" spans="1:20" s="38" customFormat="1" ht="12.95" customHeight="1" x14ac:dyDescent="0.2">
      <c r="A11" s="759" t="s">
        <v>309</v>
      </c>
      <c r="B11" s="760">
        <f>WP1_SEC1_P5_total+WP2_SEC1_P5_total+WP3_SEC1_P5_total+WP4_SEC1_P5_total+WP5_SEC1_P5_total+WP6_SEC1_P5_total+WP7_SEC1_P5_total</f>
        <v>199662</v>
      </c>
      <c r="C11" s="760">
        <f t="shared" si="0"/>
        <v>119797.2</v>
      </c>
      <c r="D11" s="760">
        <f>WP2_SEC2_P5_total</f>
        <v>750</v>
      </c>
      <c r="E11" s="760">
        <f>WP1_SEC3_P5_total+WP2_SEC3_P5_total+WP3_SEC3_P5_total+WP4_SEC3_P5_total+WP5_SEC3_P5_total+WP6_SEC3_P5_total+WP7_SEC3_P5_total</f>
        <v>15154</v>
      </c>
      <c r="F11" s="760"/>
      <c r="G11" s="760">
        <f>WP1_SEC5_P5_total+WP2_SEC5_P5_total+WP3_SEC5_P5_total+WP7_SEC5_P5_total</f>
        <v>31400</v>
      </c>
      <c r="H11" s="2236">
        <f t="shared" si="1"/>
        <v>366763.2</v>
      </c>
      <c r="I11" s="2275">
        <v>72</v>
      </c>
      <c r="J11" s="761">
        <f t="shared" si="3"/>
        <v>264069.50400000002</v>
      </c>
      <c r="K11" s="761">
        <v>28</v>
      </c>
      <c r="L11" s="2276">
        <f t="shared" si="4"/>
        <v>102693.69600000001</v>
      </c>
      <c r="M11" s="2275"/>
      <c r="N11" s="2276"/>
      <c r="O11" s="2394">
        <v>72</v>
      </c>
      <c r="P11" s="761">
        <v>264067</v>
      </c>
      <c r="Q11" s="2431">
        <v>28</v>
      </c>
      <c r="R11" s="2236">
        <f t="shared" si="2"/>
        <v>102696.20000000001</v>
      </c>
      <c r="S11" s="2339">
        <f>P11+R11</f>
        <v>366763.2</v>
      </c>
      <c r="T11" s="2461"/>
    </row>
    <row r="12" spans="1:20" s="38" customFormat="1" ht="12.95" customHeight="1" x14ac:dyDescent="0.2">
      <c r="A12" s="762" t="s">
        <v>310</v>
      </c>
      <c r="B12" s="763">
        <f>WP1_SEC1_P6_total+WP2_SEC1_P6_total+WP3_SEC1_P6_total+WP4_SEC1_P6_total+WP5_SEC1_P6_total+WP6_SEC1_P6_total+WP7_SEC1_P6_total</f>
        <v>201192</v>
      </c>
      <c r="C12" s="763">
        <f t="shared" si="0"/>
        <v>120715.2</v>
      </c>
      <c r="D12" s="763">
        <f>WP6_SEC2_P6_total</f>
        <v>500</v>
      </c>
      <c r="E12" s="763">
        <f>WP1_SEC3_P6_total+WP2_SEC3_P6_total+WP3_SEC3_P6_total+WP4_SEC3_P6_total+WP5_SEC3_P6_total+WP6_SEC3_P6_total+WP7_SEC3_P6_total</f>
        <v>17220</v>
      </c>
      <c r="F12" s="763"/>
      <c r="G12" s="763">
        <f>WP1_SEC5_P6_total+WP4_SEC5_P6_total</f>
        <v>10500</v>
      </c>
      <c r="H12" s="2237">
        <f t="shared" si="1"/>
        <v>350127.2</v>
      </c>
      <c r="I12" s="2277">
        <v>72</v>
      </c>
      <c r="J12" s="764">
        <f t="shared" si="3"/>
        <v>252091.584</v>
      </c>
      <c r="K12" s="764">
        <v>28</v>
      </c>
      <c r="L12" s="2278">
        <f t="shared" si="4"/>
        <v>98035.616000000009</v>
      </c>
      <c r="M12" s="2277"/>
      <c r="N12" s="2278">
        <f>M28+M32-4000</f>
        <v>37346.1</v>
      </c>
      <c r="O12" s="2395">
        <f>P12/H12*100</f>
        <v>82.666242439890411</v>
      </c>
      <c r="P12" s="764">
        <v>289437</v>
      </c>
      <c r="Q12" s="2432">
        <f>R12/H12*100</f>
        <v>17.333757560109586</v>
      </c>
      <c r="R12" s="2237">
        <f t="shared" si="2"/>
        <v>60690.200000000012</v>
      </c>
      <c r="S12" s="2340">
        <f>O12+R12</f>
        <v>60772.866242439901</v>
      </c>
      <c r="T12" s="2461"/>
    </row>
    <row r="13" spans="1:20" s="38" customFormat="1" ht="12.95" customHeight="1" x14ac:dyDescent="0.2">
      <c r="A13" s="765" t="s">
        <v>311</v>
      </c>
      <c r="B13" s="766">
        <f>WP1_SEC1_P7_total+WP2_SEC1_P7_total+WP3_SEC1_P7_total+WP4_SEC1_P7_total+WP5_SEC1_P7_total+WP6_SEC1_P7_total+WP7_SEC1_P7_total</f>
        <v>47832</v>
      </c>
      <c r="C13" s="766">
        <f t="shared" si="0"/>
        <v>28699.200000000001</v>
      </c>
      <c r="D13" s="766">
        <f>WP2_SEC2_P7_total</f>
        <v>500</v>
      </c>
      <c r="E13" s="766">
        <f>WP1_SEC3_P7_total+WP2_SEC3_P7_total+WP3_SEC3_P7_total+WP4_SEC3_P7_total+WP5_SEC3_P7_total+WP6_SEC3_P7_total+WP7_SEC3_P7_total</f>
        <v>11920</v>
      </c>
      <c r="F13" s="766"/>
      <c r="G13" s="766">
        <f>WP2_SEC5_P7_total+WP7_SEC5_P7_total</f>
        <v>5850</v>
      </c>
      <c r="H13" s="2238">
        <f t="shared" si="1"/>
        <v>94801.2</v>
      </c>
      <c r="I13" s="2279">
        <v>72</v>
      </c>
      <c r="J13" s="767">
        <f t="shared" si="3"/>
        <v>68256.864000000001</v>
      </c>
      <c r="K13" s="767">
        <v>28</v>
      </c>
      <c r="L13" s="2280">
        <f t="shared" si="4"/>
        <v>26544.336000000003</v>
      </c>
      <c r="M13" s="2279"/>
      <c r="N13" s="2280">
        <f>H13*0.11</f>
        <v>10428.132</v>
      </c>
      <c r="O13" s="2396">
        <f>P13/H13*100</f>
        <v>83</v>
      </c>
      <c r="P13" s="767">
        <f>J13+N13</f>
        <v>78684.995999999999</v>
      </c>
      <c r="Q13" s="2433">
        <f>R13/H13*100</f>
        <v>17</v>
      </c>
      <c r="R13" s="2238">
        <f t="shared" si="2"/>
        <v>16116.203999999998</v>
      </c>
      <c r="S13" s="2341">
        <f t="shared" ref="S13:S33" si="5">P13+R13</f>
        <v>94801.2</v>
      </c>
      <c r="T13" s="2462"/>
    </row>
    <row r="14" spans="1:20" s="38" customFormat="1" ht="12.95" customHeight="1" x14ac:dyDescent="0.2">
      <c r="A14" s="768" t="s">
        <v>407</v>
      </c>
      <c r="B14" s="769">
        <f>WP1_SEC1_P8_total+WP2_SEC1_P8_total+WP3_SEC1_P8_total+WP4_SEC1_P8_total+WP5_SEC1_P8_total+WP6_SEC1_P8_total+WP7_SEC1_P8_total</f>
        <v>92148</v>
      </c>
      <c r="C14" s="769">
        <f t="shared" si="0"/>
        <v>55288.799999999996</v>
      </c>
      <c r="D14" s="769">
        <f>WP2_SEC2_P8_total+WP4_SEC2_P8_total+WP5_SEC2_P8_total</f>
        <v>12000</v>
      </c>
      <c r="E14" s="769">
        <f>WP1_SEC3_P8_total+WP2_SEC3_P8_total+WP3_SEC3_P8_total+WP4_SEC3_P8_total+WP5_SEC3_P8_total+WP6_SEC3_P8_total+WP7_SEC3_P8_total</f>
        <v>17010</v>
      </c>
      <c r="F14" s="769"/>
      <c r="G14" s="769">
        <f>WP2_SEC5_P8_total+WP3_SEC5_P8_total+WP4_SEC5_P8_total+WP5_SEC5_P8_total+WP7_SEC5_P8_total</f>
        <v>19650</v>
      </c>
      <c r="H14" s="2239">
        <f t="shared" si="1"/>
        <v>196096.8</v>
      </c>
      <c r="I14" s="2281">
        <v>60</v>
      </c>
      <c r="J14" s="770">
        <f t="shared" ref="J14" si="6">H14*0.6</f>
        <v>117658.07999999999</v>
      </c>
      <c r="K14" s="770">
        <v>40</v>
      </c>
      <c r="L14" s="2282">
        <f>H14*0.4</f>
        <v>78438.720000000001</v>
      </c>
      <c r="M14" s="2281">
        <f>H14*0.12</f>
        <v>23531.615999999998</v>
      </c>
      <c r="N14" s="2282"/>
      <c r="O14" s="2397">
        <v>60</v>
      </c>
      <c r="P14" s="770">
        <f>H14*0.6</f>
        <v>117658.07999999999</v>
      </c>
      <c r="Q14" s="2434">
        <v>40</v>
      </c>
      <c r="R14" s="2239">
        <f t="shared" si="2"/>
        <v>78438.720000000001</v>
      </c>
      <c r="S14" s="2342">
        <f t="shared" si="5"/>
        <v>196096.8</v>
      </c>
      <c r="T14" s="2462"/>
    </row>
    <row r="15" spans="1:20" s="38" customFormat="1" ht="12.95" customHeight="1" x14ac:dyDescent="0.2">
      <c r="A15" s="771" t="s">
        <v>408</v>
      </c>
      <c r="B15" s="772">
        <f>WP1_SEC1_P9_total+WP2_SEC1_P9_total+WP3_SEC1_P9_total+WP4_SEC1_P9_total+WP5_SEC1_P9_total+WP6_SEC1_P9_total+WP7_SEC1_P9_total</f>
        <v>35656</v>
      </c>
      <c r="C15" s="772">
        <f t="shared" si="0"/>
        <v>21393.599999999999</v>
      </c>
      <c r="D15" s="772">
        <f>WP2_SEC2_P9_total</f>
        <v>500</v>
      </c>
      <c r="E15" s="772">
        <f>WP1_SEC3_P9_total+WP2_SEC3_P9_total+WP3_SEC3_P9_total+WP4_SEC3_P9_total+WP5_SEC3_P9_total+WP6_SEC3_P9_total+WP7_SEC3_P9_total</f>
        <v>10420</v>
      </c>
      <c r="F15" s="772"/>
      <c r="G15" s="772">
        <f>WP2_SEC5_P9_total+WP7_SEC5_P9_total</f>
        <v>5750</v>
      </c>
      <c r="H15" s="2240">
        <f t="shared" si="1"/>
        <v>73719.600000000006</v>
      </c>
      <c r="I15" s="2283">
        <v>72</v>
      </c>
      <c r="J15" s="773">
        <f t="shared" ref="J15:J20" si="7">H15*0.72</f>
        <v>53078.112000000001</v>
      </c>
      <c r="K15" s="773">
        <v>28</v>
      </c>
      <c r="L15" s="2284">
        <f t="shared" ref="L15:L20" si="8">H15*0.28</f>
        <v>20641.488000000005</v>
      </c>
      <c r="M15" s="2283"/>
      <c r="N15" s="2284">
        <f>H15*0.11</f>
        <v>8109.1560000000009</v>
      </c>
      <c r="O15" s="2398">
        <f>P15/H15*100</f>
        <v>83</v>
      </c>
      <c r="P15" s="773">
        <f>J15+N15</f>
        <v>61187.268000000004</v>
      </c>
      <c r="Q15" s="2435">
        <f>R15/H15*100</f>
        <v>17</v>
      </c>
      <c r="R15" s="2240">
        <f t="shared" si="2"/>
        <v>12532.332000000002</v>
      </c>
      <c r="S15" s="2343">
        <f t="shared" si="5"/>
        <v>73719.600000000006</v>
      </c>
      <c r="T15" s="2462"/>
    </row>
    <row r="16" spans="1:20" s="38" customFormat="1" ht="12.95" customHeight="1" x14ac:dyDescent="0.2">
      <c r="A16" s="774" t="s">
        <v>409</v>
      </c>
      <c r="B16" s="775">
        <f>WP1_SEC1_P10_total+WP2_SEC1_P10_total+WP3_SEC1_P10_total+WP4_SEC1_P10_total+WP5_SEC1_P10_total+WP6_SEC1_P10_total+WP7_SEC1_P10_total</f>
        <v>47672</v>
      </c>
      <c r="C16" s="775">
        <f t="shared" si="0"/>
        <v>28603.200000000001</v>
      </c>
      <c r="D16" s="775">
        <f>WP2_SEC2_P10_total</f>
        <v>750</v>
      </c>
      <c r="E16" s="775">
        <f>WP1_SEC3_P10_total+WP2_SEC3_P10_total+WP3_SEC3_P10_total+WP4_SEC3_P10_total+WP5_SEC3_P10_total+WP6_SEC3_P10_total+WP7_SEC3_P10_total</f>
        <v>7300</v>
      </c>
      <c r="F16" s="775"/>
      <c r="G16" s="775">
        <f>WP2_SEC5_P10_total+WP6_SEC5_P10_total+WP7_SEC5_P10_total</f>
        <v>13650</v>
      </c>
      <c r="H16" s="2241">
        <f t="shared" si="1"/>
        <v>97975.2</v>
      </c>
      <c r="I16" s="2285">
        <v>72</v>
      </c>
      <c r="J16" s="776">
        <f t="shared" si="7"/>
        <v>70542.144</v>
      </c>
      <c r="K16" s="776">
        <v>28</v>
      </c>
      <c r="L16" s="2286">
        <f t="shared" si="8"/>
        <v>27433.056</v>
      </c>
      <c r="M16" s="2285"/>
      <c r="N16" s="2286">
        <f>H16*0.11</f>
        <v>10777.271999999999</v>
      </c>
      <c r="O16" s="2399">
        <f>P16/H16*100</f>
        <v>83</v>
      </c>
      <c r="P16" s="776">
        <f>J16+N16</f>
        <v>81319.415999999997</v>
      </c>
      <c r="Q16" s="2436">
        <f>R16/H16*100</f>
        <v>17</v>
      </c>
      <c r="R16" s="2241">
        <f t="shared" si="2"/>
        <v>16655.784</v>
      </c>
      <c r="S16" s="2344">
        <f t="shared" si="5"/>
        <v>97975.2</v>
      </c>
      <c r="T16" s="2462"/>
    </row>
    <row r="17" spans="1:20" s="38" customFormat="1" ht="12.95" customHeight="1" x14ac:dyDescent="0.2">
      <c r="A17" s="777" t="s">
        <v>410</v>
      </c>
      <c r="B17" s="778">
        <f>WP1_SEC1_P11_total+WP2_SEC1_P11_total+WP3_SEC1_P11_total+WP4_SEC1_P11_total+WP5_SEC1_P11_total+WP6_SEC1_P11_total+WP7_SEC1_P11_total</f>
        <v>40080</v>
      </c>
      <c r="C17" s="778">
        <f t="shared" si="0"/>
        <v>24048</v>
      </c>
      <c r="D17" s="778">
        <f>WP2_SEC2_P11_total+WP5_SEC2_P11_total</f>
        <v>5550</v>
      </c>
      <c r="E17" s="778">
        <f>WP1_SEC3_P11_total+WP2_SEC3_P11_total+WP3_SEC3_P11_total+WP4_SEC3_P11_total+WP5_SEC3_P11_total+WP6_SEC3_P11_total+WP7_SEC3_P11_total</f>
        <v>7190</v>
      </c>
      <c r="F17" s="778"/>
      <c r="G17" s="778">
        <f>WP2_SEC5_P11_total+WP3_SEC5_P11_total+WP7_SEC5_P11_total</f>
        <v>8500</v>
      </c>
      <c r="H17" s="2242">
        <f t="shared" si="1"/>
        <v>85368</v>
      </c>
      <c r="I17" s="2287">
        <v>72</v>
      </c>
      <c r="J17" s="779">
        <f t="shared" si="7"/>
        <v>61464.959999999999</v>
      </c>
      <c r="K17" s="779">
        <v>28</v>
      </c>
      <c r="L17" s="2288">
        <f t="shared" si="8"/>
        <v>23903.040000000001</v>
      </c>
      <c r="M17" s="2287"/>
      <c r="N17" s="2288">
        <f>H17*0.11</f>
        <v>9390.48</v>
      </c>
      <c r="O17" s="2400">
        <f>P17/H17*100</f>
        <v>83</v>
      </c>
      <c r="P17" s="779">
        <f>J17+N17</f>
        <v>70855.44</v>
      </c>
      <c r="Q17" s="2437">
        <f>R17/H17*100</f>
        <v>17</v>
      </c>
      <c r="R17" s="2242">
        <f t="shared" si="2"/>
        <v>14512.559999999998</v>
      </c>
      <c r="S17" s="2345">
        <f t="shared" si="5"/>
        <v>85368</v>
      </c>
      <c r="T17" s="2462"/>
    </row>
    <row r="18" spans="1:20" ht="12.95" customHeight="1" x14ac:dyDescent="0.2">
      <c r="A18" s="780" t="s">
        <v>411</v>
      </c>
      <c r="B18" s="781">
        <f>WP1_SEC1_P12_total+WP2_SEC1_P12_total+WP3_SEC1_P12_total+WP4_SEC1_P12_total+WP5_SEC1_P12_total+WP6_SEC1_P12_total+WP7_SEC1_P12_total</f>
        <v>58448</v>
      </c>
      <c r="C18" s="782">
        <f t="shared" si="0"/>
        <v>35068.799999999996</v>
      </c>
      <c r="D18" s="781"/>
      <c r="E18" s="781">
        <f>WP1_SEC3_P12_total+WP2_SEC3_P12_total+WP3_SEC3_P12_total+WP4_SEC3_P12_total+WP5_SEC3_P12_total+WP6_SEC3_P12_total+WP7_SEC3_P12_total</f>
        <v>10810</v>
      </c>
      <c r="F18" s="781"/>
      <c r="G18" s="781">
        <f>WP5_SEC5_P12_total+WP7_SEC5_P12_total</f>
        <v>8350</v>
      </c>
      <c r="H18" s="2243">
        <f t="shared" si="1"/>
        <v>112676.79999999999</v>
      </c>
      <c r="I18" s="2289">
        <v>72</v>
      </c>
      <c r="J18" s="783">
        <f t="shared" si="7"/>
        <v>81127.295999999988</v>
      </c>
      <c r="K18" s="783">
        <v>28</v>
      </c>
      <c r="L18" s="2290">
        <f t="shared" si="8"/>
        <v>31549.504000000001</v>
      </c>
      <c r="M18" s="2289"/>
      <c r="N18" s="2290">
        <f>H18*0.11</f>
        <v>12394.447999999999</v>
      </c>
      <c r="O18" s="2401">
        <f>P18/H18*100</f>
        <v>83</v>
      </c>
      <c r="P18" s="783">
        <f>J18+N18</f>
        <v>93521.743999999992</v>
      </c>
      <c r="Q18" s="2438">
        <f>R18/H18*100</f>
        <v>17</v>
      </c>
      <c r="R18" s="2243">
        <f t="shared" si="2"/>
        <v>19155.055999999997</v>
      </c>
      <c r="S18" s="2346">
        <f t="shared" si="5"/>
        <v>112676.79999999999</v>
      </c>
      <c r="T18" s="2462"/>
    </row>
    <row r="19" spans="1:20" s="56" customFormat="1" ht="12.95" customHeight="1" x14ac:dyDescent="0.2">
      <c r="A19" s="784" t="s">
        <v>412</v>
      </c>
      <c r="B19" s="785">
        <f>WP1_SEC1_P13_total+WP2_SEC1_P13_total+WP3_SEC1_P13_total+WP4_SEC1_P13_total+WP5_SEC1_P13_total+WP6_SEC1_P13_total+WP7_SEC1_P13_total</f>
        <v>74280</v>
      </c>
      <c r="C19" s="786">
        <f t="shared" si="0"/>
        <v>44568</v>
      </c>
      <c r="D19" s="785">
        <f>WP2_SEC2_P13_total</f>
        <v>500</v>
      </c>
      <c r="E19" s="785">
        <f>WP1_SEC3_P13_total+WP2_SEC3_P13_total+WP3_SEC3_P13_total+WP4_SEC3_P13_total+WP5_SEC3_P13_total+WP6_SEC3_P13_total+WP7_SEC3_P13_total</f>
        <v>14310</v>
      </c>
      <c r="F19" s="785"/>
      <c r="G19" s="785">
        <f>WP2_SEC5_P13_total+WP3_SEC5_P13_total+WP7_SEC5_P13_total</f>
        <v>9650</v>
      </c>
      <c r="H19" s="2244">
        <f t="shared" si="1"/>
        <v>143308</v>
      </c>
      <c r="I19" s="2291">
        <v>72</v>
      </c>
      <c r="J19" s="787">
        <f t="shared" si="7"/>
        <v>103181.75999999999</v>
      </c>
      <c r="K19" s="787">
        <v>28</v>
      </c>
      <c r="L19" s="2292">
        <f t="shared" si="8"/>
        <v>40126.240000000005</v>
      </c>
      <c r="M19" s="2291"/>
      <c r="N19" s="2292">
        <v>12699</v>
      </c>
      <c r="O19" s="2402">
        <f>P19/H19*100</f>
        <v>80.861333631060376</v>
      </c>
      <c r="P19" s="787">
        <f>J19+N19</f>
        <v>115880.76</v>
      </c>
      <c r="Q19" s="2439">
        <f>R19/H19*100</f>
        <v>19.138666368939631</v>
      </c>
      <c r="R19" s="2244">
        <f t="shared" si="2"/>
        <v>27427.240000000005</v>
      </c>
      <c r="S19" s="2347">
        <f t="shared" si="5"/>
        <v>143308</v>
      </c>
      <c r="T19" s="2463"/>
    </row>
    <row r="20" spans="1:20" s="56" customFormat="1" ht="12.95" customHeight="1" x14ac:dyDescent="0.2">
      <c r="A20" s="2032" t="s">
        <v>413</v>
      </c>
      <c r="B20" s="789">
        <f>WP1_SEC1_P14_total+WP2_SEC1_P14_total+WP3_SEC1_P14_total+WP4_SEC1_P14_total+WP5_SEC1_P14_total+WP6_SEC1_P14_total</f>
        <v>54144</v>
      </c>
      <c r="C20" s="790">
        <f t="shared" si="0"/>
        <v>32486.399999999998</v>
      </c>
      <c r="D20" s="789">
        <f>WP4_SEC2_P14_total</f>
        <v>1500</v>
      </c>
      <c r="E20" s="789">
        <f>WP1_SEC3_P14_total+WP2_SEC3_P14_total+WP3_SEC3_P14_total+WP4_SEC3_P14_total+WP5_SEC3_P14_total+WP6_SEC3_P14_total</f>
        <v>14578</v>
      </c>
      <c r="F20" s="789"/>
      <c r="G20" s="789">
        <f>WP4_SEC5_P14_total</f>
        <v>4500</v>
      </c>
      <c r="H20" s="2245">
        <f t="shared" si="1"/>
        <v>107208.4</v>
      </c>
      <c r="I20" s="2293">
        <v>72</v>
      </c>
      <c r="J20" s="791">
        <f t="shared" si="7"/>
        <v>77190.047999999995</v>
      </c>
      <c r="K20" s="791">
        <v>28</v>
      </c>
      <c r="L20" s="2294">
        <f t="shared" si="8"/>
        <v>30018.352000000003</v>
      </c>
      <c r="M20" s="2293"/>
      <c r="N20" s="2294"/>
      <c r="O20" s="2403">
        <v>72</v>
      </c>
      <c r="P20" s="791">
        <v>77191</v>
      </c>
      <c r="Q20" s="2440">
        <v>28</v>
      </c>
      <c r="R20" s="2245">
        <f xml:space="preserve"> H20-P20</f>
        <v>30017.399999999994</v>
      </c>
      <c r="S20" s="2348">
        <f t="shared" si="5"/>
        <v>107208.4</v>
      </c>
      <c r="T20" s="2464"/>
    </row>
    <row r="21" spans="1:20" s="56" customFormat="1" ht="12.95" customHeight="1" x14ac:dyDescent="0.2">
      <c r="A21" s="792" t="s">
        <v>414</v>
      </c>
      <c r="B21" s="793">
        <f>WP1_SEC1_P15_total+WP2_SEC1_P15_total+WP3_SEC1_P15_total+WP4_SEC1_P15_total+WP5_SEC1_P15_total+WP6_SEC1_P15_total</f>
        <v>35384</v>
      </c>
      <c r="C21" s="793">
        <f t="shared" si="0"/>
        <v>21230.399999999998</v>
      </c>
      <c r="D21" s="793">
        <f>WP5_SEC2_P15_total</f>
        <v>3000</v>
      </c>
      <c r="E21" s="793">
        <f>WP1_SEC3_P15_total+WP2_SEC3_P15_total+WP3_SEC3_P15_total+WP4_SEC3_P15_total+WP5_SEC3_P15_total+WP6_SEC3_P15_total</f>
        <v>6430</v>
      </c>
      <c r="F21" s="793"/>
      <c r="G21" s="793">
        <f>WP5_SEC5_P15_total</f>
        <v>6500</v>
      </c>
      <c r="H21" s="2246">
        <f t="shared" si="1"/>
        <v>72544.399999999994</v>
      </c>
      <c r="I21" s="2295">
        <v>60</v>
      </c>
      <c r="J21" s="794">
        <f>H21*0.6</f>
        <v>43526.639999999992</v>
      </c>
      <c r="K21" s="794">
        <v>40</v>
      </c>
      <c r="L21" s="2296">
        <f>H21*0.4</f>
        <v>29017.759999999998</v>
      </c>
      <c r="M21" s="2295">
        <f>H21*0.12</f>
        <v>8705.3279999999995</v>
      </c>
      <c r="N21" s="2296"/>
      <c r="O21" s="2404">
        <v>60</v>
      </c>
      <c r="P21" s="794">
        <f>H21*0.6</f>
        <v>43526.639999999992</v>
      </c>
      <c r="Q21" s="2441">
        <v>40</v>
      </c>
      <c r="R21" s="2246">
        <f t="shared" ref="R21:R30" si="9">H21-P21</f>
        <v>29017.760000000002</v>
      </c>
      <c r="S21" s="2349">
        <f t="shared" si="5"/>
        <v>72544.399999999994</v>
      </c>
      <c r="T21" s="2464"/>
    </row>
    <row r="22" spans="1:20" s="56" customFormat="1" ht="12.95" customHeight="1" x14ac:dyDescent="0.2">
      <c r="A22" s="795" t="s">
        <v>415</v>
      </c>
      <c r="B22" s="796">
        <f>WP1_SEC1_P16_total+WP2_SEC1_P16_total+WP3_SEC1_P16_total+WP4_SEC1_P16_total+WP5_SEC1_P16_total+WP6_SEC1_P16_total</f>
        <v>51520</v>
      </c>
      <c r="C22" s="796">
        <f t="shared" ref="C22:C36" si="10">B22*0.6</f>
        <v>30912</v>
      </c>
      <c r="D22" s="796">
        <f>WP4_SEC2_P16_total+WP5_SEC2_P16_total</f>
        <v>12000</v>
      </c>
      <c r="E22" s="796">
        <f>WP1_SEC3_P16_total+WP2_SEC3_P16_total+WP3_SEC3_P16_total+WP4_SEC3_P16_total+WP5_SEC3_P16_total+WP6_SEC3_P16_total</f>
        <v>11550</v>
      </c>
      <c r="F22" s="796"/>
      <c r="G22" s="796">
        <f>WP2_SEC5_P16_total+WP4_SEC5_P16_total+WP5_SEC5_P16_total+WP6_SEC5_P16_total</f>
        <v>13800</v>
      </c>
      <c r="H22" s="2247">
        <f t="shared" ref="H22:H37" si="11">SUM(B22:G22)</f>
        <v>119782</v>
      </c>
      <c r="I22" s="2297">
        <v>72</v>
      </c>
      <c r="J22" s="797">
        <f>H22*0.72</f>
        <v>86243.04</v>
      </c>
      <c r="K22" s="797">
        <v>28</v>
      </c>
      <c r="L22" s="2298">
        <f>H22*0.28</f>
        <v>33538.960000000006</v>
      </c>
      <c r="M22" s="2297"/>
      <c r="N22" s="2298"/>
      <c r="O22" s="2405">
        <v>72</v>
      </c>
      <c r="P22" s="797">
        <f>H22*0.72</f>
        <v>86243.04</v>
      </c>
      <c r="Q22" s="2442">
        <v>28</v>
      </c>
      <c r="R22" s="2247">
        <f t="shared" si="9"/>
        <v>33538.960000000006</v>
      </c>
      <c r="S22" s="2350">
        <f t="shared" si="5"/>
        <v>119782</v>
      </c>
      <c r="T22" s="2464"/>
    </row>
    <row r="23" spans="1:20" s="56" customFormat="1" ht="12.95" customHeight="1" x14ac:dyDescent="0.2">
      <c r="A23" s="798" t="s">
        <v>416</v>
      </c>
      <c r="B23" s="799">
        <f>WP1_SEC1_P17_total+WP2_SEC1_P17_total+WP3_SEC1_P17_total+WP4_SEC1_P17_total+WP5_SEC1_P17_total+WP6_SEC1_P17_total</f>
        <v>36668</v>
      </c>
      <c r="C23" s="799">
        <f t="shared" si="10"/>
        <v>22000.799999999999</v>
      </c>
      <c r="D23" s="799">
        <f>WP4_SEC2_P17_total</f>
        <v>2000</v>
      </c>
      <c r="E23" s="799">
        <f>WP1_SEC3_P17_total+WP2_SEC3_P17_total+WP3_SEC3_P17_total+WP4_SEC3_P17_total+WP5_SEC3_P17_total+WP6_SEC3_P17_total</f>
        <v>11925</v>
      </c>
      <c r="F23" s="799"/>
      <c r="G23" s="799">
        <f>WP4_SEC5_P17_total</f>
        <v>4500</v>
      </c>
      <c r="H23" s="2248">
        <f t="shared" si="11"/>
        <v>77093.8</v>
      </c>
      <c r="I23" s="2299">
        <v>72</v>
      </c>
      <c r="J23" s="800">
        <f>H23*0.72</f>
        <v>55507.536</v>
      </c>
      <c r="K23" s="800">
        <v>28</v>
      </c>
      <c r="L23" s="2300">
        <f>H23*0.28</f>
        <v>21586.264000000003</v>
      </c>
      <c r="M23" s="2299"/>
      <c r="N23" s="2300"/>
      <c r="O23" s="2406">
        <v>72</v>
      </c>
      <c r="P23" s="800">
        <f>H23*0.72</f>
        <v>55507.536</v>
      </c>
      <c r="Q23" s="2443">
        <v>28</v>
      </c>
      <c r="R23" s="2248">
        <f t="shared" si="9"/>
        <v>21586.264000000003</v>
      </c>
      <c r="S23" s="2351">
        <f t="shared" si="5"/>
        <v>77093.8</v>
      </c>
      <c r="T23" s="2464"/>
    </row>
    <row r="24" spans="1:20" s="56" customFormat="1" ht="12.95" customHeight="1" x14ac:dyDescent="0.2">
      <c r="A24" s="801" t="s">
        <v>417</v>
      </c>
      <c r="B24" s="802">
        <f>WP1_SEC1_P18_total+WP2_SEC1_P18_total+WP3_SEC1_P18_total+WP4_SEC1_P18_total+WP5_SEC1_P18_total+WP6_SEC1_P18_total</f>
        <v>19448</v>
      </c>
      <c r="C24" s="802">
        <f t="shared" si="10"/>
        <v>11668.8</v>
      </c>
      <c r="D24" s="802">
        <f>WP5_SEC2_P18_total</f>
        <v>3000</v>
      </c>
      <c r="E24" s="802">
        <f>WP1_SEC3_P18_total+WP2_SEC3_P18_total+WP3_SEC3_P18_total+WP4_SEC3_P18_total+WP5_SEC3_P18_total+WP6_SEC3_P18_total</f>
        <v>5021</v>
      </c>
      <c r="F24" s="802"/>
      <c r="G24" s="802">
        <f>WP5_SEC5_P18_total</f>
        <v>6500</v>
      </c>
      <c r="H24" s="2249">
        <f t="shared" si="11"/>
        <v>45637.8</v>
      </c>
      <c r="I24" s="2301">
        <v>60</v>
      </c>
      <c r="J24" s="803">
        <f>H24*0.6</f>
        <v>27382.68</v>
      </c>
      <c r="K24" s="803">
        <v>40</v>
      </c>
      <c r="L24" s="2302">
        <f>H24*0.4</f>
        <v>18255.120000000003</v>
      </c>
      <c r="M24" s="2301">
        <f>H24*0.12</f>
        <v>5476.5360000000001</v>
      </c>
      <c r="N24" s="2302"/>
      <c r="O24" s="2407">
        <v>60</v>
      </c>
      <c r="P24" s="803">
        <f>H24*0.6</f>
        <v>27382.68</v>
      </c>
      <c r="Q24" s="2444">
        <v>40</v>
      </c>
      <c r="R24" s="2249">
        <f t="shared" si="9"/>
        <v>18255.120000000003</v>
      </c>
      <c r="S24" s="2352">
        <f t="shared" si="5"/>
        <v>45637.8</v>
      </c>
      <c r="T24" s="2464"/>
    </row>
    <row r="25" spans="1:20" s="56" customFormat="1" ht="12.95" customHeight="1" x14ac:dyDescent="0.2">
      <c r="A25" s="804" t="s">
        <v>418</v>
      </c>
      <c r="B25" s="805">
        <f>WP1_SEC1_P19_total+WP2_SEC1_P19_total+WP3_SEC1_P19_total+WP4_SEC1_P19_total+WP5_SEC1_P19_total+WP6_SEC1_P19_total</f>
        <v>84716</v>
      </c>
      <c r="C25" s="805">
        <f t="shared" si="10"/>
        <v>50829.599999999999</v>
      </c>
      <c r="D25" s="805">
        <f>WP2_SEC2_P19_total+WP4_SEC2_P19_total</f>
        <v>2750</v>
      </c>
      <c r="E25" s="805">
        <f>WP1_SEC3_P19_total+WP2_SEC3_P19_total+WP3_SEC3_P19_total+WP4_SEC3_P19_total+WP5_SEC3_P19_total+WP6_SEC3_P19_total</f>
        <v>16763</v>
      </c>
      <c r="F25" s="805"/>
      <c r="G25" s="805">
        <f>WP2_SEC5_P19_total+WP4_SEC5_P19_total</f>
        <v>6600</v>
      </c>
      <c r="H25" s="2250">
        <f t="shared" si="11"/>
        <v>161658.6</v>
      </c>
      <c r="I25" s="2303">
        <v>72</v>
      </c>
      <c r="J25" s="806">
        <f>H25*0.72</f>
        <v>116394.192</v>
      </c>
      <c r="K25" s="806">
        <v>28</v>
      </c>
      <c r="L25" s="2304">
        <f>H25*0.28</f>
        <v>45264.408000000003</v>
      </c>
      <c r="M25" s="2303"/>
      <c r="N25" s="2304"/>
      <c r="O25" s="2408">
        <v>72</v>
      </c>
      <c r="P25" s="806">
        <f>H25*0.72</f>
        <v>116394.192</v>
      </c>
      <c r="Q25" s="2445">
        <v>28</v>
      </c>
      <c r="R25" s="2250">
        <f t="shared" si="9"/>
        <v>45264.40800000001</v>
      </c>
      <c r="S25" s="2353">
        <f t="shared" si="5"/>
        <v>161658.6</v>
      </c>
      <c r="T25" s="2464"/>
    </row>
    <row r="26" spans="1:20" s="56" customFormat="1" ht="12.95" customHeight="1" x14ac:dyDescent="0.2">
      <c r="A26" s="807" t="s">
        <v>419</v>
      </c>
      <c r="B26" s="808">
        <f>WP1_SEC1_P20_total+WP2_SEC1_P20_total+WP3_SEC1_P20_total+WP4_SEC1_P20_total+WP5_SEC1_P20_total+WP6_SEC1_P20_total</f>
        <v>37916</v>
      </c>
      <c r="C26" s="808">
        <f t="shared" si="10"/>
        <v>22749.599999999999</v>
      </c>
      <c r="D26" s="808">
        <f>WP4_SEC2_P20_total</f>
        <v>1500</v>
      </c>
      <c r="E26" s="808">
        <f>WP1_SEC3_P20_total+WP2_SEC3_P20_total+WP3_SEC3_P20_total+WP4_SEC3_P20_total+WP5_SEC3_P20_total+WP6_SEC3_P20_total</f>
        <v>14433</v>
      </c>
      <c r="F26" s="808"/>
      <c r="G26" s="808">
        <f>WP4_SEC5_P20_total</f>
        <v>4500</v>
      </c>
      <c r="H26" s="2251">
        <f t="shared" si="11"/>
        <v>81098.600000000006</v>
      </c>
      <c r="I26" s="2305">
        <v>72</v>
      </c>
      <c r="J26" s="809">
        <f>H26*0.72</f>
        <v>58390.992000000006</v>
      </c>
      <c r="K26" s="809">
        <v>28</v>
      </c>
      <c r="L26" s="2306">
        <f>H26*0.28</f>
        <v>22707.608000000004</v>
      </c>
      <c r="M26" s="2305"/>
      <c r="N26" s="2306"/>
      <c r="O26" s="2409">
        <v>72</v>
      </c>
      <c r="P26" s="809">
        <f>H26*0.72</f>
        <v>58390.992000000006</v>
      </c>
      <c r="Q26" s="2446">
        <v>28</v>
      </c>
      <c r="R26" s="2251">
        <f t="shared" si="9"/>
        <v>22707.608</v>
      </c>
      <c r="S26" s="2354">
        <f t="shared" si="5"/>
        <v>81098.600000000006</v>
      </c>
      <c r="T26" s="2464"/>
    </row>
    <row r="27" spans="1:20" s="56" customFormat="1" ht="12.95" customHeight="1" x14ac:dyDescent="0.2">
      <c r="A27" s="810" t="s">
        <v>420</v>
      </c>
      <c r="B27" s="811">
        <f>WP1_SEC1_P21_total+WP2_SEC1_P21_total+WP3_SEC1_P21_total+WP4_SEC1_P21_total+WP5_SEC1_P21_total+WP6_SEC1_P21_total</f>
        <v>24848</v>
      </c>
      <c r="C27" s="811">
        <f t="shared" si="10"/>
        <v>14908.8</v>
      </c>
      <c r="D27" s="811">
        <f>WP5_SEC2_P21_total</f>
        <v>3000</v>
      </c>
      <c r="E27" s="811">
        <f>WP1_SEC3_P21_total+WP2_SEC3_P21_total+WP3_SEC3_P21_total+WP4_SEC3_P21_total+WP5_SEC3_P21_total+WP6_SEC3_P21_total</f>
        <v>5526</v>
      </c>
      <c r="F27" s="811"/>
      <c r="G27" s="811">
        <f>WP5_SEC5_P21_total</f>
        <v>6500</v>
      </c>
      <c r="H27" s="2252">
        <f t="shared" si="11"/>
        <v>54782.8</v>
      </c>
      <c r="I27" s="2307">
        <v>60</v>
      </c>
      <c r="J27" s="812">
        <f>H27*0.6</f>
        <v>32869.68</v>
      </c>
      <c r="K27" s="812">
        <v>40</v>
      </c>
      <c r="L27" s="2308">
        <f>H27*0.4</f>
        <v>21913.120000000003</v>
      </c>
      <c r="M27" s="2307">
        <f>H27*0.12</f>
        <v>6573.9359999999997</v>
      </c>
      <c r="N27" s="2308"/>
      <c r="O27" s="2410">
        <v>60</v>
      </c>
      <c r="P27" s="812">
        <f>H27*0.6</f>
        <v>32869.68</v>
      </c>
      <c r="Q27" s="2447">
        <v>40</v>
      </c>
      <c r="R27" s="2252">
        <f t="shared" si="9"/>
        <v>21913.120000000003</v>
      </c>
      <c r="S27" s="2355">
        <f t="shared" si="5"/>
        <v>54782.8</v>
      </c>
      <c r="T27" s="2464"/>
    </row>
    <row r="28" spans="1:20" s="56" customFormat="1" ht="12.95" customHeight="1" x14ac:dyDescent="0.2">
      <c r="A28" s="813" t="s">
        <v>949</v>
      </c>
      <c r="B28" s="814">
        <f>WP1_SEC1_P22_total+WP2_SEC1_P22_total+WP3_SEC1_P22_total+WP4_SEC1_P22_total+WP5_SEC1_P22_total+WP6_SEC1_P22_total</f>
        <v>44304</v>
      </c>
      <c r="C28" s="814">
        <f t="shared" si="10"/>
        <v>26582.399999999998</v>
      </c>
      <c r="D28" s="814"/>
      <c r="E28" s="814">
        <f>WP1_SEC3_P22_total+WP2_SEC3_P22_total+WP3_SEC3_P22_total+WP4_SEC3_P22_total+WP5_SEC3_P22_total+WP6_SEC3_P22_total</f>
        <v>4782</v>
      </c>
      <c r="F28" s="814"/>
      <c r="G28" s="814">
        <f>WP3_SEC5_P22_total</f>
        <v>4000</v>
      </c>
      <c r="H28" s="2253">
        <f>SUM(B28:G28)</f>
        <v>79668.399999999994</v>
      </c>
      <c r="I28" s="2309">
        <v>50</v>
      </c>
      <c r="J28" s="815">
        <f>H28*0.5</f>
        <v>39834.199999999997</v>
      </c>
      <c r="K28" s="815">
        <v>50</v>
      </c>
      <c r="L28" s="2310">
        <f>H28*0.5</f>
        <v>39834.199999999997</v>
      </c>
      <c r="M28" s="2309">
        <f>H28*0.25</f>
        <v>19917.099999999999</v>
      </c>
      <c r="N28" s="2310"/>
      <c r="O28" s="2411">
        <v>50</v>
      </c>
      <c r="P28" s="815">
        <v>39833</v>
      </c>
      <c r="Q28" s="2448">
        <v>50</v>
      </c>
      <c r="R28" s="2253">
        <f t="shared" si="9"/>
        <v>39835.399999999994</v>
      </c>
      <c r="S28" s="2356">
        <f t="shared" si="5"/>
        <v>79668.399999999994</v>
      </c>
      <c r="T28" s="2463"/>
    </row>
    <row r="29" spans="1:20" s="56" customFormat="1" ht="12.95" customHeight="1" x14ac:dyDescent="0.2">
      <c r="A29" s="816" t="s">
        <v>421</v>
      </c>
      <c r="B29" s="817">
        <f>WP1_SEC1_P23_total+WP2_SEC1_P23_total+WP3_SEC1_P23_total+WP4_SEC1_P23_total+WP5_SEC1_P23_total+WP6_SEC1_P23_total</f>
        <v>50800</v>
      </c>
      <c r="C29" s="817">
        <f t="shared" si="10"/>
        <v>30480</v>
      </c>
      <c r="D29" s="817">
        <f>WP4_SEC2_P23_total</f>
        <v>1500</v>
      </c>
      <c r="E29" s="817">
        <f>WP1_SEC3_P23_total+WP2_SEC3_P23_total+WP3_SEC3_P23_total+WP4_SEC3_P23_total+WP5_SEC3_P23_total+WP6_SEC3_P23_total</f>
        <v>14099</v>
      </c>
      <c r="F29" s="817"/>
      <c r="G29" s="817">
        <f>WP4_SEC5_P23_total</f>
        <v>4700</v>
      </c>
      <c r="H29" s="2254">
        <f t="shared" si="11"/>
        <v>101579</v>
      </c>
      <c r="I29" s="2311">
        <v>72</v>
      </c>
      <c r="J29" s="818">
        <f>H29*0.72</f>
        <v>73136.87999999999</v>
      </c>
      <c r="K29" s="818">
        <v>28</v>
      </c>
      <c r="L29" s="2312">
        <f>H29*0.28</f>
        <v>28442.120000000003</v>
      </c>
      <c r="M29" s="2311"/>
      <c r="N29" s="2312"/>
      <c r="O29" s="2412">
        <v>72</v>
      </c>
      <c r="P29" s="818">
        <v>73138</v>
      </c>
      <c r="Q29" s="2449">
        <v>28</v>
      </c>
      <c r="R29" s="2254">
        <f t="shared" si="9"/>
        <v>28441</v>
      </c>
      <c r="S29" s="2357">
        <f t="shared" si="5"/>
        <v>101579</v>
      </c>
      <c r="T29" s="2464"/>
    </row>
    <row r="30" spans="1:20" s="56" customFormat="1" ht="12.95" customHeight="1" x14ac:dyDescent="0.2">
      <c r="A30" s="771" t="s">
        <v>422</v>
      </c>
      <c r="B30" s="819">
        <f>WP1_SEC1_P24_total+WP2_SEC1_P24_total+WP3_SEC1_P24_total+WP4_SEC1_P24_total+WP5_SEC1_P24_total+WP6_SEC1_P24_total</f>
        <v>26584</v>
      </c>
      <c r="C30" s="819">
        <f t="shared" si="10"/>
        <v>15950.4</v>
      </c>
      <c r="D30" s="819">
        <f>WP5_SEC2_P24_total</f>
        <v>3000</v>
      </c>
      <c r="E30" s="819">
        <f>WP1_SEC3_P24_total+WP2_SEC3_P24_total+WP3_SEC3_P24_total+WP4_SEC3_P24_total+WP5_SEC3_P24_total+WP6_SEC3_P24_total</f>
        <v>6350</v>
      </c>
      <c r="F30" s="819"/>
      <c r="G30" s="819">
        <f>WP5_SEC5_P24_total</f>
        <v>6500</v>
      </c>
      <c r="H30" s="2255">
        <f t="shared" si="11"/>
        <v>58384.4</v>
      </c>
      <c r="I30" s="2313">
        <v>60</v>
      </c>
      <c r="J30" s="820">
        <f>H30*0.6</f>
        <v>35030.639999999999</v>
      </c>
      <c r="K30" s="820">
        <v>40</v>
      </c>
      <c r="L30" s="2314">
        <f>H30*0.4</f>
        <v>23353.760000000002</v>
      </c>
      <c r="M30" s="2313">
        <f>H30*0.12</f>
        <v>7006.1279999999997</v>
      </c>
      <c r="N30" s="2314"/>
      <c r="O30" s="2413">
        <v>60</v>
      </c>
      <c r="P30" s="820">
        <f>H30*0.6</f>
        <v>35030.639999999999</v>
      </c>
      <c r="Q30" s="2450">
        <v>40</v>
      </c>
      <c r="R30" s="2255">
        <f t="shared" si="9"/>
        <v>23353.760000000002</v>
      </c>
      <c r="S30" s="2358">
        <f t="shared" si="5"/>
        <v>58384.4</v>
      </c>
      <c r="T30" s="2464"/>
    </row>
    <row r="31" spans="1:20" s="56" customFormat="1" ht="12.95" customHeight="1" x14ac:dyDescent="0.2">
      <c r="A31" s="821" t="s">
        <v>950</v>
      </c>
      <c r="B31" s="822">
        <f>WP1_SEC1_P25_total+WP2_SEC1_P25_total+WP3_SEC1_P25_total+WP4_SEC1_P25_total+WP5_SEC1_P25_total+WP6_SEC1_P25_total</f>
        <v>0</v>
      </c>
      <c r="C31" s="822">
        <f t="shared" si="10"/>
        <v>0</v>
      </c>
      <c r="D31" s="822"/>
      <c r="E31" s="822">
        <f>WP1_SEC3_P25_total+WP2_SEC3_P25_total+WP3_SEC3_P25_total+WP4_SEC3_P25_total+WP5_SEC3_P25_total+WP6_SEC3_P25_total</f>
        <v>0</v>
      </c>
      <c r="F31" s="822"/>
      <c r="G31" s="822"/>
      <c r="H31" s="2256">
        <f t="shared" si="11"/>
        <v>0</v>
      </c>
      <c r="I31" s="2315">
        <v>60</v>
      </c>
      <c r="J31" s="823">
        <f>H31*0.6</f>
        <v>0</v>
      </c>
      <c r="K31" s="823">
        <v>40</v>
      </c>
      <c r="L31" s="2316">
        <f>H31*0.4</f>
        <v>0</v>
      </c>
      <c r="M31" s="2315">
        <f>H31*0.12</f>
        <v>0</v>
      </c>
      <c r="N31" s="2316"/>
      <c r="O31" s="2414">
        <v>60</v>
      </c>
      <c r="P31" s="823">
        <f>H31*0.6</f>
        <v>0</v>
      </c>
      <c r="Q31" s="2451">
        <v>40</v>
      </c>
      <c r="R31" s="2256">
        <f>H31*0.4</f>
        <v>0</v>
      </c>
      <c r="S31" s="2359">
        <f t="shared" si="5"/>
        <v>0</v>
      </c>
      <c r="T31" s="2464"/>
    </row>
    <row r="32" spans="1:20" s="56" customFormat="1" ht="12.95" customHeight="1" x14ac:dyDescent="0.2">
      <c r="A32" s="824" t="s">
        <v>951</v>
      </c>
      <c r="B32" s="825">
        <f>WP1_SEC1_P26_total+WP2_SEC1_P26_total+WP3_SEC1_P26_total+WP4_SEC1_P26_total+WP5_SEC1_P26_total+WP6_SEC1_P26_total</f>
        <v>48560</v>
      </c>
      <c r="C32" s="825">
        <f t="shared" si="10"/>
        <v>29136</v>
      </c>
      <c r="D32" s="825"/>
      <c r="E32" s="825">
        <f>WP1_SEC3_P26_total+WP2_SEC3_P26_total+WP3_SEC3_P26_total+WP5_SEC3_P26_total+WP6_SEC3_P26_total</f>
        <v>4020</v>
      </c>
      <c r="F32" s="825"/>
      <c r="G32" s="825">
        <f>WP3_SEC5_P26_total</f>
        <v>4000</v>
      </c>
      <c r="H32" s="2257">
        <f t="shared" si="11"/>
        <v>85716</v>
      </c>
      <c r="I32" s="2317">
        <v>50</v>
      </c>
      <c r="J32" s="826">
        <f>H32*0.5</f>
        <v>42858</v>
      </c>
      <c r="K32" s="826">
        <v>50</v>
      </c>
      <c r="L32" s="2318">
        <f>H32*0.5</f>
        <v>42858</v>
      </c>
      <c r="M32" s="2317">
        <f>H32*0.25</f>
        <v>21429</v>
      </c>
      <c r="N32" s="2318"/>
      <c r="O32" s="2415">
        <v>50</v>
      </c>
      <c r="P32" s="826">
        <f>H32*0.5</f>
        <v>42858</v>
      </c>
      <c r="Q32" s="2452">
        <v>50</v>
      </c>
      <c r="R32" s="2257">
        <f>H32-P32</f>
        <v>42858</v>
      </c>
      <c r="S32" s="2360">
        <f t="shared" si="5"/>
        <v>85716</v>
      </c>
      <c r="T32" s="2464"/>
    </row>
    <row r="33" spans="1:25" s="56" customFormat="1" ht="12.95" customHeight="1" x14ac:dyDescent="0.2">
      <c r="A33" s="801" t="s">
        <v>952</v>
      </c>
      <c r="B33" s="802">
        <f>WP1_SEC1_P27_total+WP2_SEC1_P27_total+WP3_SEC1_P27_total+WP4_SEC1_P27_total+WP5_SEC1_P27_total+WP6_SEC1_P27_total</f>
        <v>23376</v>
      </c>
      <c r="C33" s="802">
        <f t="shared" si="10"/>
        <v>14025.6</v>
      </c>
      <c r="D33" s="802">
        <f>WP5_SEC2_P27_total</f>
        <v>3000</v>
      </c>
      <c r="E33" s="802">
        <f>WP1_SEC3_P27_total+WP2_SEC3_P27_total+WP3_SEC3_P27_total+WP4_SEC3_P27_total+WP5_SEC3_P27_total+WP6_SEC3_P27_total</f>
        <v>6080</v>
      </c>
      <c r="F33" s="802"/>
      <c r="G33" s="802">
        <f>WP5_SEC5_P27_total</f>
        <v>6500</v>
      </c>
      <c r="H33" s="2249">
        <f t="shared" si="11"/>
        <v>52981.599999999999</v>
      </c>
      <c r="I33" s="2301">
        <v>60</v>
      </c>
      <c r="J33" s="803">
        <f>H33*0.6</f>
        <v>31788.959999999999</v>
      </c>
      <c r="K33" s="803">
        <v>40</v>
      </c>
      <c r="L33" s="2302">
        <f>H33*0.4</f>
        <v>21192.639999999999</v>
      </c>
      <c r="M33" s="2301">
        <f>H33*0.12</f>
        <v>6357.7919999999995</v>
      </c>
      <c r="N33" s="2302"/>
      <c r="O33" s="2407">
        <v>60</v>
      </c>
      <c r="P33" s="803">
        <f>H33*0.6</f>
        <v>31788.959999999999</v>
      </c>
      <c r="Q33" s="2444">
        <v>40</v>
      </c>
      <c r="R33" s="2249">
        <f>H33-P33</f>
        <v>21192.639999999999</v>
      </c>
      <c r="S33" s="2352">
        <f t="shared" si="5"/>
        <v>52981.599999999999</v>
      </c>
      <c r="T33" s="2464"/>
    </row>
    <row r="34" spans="1:25" s="56" customFormat="1" ht="12.95" customHeight="1" x14ac:dyDescent="0.2">
      <c r="A34" s="827" t="s">
        <v>423</v>
      </c>
      <c r="B34" s="828"/>
      <c r="C34" s="828">
        <f t="shared" si="10"/>
        <v>0</v>
      </c>
      <c r="D34" s="828"/>
      <c r="E34" s="828"/>
      <c r="F34" s="828"/>
      <c r="G34" s="828"/>
      <c r="H34" s="2258">
        <f t="shared" si="11"/>
        <v>0</v>
      </c>
      <c r="I34" s="2319"/>
      <c r="J34" s="829"/>
      <c r="K34" s="829"/>
      <c r="L34" s="2320"/>
      <c r="M34" s="2319"/>
      <c r="N34" s="2320"/>
      <c r="O34" s="2416"/>
      <c r="P34" s="829"/>
      <c r="Q34" s="2453"/>
      <c r="R34" s="2258"/>
      <c r="S34" s="2361"/>
      <c r="T34" s="2464"/>
    </row>
    <row r="35" spans="1:25" s="56" customFormat="1" ht="12.95" customHeight="1" x14ac:dyDescent="0.2">
      <c r="A35" s="830" t="s">
        <v>424</v>
      </c>
      <c r="B35" s="831"/>
      <c r="C35" s="831">
        <f t="shared" si="10"/>
        <v>0</v>
      </c>
      <c r="D35" s="831"/>
      <c r="E35" s="831"/>
      <c r="F35" s="831"/>
      <c r="G35" s="831"/>
      <c r="H35" s="2259">
        <f t="shared" si="11"/>
        <v>0</v>
      </c>
      <c r="I35" s="2321"/>
      <c r="J35" s="832"/>
      <c r="K35" s="832"/>
      <c r="L35" s="2322"/>
      <c r="M35" s="2321"/>
      <c r="N35" s="2322"/>
      <c r="O35" s="2417"/>
      <c r="P35" s="832"/>
      <c r="Q35" s="2454"/>
      <c r="R35" s="2259"/>
      <c r="S35" s="2362"/>
      <c r="T35" s="2464"/>
    </row>
    <row r="36" spans="1:25" s="56" customFormat="1" ht="12.95" customHeight="1" x14ac:dyDescent="0.2">
      <c r="A36" s="833" t="s">
        <v>206</v>
      </c>
      <c r="B36" s="834"/>
      <c r="C36" s="834">
        <f t="shared" si="10"/>
        <v>0</v>
      </c>
      <c r="D36" s="834"/>
      <c r="E36" s="834"/>
      <c r="F36" s="834"/>
      <c r="G36" s="834"/>
      <c r="H36" s="2260">
        <f t="shared" si="11"/>
        <v>0</v>
      </c>
      <c r="I36" s="2323"/>
      <c r="J36" s="835"/>
      <c r="K36" s="835"/>
      <c r="L36" s="2324"/>
      <c r="M36" s="2323"/>
      <c r="N36" s="2324"/>
      <c r="O36" s="2418"/>
      <c r="P36" s="835"/>
      <c r="Q36" s="2455"/>
      <c r="R36" s="2260"/>
      <c r="S36" s="2363"/>
      <c r="T36" s="2464"/>
    </row>
    <row r="37" spans="1:25" s="56" customFormat="1" ht="22.5" customHeight="1" thickBot="1" x14ac:dyDescent="0.3">
      <c r="A37" s="1665" t="s">
        <v>75</v>
      </c>
      <c r="B37" s="1666">
        <f>SUM(B7:B36)</f>
        <v>1985030</v>
      </c>
      <c r="C37" s="1666">
        <f>SUM(C7:C36)</f>
        <v>1191018</v>
      </c>
      <c r="D37" s="1666">
        <f>SUM(D7:D36)</f>
        <v>79300</v>
      </c>
      <c r="E37" s="1666">
        <f>SUM(E7:E36)</f>
        <v>310127</v>
      </c>
      <c r="F37" s="1666"/>
      <c r="G37" s="1666">
        <f>SUM(G7:G36)</f>
        <v>232100</v>
      </c>
      <c r="H37" s="2261">
        <f t="shared" si="11"/>
        <v>3797575</v>
      </c>
      <c r="I37" s="2325"/>
      <c r="J37" s="2326">
        <f>SUM(J7:J36)</f>
        <v>2653892.8760000002</v>
      </c>
      <c r="K37" s="2326"/>
      <c r="L37" s="2327">
        <f>SUM(L7:L36)</f>
        <v>1143682.1239999998</v>
      </c>
      <c r="M37" s="2325"/>
      <c r="N37" s="2327"/>
      <c r="O37" s="2419"/>
      <c r="P37" s="2326">
        <f>SUM(P7:P36)</f>
        <v>2848361.3680000002</v>
      </c>
      <c r="Q37" s="2456"/>
      <c r="R37" s="2333">
        <f>SUM(R7:R36)</f>
        <v>949213.63199999998</v>
      </c>
      <c r="S37" s="2364"/>
      <c r="T37" s="2465"/>
    </row>
    <row r="38" spans="1:25" ht="12.95" customHeight="1" x14ac:dyDescent="0.2">
      <c r="H38" s="17"/>
      <c r="I38" s="212"/>
      <c r="J38" s="212"/>
      <c r="K38" s="2367"/>
      <c r="L38" s="2368"/>
      <c r="M38" s="97"/>
      <c r="N38" s="97"/>
      <c r="O38" s="2516"/>
      <c r="P38" s="2058"/>
      <c r="Q38" s="2516"/>
      <c r="R38" s="2517"/>
      <c r="S38" s="2517"/>
    </row>
    <row r="39" spans="1:25" x14ac:dyDescent="0.2">
      <c r="B39" s="189"/>
      <c r="C39" s="189"/>
      <c r="D39" s="189"/>
      <c r="E39" s="189"/>
      <c r="G39" s="134"/>
      <c r="H39" s="2031"/>
      <c r="I39" s="2057"/>
      <c r="J39" s="2058"/>
      <c r="K39" s="2057"/>
      <c r="L39" s="2058"/>
      <c r="M39" s="2058"/>
      <c r="N39" s="212"/>
      <c r="P39" s="212"/>
    </row>
    <row r="40" spans="1:25" s="68" customFormat="1" x14ac:dyDescent="0.2">
      <c r="B40" s="104"/>
      <c r="C40" s="104"/>
      <c r="D40" s="104"/>
      <c r="E40" s="104"/>
      <c r="F40" s="104"/>
      <c r="G40" s="104"/>
      <c r="H40" s="104"/>
      <c r="K40" s="68" t="s">
        <v>987</v>
      </c>
      <c r="L40" s="2055">
        <f>L37+J37</f>
        <v>3797575</v>
      </c>
      <c r="M40" s="2055"/>
      <c r="O40" s="2420"/>
      <c r="P40" s="2055">
        <f>P37+R37</f>
        <v>3797575</v>
      </c>
      <c r="Q40" s="2420"/>
      <c r="R40" s="62"/>
      <c r="S40" s="62"/>
      <c r="T40" s="2072"/>
    </row>
    <row r="41" spans="1:25" x14ac:dyDescent="0.2">
      <c r="C41" s="104"/>
    </row>
    <row r="42" spans="1:25" x14ac:dyDescent="0.2">
      <c r="A42" s="275"/>
      <c r="B42" s="17"/>
      <c r="C42" s="17"/>
      <c r="D42" s="17"/>
      <c r="E42" s="17"/>
      <c r="F42" s="17"/>
      <c r="G42" s="276"/>
      <c r="H42" s="277"/>
      <c r="I42" s="275"/>
      <c r="J42" s="275"/>
      <c r="K42" s="275"/>
      <c r="L42" s="275"/>
      <c r="M42" s="275"/>
      <c r="N42" s="275"/>
      <c r="O42" s="2421"/>
      <c r="P42" s="275"/>
      <c r="Q42" s="2421"/>
      <c r="R42" s="278"/>
      <c r="S42" s="278"/>
      <c r="T42" s="2466"/>
      <c r="U42" s="275"/>
      <c r="X42" s="275"/>
      <c r="Y42" s="275"/>
    </row>
    <row r="71" spans="1:41" x14ac:dyDescent="0.2">
      <c r="A71" s="275"/>
      <c r="B71" s="17"/>
      <c r="C71" s="17"/>
      <c r="D71" s="17"/>
      <c r="E71" s="17"/>
      <c r="F71" s="17"/>
      <c r="G71" s="17"/>
      <c r="H71" s="17"/>
      <c r="I71" s="275"/>
      <c r="J71" s="275"/>
      <c r="K71" s="275"/>
      <c r="L71" s="275"/>
      <c r="M71" s="275"/>
      <c r="N71" s="275"/>
      <c r="O71" s="2421"/>
      <c r="P71" s="275"/>
      <c r="Q71" s="2421"/>
      <c r="R71" s="278"/>
      <c r="S71" s="278"/>
      <c r="T71" s="2466"/>
      <c r="U71" s="275"/>
      <c r="V71" s="275"/>
      <c r="W71" s="275"/>
      <c r="X71" s="275"/>
      <c r="Y71" s="275"/>
      <c r="Z71" s="97"/>
    </row>
    <row r="72" spans="1:41" x14ac:dyDescent="0.2">
      <c r="Z72" s="97"/>
    </row>
    <row r="73" spans="1:41" x14ac:dyDescent="0.2">
      <c r="A73" s="72"/>
      <c r="B73" s="283"/>
      <c r="C73" s="283"/>
      <c r="D73" s="283"/>
      <c r="E73" s="283"/>
      <c r="F73" s="283"/>
      <c r="G73" s="283"/>
      <c r="H73" s="283"/>
      <c r="I73" s="72"/>
      <c r="J73" s="72"/>
      <c r="K73" s="72"/>
      <c r="L73" s="72"/>
      <c r="M73" s="72"/>
      <c r="N73" s="72"/>
      <c r="O73" s="2422"/>
      <c r="P73" s="72"/>
      <c r="Q73" s="2422"/>
      <c r="T73" s="2467"/>
      <c r="U73" s="72"/>
      <c r="V73" s="72"/>
      <c r="W73" s="72"/>
      <c r="X73" s="72"/>
      <c r="Y73" s="72"/>
      <c r="Z73" s="284"/>
      <c r="AA73" s="72"/>
      <c r="AB73" s="72"/>
      <c r="AC73" s="72"/>
      <c r="AD73" s="72"/>
      <c r="AE73" s="72"/>
      <c r="AF73" s="72"/>
      <c r="AG73" s="72"/>
      <c r="AH73" s="72"/>
      <c r="AI73" s="72"/>
      <c r="AJ73" s="72"/>
      <c r="AK73" s="72"/>
      <c r="AL73" s="72"/>
      <c r="AM73" s="72"/>
      <c r="AN73" s="72"/>
      <c r="AO73" s="72"/>
    </row>
    <row r="74" spans="1:41" x14ac:dyDescent="0.2">
      <c r="A74" s="72"/>
      <c r="B74" s="283"/>
      <c r="C74" s="283"/>
      <c r="D74" s="283"/>
      <c r="E74" s="283"/>
      <c r="F74" s="283"/>
      <c r="G74" s="285"/>
      <c r="H74" s="283"/>
      <c r="I74" s="72"/>
      <c r="J74" s="72"/>
      <c r="K74" s="72"/>
      <c r="L74" s="72"/>
      <c r="M74" s="72"/>
      <c r="N74" s="72"/>
      <c r="O74" s="2422"/>
      <c r="P74" s="72"/>
      <c r="Q74" s="2422"/>
      <c r="T74" s="2467"/>
      <c r="U74" s="72"/>
      <c r="V74" s="72"/>
      <c r="W74" s="72"/>
      <c r="X74" s="72"/>
      <c r="Y74" s="72"/>
      <c r="Z74" s="284"/>
      <c r="AA74" s="72"/>
      <c r="AB74" s="72"/>
      <c r="AC74" s="72"/>
      <c r="AD74" s="72"/>
      <c r="AE74" s="72"/>
      <c r="AF74" s="72"/>
      <c r="AG74" s="72"/>
      <c r="AH74" s="72"/>
      <c r="AI74" s="72"/>
      <c r="AJ74" s="72"/>
      <c r="AK74" s="72"/>
      <c r="AL74" s="72"/>
      <c r="AM74" s="72"/>
      <c r="AN74" s="72"/>
      <c r="AO74" s="72"/>
    </row>
    <row r="75" spans="1:41" x14ac:dyDescent="0.2">
      <c r="A75" s="286"/>
      <c r="B75" s="287"/>
      <c r="C75" s="287"/>
      <c r="D75" s="287"/>
      <c r="E75" s="287"/>
      <c r="F75" s="274"/>
      <c r="G75" s="274"/>
      <c r="H75" s="289"/>
      <c r="I75" s="290"/>
      <c r="J75" s="290"/>
      <c r="K75" s="290"/>
      <c r="L75" s="290"/>
      <c r="M75" s="290"/>
      <c r="N75" s="290"/>
      <c r="O75" s="2423"/>
      <c r="P75" s="290"/>
      <c r="Q75" s="2423"/>
      <c r="R75" s="274"/>
      <c r="S75" s="274"/>
      <c r="T75" s="2468"/>
      <c r="U75" s="286"/>
      <c r="V75" s="286"/>
      <c r="W75" s="286"/>
      <c r="X75" s="286"/>
      <c r="Y75" s="286"/>
      <c r="Z75" s="284"/>
      <c r="AA75" s="72"/>
      <c r="AB75" s="72"/>
      <c r="AC75" s="72"/>
      <c r="AD75" s="72"/>
      <c r="AE75" s="72"/>
      <c r="AF75" s="72"/>
      <c r="AG75" s="72"/>
      <c r="AH75" s="72"/>
      <c r="AI75" s="72"/>
      <c r="AJ75" s="72"/>
      <c r="AK75" s="72"/>
      <c r="AL75" s="72"/>
      <c r="AM75" s="72"/>
      <c r="AN75" s="72"/>
      <c r="AO75" s="72"/>
    </row>
    <row r="76" spans="1:41" x14ac:dyDescent="0.2">
      <c r="A76" s="286"/>
      <c r="B76" s="287"/>
      <c r="C76" s="287"/>
      <c r="D76" s="287"/>
      <c r="E76" s="287"/>
      <c r="F76" s="287"/>
      <c r="G76" s="287"/>
      <c r="H76" s="288"/>
      <c r="I76" s="286"/>
      <c r="J76" s="286"/>
      <c r="K76" s="286"/>
      <c r="L76" s="286"/>
      <c r="M76" s="286"/>
      <c r="N76" s="286"/>
      <c r="O76" s="2424"/>
      <c r="P76" s="286"/>
      <c r="Q76" s="2424"/>
      <c r="R76" s="274"/>
      <c r="S76" s="274"/>
      <c r="T76" s="2468"/>
      <c r="U76" s="286"/>
      <c r="V76" s="286"/>
      <c r="W76" s="286"/>
      <c r="X76" s="286"/>
      <c r="Y76" s="286"/>
      <c r="Z76" s="284"/>
      <c r="AA76" s="72"/>
      <c r="AB76" s="72"/>
      <c r="AC76" s="72"/>
      <c r="AD76" s="72"/>
      <c r="AE76" s="72"/>
      <c r="AF76" s="72"/>
      <c r="AG76" s="72"/>
      <c r="AH76" s="72"/>
      <c r="AI76" s="72"/>
      <c r="AJ76" s="72"/>
      <c r="AK76" s="72"/>
      <c r="AL76" s="72"/>
      <c r="AM76" s="72"/>
      <c r="AN76" s="72"/>
      <c r="AO76" s="72"/>
    </row>
    <row r="77" spans="1:41" x14ac:dyDescent="0.2">
      <c r="A77" s="286"/>
      <c r="B77" s="287"/>
      <c r="C77" s="287"/>
      <c r="D77" s="287"/>
      <c r="E77" s="287"/>
      <c r="F77" s="287"/>
      <c r="G77" s="287"/>
      <c r="H77" s="288"/>
      <c r="I77" s="286"/>
      <c r="J77" s="286"/>
      <c r="K77" s="286"/>
      <c r="L77" s="286"/>
      <c r="M77" s="286"/>
      <c r="N77" s="286"/>
      <c r="O77" s="2424"/>
      <c r="P77" s="286"/>
      <c r="Q77" s="2424"/>
      <c r="R77" s="274"/>
      <c r="S77" s="274"/>
      <c r="T77" s="2468"/>
      <c r="U77" s="286"/>
      <c r="V77" s="286"/>
      <c r="W77" s="286"/>
      <c r="X77" s="286"/>
      <c r="Y77" s="286"/>
      <c r="Z77" s="284"/>
      <c r="AA77" s="72"/>
      <c r="AB77" s="72"/>
      <c r="AC77" s="72"/>
      <c r="AD77" s="72"/>
      <c r="AE77" s="72"/>
      <c r="AF77" s="72"/>
      <c r="AG77" s="72"/>
      <c r="AH77" s="72"/>
      <c r="AI77" s="72"/>
      <c r="AJ77" s="72"/>
      <c r="AK77" s="72"/>
      <c r="AL77" s="72"/>
      <c r="AM77" s="72"/>
      <c r="AN77" s="72"/>
      <c r="AO77" s="72"/>
    </row>
    <row r="78" spans="1:41" x14ac:dyDescent="0.2">
      <c r="A78" s="286"/>
      <c r="B78" s="287"/>
      <c r="C78" s="287"/>
      <c r="D78" s="287"/>
      <c r="E78" s="287"/>
      <c r="F78" s="287"/>
      <c r="G78" s="287"/>
      <c r="H78" s="288"/>
      <c r="I78" s="286"/>
      <c r="J78" s="286"/>
      <c r="K78" s="286"/>
      <c r="L78" s="286"/>
      <c r="M78" s="286"/>
      <c r="N78" s="286"/>
      <c r="O78" s="2424"/>
      <c r="P78" s="286"/>
      <c r="Q78" s="2424"/>
      <c r="R78" s="274"/>
      <c r="S78" s="274"/>
      <c r="T78" s="2468"/>
      <c r="U78" s="286"/>
      <c r="V78" s="286"/>
      <c r="W78" s="286"/>
      <c r="X78" s="286"/>
      <c r="Y78" s="286"/>
      <c r="Z78" s="284"/>
      <c r="AA78" s="72"/>
      <c r="AB78" s="72"/>
      <c r="AC78" s="72"/>
      <c r="AD78" s="72"/>
      <c r="AE78" s="72"/>
      <c r="AF78" s="72"/>
      <c r="AG78" s="72"/>
      <c r="AH78" s="72"/>
      <c r="AI78" s="72"/>
      <c r="AJ78" s="72"/>
      <c r="AK78" s="72"/>
      <c r="AL78" s="72"/>
      <c r="AM78" s="72"/>
      <c r="AN78" s="72"/>
      <c r="AO78" s="72"/>
    </row>
    <row r="79" spans="1:41" x14ac:dyDescent="0.2">
      <c r="A79" s="286"/>
      <c r="B79" s="287"/>
      <c r="C79" s="287"/>
      <c r="D79" s="287"/>
      <c r="E79" s="287"/>
      <c r="F79" s="287"/>
      <c r="G79" s="287"/>
      <c r="H79" s="288"/>
      <c r="I79" s="286"/>
      <c r="J79" s="286"/>
      <c r="K79" s="286"/>
      <c r="L79" s="286"/>
      <c r="M79" s="286"/>
      <c r="N79" s="286"/>
      <c r="O79" s="2424"/>
      <c r="P79" s="286"/>
      <c r="Q79" s="2424"/>
      <c r="R79" s="274"/>
      <c r="S79" s="274"/>
      <c r="T79" s="2468"/>
      <c r="U79" s="286"/>
      <c r="V79" s="286"/>
      <c r="W79" s="286"/>
      <c r="X79" s="286"/>
      <c r="Y79" s="286"/>
      <c r="Z79" s="284"/>
      <c r="AA79" s="72"/>
      <c r="AB79" s="72"/>
      <c r="AC79" s="72"/>
      <c r="AD79" s="72"/>
      <c r="AE79" s="72"/>
      <c r="AF79" s="72"/>
      <c r="AG79" s="72"/>
      <c r="AH79" s="72"/>
      <c r="AI79" s="72"/>
      <c r="AJ79" s="72"/>
      <c r="AK79" s="72"/>
      <c r="AL79" s="72"/>
      <c r="AM79" s="72"/>
      <c r="AN79" s="72"/>
      <c r="AO79" s="72"/>
    </row>
    <row r="80" spans="1:41" ht="15" customHeight="1" x14ac:dyDescent="0.2">
      <c r="A80" s="286"/>
      <c r="B80" s="287"/>
      <c r="C80" s="287"/>
      <c r="D80" s="287"/>
      <c r="E80" s="287"/>
      <c r="F80" s="287"/>
      <c r="G80" s="287"/>
      <c r="H80" s="288"/>
      <c r="I80" s="286"/>
      <c r="J80" s="286"/>
      <c r="K80" s="286"/>
      <c r="L80" s="286"/>
      <c r="M80" s="286"/>
      <c r="N80" s="286"/>
      <c r="O80" s="2424"/>
      <c r="P80" s="286"/>
      <c r="Q80" s="2424"/>
      <c r="R80" s="274"/>
      <c r="S80" s="274"/>
      <c r="T80" s="2468"/>
      <c r="U80" s="286"/>
      <c r="V80" s="286"/>
      <c r="W80" s="286"/>
      <c r="X80" s="286"/>
      <c r="Y80" s="286"/>
      <c r="Z80" s="284"/>
      <c r="AA80" s="72"/>
      <c r="AB80" s="72"/>
      <c r="AC80" s="72"/>
      <c r="AD80" s="72"/>
      <c r="AE80" s="72"/>
      <c r="AF80" s="72"/>
      <c r="AG80" s="72"/>
      <c r="AH80" s="72"/>
      <c r="AI80" s="72"/>
      <c r="AJ80" s="72"/>
      <c r="AK80" s="72"/>
      <c r="AL80" s="72"/>
      <c r="AM80" s="72"/>
      <c r="AN80" s="72"/>
      <c r="AO80" s="72"/>
    </row>
    <row r="81" spans="1:41" x14ac:dyDescent="0.2">
      <c r="A81" s="286"/>
      <c r="B81" s="287"/>
      <c r="C81" s="287"/>
      <c r="D81" s="287"/>
      <c r="E81" s="287"/>
      <c r="F81" s="287"/>
      <c r="G81" s="287"/>
      <c r="H81" s="288"/>
      <c r="I81" s="286"/>
      <c r="J81" s="286"/>
      <c r="K81" s="286"/>
      <c r="L81" s="286"/>
      <c r="M81" s="286"/>
      <c r="N81" s="286"/>
      <c r="O81" s="2424"/>
      <c r="P81" s="286"/>
      <c r="Q81" s="2424"/>
      <c r="R81" s="274"/>
      <c r="S81" s="274"/>
      <c r="T81" s="2468"/>
      <c r="U81" s="286"/>
      <c r="V81" s="286"/>
      <c r="W81" s="286"/>
      <c r="X81" s="286"/>
      <c r="Y81" s="286"/>
      <c r="Z81" s="284"/>
      <c r="AA81" s="72"/>
      <c r="AB81" s="72"/>
      <c r="AC81" s="72"/>
      <c r="AD81" s="72"/>
      <c r="AE81" s="72"/>
      <c r="AF81" s="72"/>
      <c r="AG81" s="72"/>
      <c r="AH81" s="72"/>
      <c r="AI81" s="72"/>
      <c r="AJ81" s="72"/>
      <c r="AK81" s="72"/>
      <c r="AL81" s="72"/>
      <c r="AM81" s="72"/>
      <c r="AN81" s="72"/>
      <c r="AO81" s="72"/>
    </row>
    <row r="82" spans="1:41" x14ac:dyDescent="0.2">
      <c r="A82" s="286"/>
      <c r="B82" s="287"/>
      <c r="C82" s="287"/>
      <c r="D82" s="287"/>
      <c r="E82" s="287"/>
      <c r="F82" s="287"/>
      <c r="G82" s="288"/>
      <c r="H82" s="287"/>
      <c r="I82" s="286"/>
      <c r="J82" s="286"/>
      <c r="K82" s="286"/>
      <c r="L82" s="286"/>
      <c r="M82" s="286"/>
      <c r="N82" s="286"/>
      <c r="O82" s="2424"/>
      <c r="P82" s="286"/>
      <c r="Q82" s="2424"/>
      <c r="R82" s="274"/>
      <c r="S82" s="274"/>
      <c r="T82" s="2468"/>
      <c r="U82" s="286"/>
      <c r="V82" s="286"/>
      <c r="W82" s="286"/>
      <c r="X82" s="286"/>
      <c r="Y82" s="286"/>
      <c r="Z82" s="284"/>
      <c r="AA82" s="72"/>
      <c r="AB82" s="72"/>
      <c r="AC82" s="72"/>
      <c r="AD82" s="72"/>
      <c r="AE82" s="72"/>
      <c r="AF82" s="72"/>
      <c r="AG82" s="72"/>
      <c r="AH82" s="72"/>
      <c r="AI82" s="72"/>
      <c r="AJ82" s="72"/>
      <c r="AK82" s="72"/>
      <c r="AL82" s="72"/>
      <c r="AM82" s="72"/>
      <c r="AN82" s="72"/>
      <c r="AO82" s="72"/>
    </row>
    <row r="83" spans="1:41" x14ac:dyDescent="0.2">
      <c r="A83" s="286"/>
      <c r="B83" s="287"/>
      <c r="C83" s="287"/>
      <c r="D83" s="287"/>
      <c r="E83" s="287"/>
      <c r="F83" s="287"/>
      <c r="G83" s="287"/>
      <c r="H83" s="287"/>
      <c r="I83" s="286"/>
      <c r="J83" s="286"/>
      <c r="K83" s="286"/>
      <c r="L83" s="286"/>
      <c r="M83" s="286"/>
      <c r="N83" s="286"/>
      <c r="O83" s="2424"/>
      <c r="P83" s="286"/>
      <c r="Q83" s="2424"/>
      <c r="R83" s="274"/>
      <c r="S83" s="274"/>
      <c r="T83" s="2468"/>
      <c r="U83" s="286"/>
      <c r="V83" s="286"/>
      <c r="W83" s="286"/>
      <c r="X83" s="286"/>
      <c r="Y83" s="286"/>
      <c r="Z83" s="72"/>
      <c r="AA83" s="72"/>
      <c r="AB83" s="72"/>
      <c r="AC83" s="72"/>
      <c r="AD83" s="72"/>
      <c r="AE83" s="72"/>
      <c r="AF83" s="72"/>
      <c r="AG83" s="72"/>
      <c r="AH83" s="72"/>
      <c r="AI83" s="72"/>
      <c r="AJ83" s="72"/>
      <c r="AK83" s="72"/>
      <c r="AL83" s="72"/>
      <c r="AM83" s="72"/>
      <c r="AN83" s="72"/>
      <c r="AO83" s="72"/>
    </row>
    <row r="84" spans="1:41" x14ac:dyDescent="0.2">
      <c r="A84" s="286"/>
      <c r="B84" s="287"/>
      <c r="C84" s="287"/>
      <c r="D84" s="287"/>
      <c r="E84" s="287"/>
      <c r="F84" s="287"/>
      <c r="G84" s="287"/>
      <c r="H84" s="287"/>
      <c r="I84" s="286"/>
      <c r="J84" s="286"/>
      <c r="K84" s="286"/>
      <c r="L84" s="286"/>
      <c r="M84" s="286"/>
      <c r="N84" s="286"/>
      <c r="O84" s="2424"/>
      <c r="P84" s="286"/>
      <c r="Q84" s="2424"/>
      <c r="R84" s="274"/>
      <c r="S84" s="274"/>
      <c r="T84" s="2468"/>
      <c r="U84" s="286"/>
      <c r="V84" s="286"/>
      <c r="W84" s="286"/>
      <c r="X84" s="286"/>
      <c r="Y84" s="286"/>
      <c r="Z84" s="72"/>
      <c r="AA84" s="72"/>
      <c r="AB84" s="72"/>
      <c r="AC84" s="72"/>
      <c r="AD84" s="72"/>
      <c r="AE84" s="72"/>
      <c r="AF84" s="72"/>
      <c r="AG84" s="72"/>
      <c r="AH84" s="72"/>
      <c r="AI84" s="72"/>
      <c r="AJ84" s="72"/>
      <c r="AK84" s="72"/>
      <c r="AL84" s="72"/>
      <c r="AM84" s="72"/>
      <c r="AN84" s="72"/>
      <c r="AO84" s="72"/>
    </row>
    <row r="85" spans="1:41" x14ac:dyDescent="0.2">
      <c r="A85" s="72"/>
      <c r="B85" s="283"/>
      <c r="C85" s="283"/>
      <c r="D85" s="283"/>
      <c r="E85" s="283"/>
      <c r="F85" s="283"/>
      <c r="G85" s="283"/>
      <c r="H85" s="283"/>
      <c r="I85" s="72"/>
      <c r="J85" s="72"/>
      <c r="K85" s="72"/>
      <c r="L85" s="72"/>
      <c r="M85" s="72"/>
      <c r="N85" s="72"/>
      <c r="O85" s="2422"/>
      <c r="P85" s="72"/>
      <c r="Q85" s="2422"/>
      <c r="T85" s="2467"/>
      <c r="U85" s="72"/>
      <c r="V85" s="72"/>
      <c r="W85" s="72"/>
      <c r="X85" s="72"/>
      <c r="Y85" s="72"/>
      <c r="Z85" s="72"/>
      <c r="AA85" s="72"/>
      <c r="AB85" s="72"/>
      <c r="AC85" s="72"/>
      <c r="AD85" s="72"/>
      <c r="AE85" s="72"/>
      <c r="AF85" s="72"/>
      <c r="AG85" s="72"/>
      <c r="AH85" s="72"/>
      <c r="AI85" s="72"/>
      <c r="AJ85" s="72"/>
      <c r="AK85" s="72"/>
      <c r="AL85" s="72"/>
      <c r="AM85" s="72"/>
      <c r="AN85" s="72"/>
      <c r="AO85" s="72"/>
    </row>
    <row r="86" spans="1:41" x14ac:dyDescent="0.2">
      <c r="A86" s="72"/>
      <c r="B86" s="283"/>
      <c r="C86" s="283"/>
      <c r="D86" s="283"/>
      <c r="E86" s="283"/>
      <c r="F86" s="283"/>
      <c r="G86" s="283"/>
      <c r="H86" s="283"/>
      <c r="I86" s="72"/>
      <c r="J86" s="72"/>
      <c r="K86" s="72"/>
      <c r="L86" s="72"/>
      <c r="M86" s="72"/>
      <c r="N86" s="72"/>
      <c r="O86" s="2422"/>
      <c r="P86" s="72"/>
      <c r="Q86" s="2422"/>
      <c r="T86" s="2467"/>
      <c r="U86" s="72"/>
      <c r="V86" s="72"/>
      <c r="W86" s="72"/>
      <c r="X86" s="72"/>
      <c r="Y86" s="72"/>
      <c r="Z86" s="72"/>
      <c r="AA86" s="72"/>
      <c r="AB86" s="72"/>
      <c r="AC86" s="72"/>
      <c r="AD86" s="72"/>
      <c r="AE86" s="72"/>
      <c r="AF86" s="72"/>
      <c r="AG86" s="72"/>
      <c r="AH86" s="72"/>
      <c r="AI86" s="72"/>
      <c r="AJ86" s="72"/>
      <c r="AK86" s="72"/>
      <c r="AL86" s="72"/>
      <c r="AM86" s="72"/>
      <c r="AN86" s="72"/>
      <c r="AO86" s="72"/>
    </row>
    <row r="87" spans="1:41" x14ac:dyDescent="0.2">
      <c r="A87" s="72"/>
      <c r="B87" s="283"/>
      <c r="C87" s="283"/>
      <c r="D87" s="283"/>
      <c r="E87" s="283"/>
      <c r="F87" s="283"/>
      <c r="G87" s="283"/>
      <c r="H87" s="283"/>
      <c r="I87" s="72"/>
      <c r="J87" s="72"/>
      <c r="K87" s="72"/>
      <c r="L87" s="72"/>
      <c r="M87" s="72"/>
      <c r="N87" s="72"/>
      <c r="O87" s="2422"/>
      <c r="P87" s="72"/>
      <c r="Q87" s="2422"/>
      <c r="T87" s="2467"/>
      <c r="U87" s="72"/>
      <c r="V87" s="72"/>
      <c r="W87" s="72"/>
      <c r="X87" s="72"/>
      <c r="Y87" s="72"/>
      <c r="Z87" s="72"/>
      <c r="AA87" s="72"/>
      <c r="AB87" s="72"/>
      <c r="AC87" s="72"/>
      <c r="AD87" s="72"/>
      <c r="AE87" s="72"/>
      <c r="AF87" s="72"/>
      <c r="AG87" s="72"/>
      <c r="AH87" s="72"/>
      <c r="AI87" s="72"/>
      <c r="AJ87" s="72"/>
      <c r="AK87" s="72"/>
      <c r="AL87" s="72"/>
      <c r="AM87" s="72"/>
      <c r="AN87" s="72"/>
      <c r="AO87" s="72"/>
    </row>
    <row r="88" spans="1:41" x14ac:dyDescent="0.2">
      <c r="A88" s="72"/>
      <c r="B88" s="283"/>
      <c r="C88" s="283"/>
      <c r="D88" s="283"/>
      <c r="E88" s="283"/>
      <c r="F88" s="283"/>
      <c r="G88" s="283"/>
      <c r="H88" s="283"/>
      <c r="I88" s="72"/>
      <c r="J88" s="72"/>
      <c r="K88" s="72"/>
      <c r="L88" s="72"/>
      <c r="M88" s="72"/>
      <c r="N88" s="72"/>
      <c r="O88" s="2422"/>
      <c r="P88" s="72"/>
      <c r="Q88" s="2422"/>
      <c r="T88" s="2467"/>
      <c r="U88" s="72"/>
      <c r="V88" s="72"/>
      <c r="W88" s="72"/>
      <c r="X88" s="72"/>
      <c r="Y88" s="72"/>
      <c r="Z88" s="72"/>
      <c r="AA88" s="72"/>
      <c r="AB88" s="72"/>
      <c r="AC88" s="72"/>
      <c r="AD88" s="72"/>
      <c r="AE88" s="72"/>
      <c r="AF88" s="72"/>
      <c r="AG88" s="72"/>
      <c r="AH88" s="72"/>
      <c r="AI88" s="72"/>
      <c r="AJ88" s="72"/>
      <c r="AK88" s="72"/>
      <c r="AL88" s="72"/>
      <c r="AM88" s="72"/>
      <c r="AN88" s="72"/>
      <c r="AO88" s="72"/>
    </row>
  </sheetData>
  <sheetProtection password="A72F" sheet="1" objects="1" scenarios="1"/>
  <phoneticPr fontId="0" type="noConversion"/>
  <pageMargins left="0.27" right="0.28999999999999998"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btnSetSummary2_Click">
                <anchor moveWithCells="1" sizeWithCells="1">
                  <from>
                    <xdr:col>7</xdr:col>
                    <xdr:colOff>0</xdr:colOff>
                    <xdr:row>1</xdr:row>
                    <xdr:rowOff>9525</xdr:rowOff>
                  </from>
                  <to>
                    <xdr:col>7</xdr:col>
                    <xdr:colOff>1000125</xdr:colOff>
                    <xdr:row>1</xdr:row>
                    <xdr:rowOff>190500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33"/>
  <sheetViews>
    <sheetView zoomScaleNormal="100" workbookViewId="0">
      <selection activeCell="H22" sqref="H22"/>
    </sheetView>
  </sheetViews>
  <sheetFormatPr defaultColWidth="9.140625" defaultRowHeight="12.75" x14ac:dyDescent="0.2"/>
  <cols>
    <col min="1" max="17" width="10.28515625" customWidth="1"/>
    <col min="18" max="256" width="11.42578125" customWidth="1"/>
  </cols>
  <sheetData>
    <row r="1" spans="1:20" s="35" customFormat="1" ht="18" x14ac:dyDescent="0.25">
      <c r="A1" s="1403" t="s">
        <v>141</v>
      </c>
      <c r="B1" s="1404"/>
      <c r="C1" s="1404"/>
      <c r="D1" s="1404"/>
      <c r="E1" s="1404"/>
      <c r="F1" s="1404"/>
      <c r="G1" s="1404"/>
      <c r="H1" s="39"/>
      <c r="J1" s="61"/>
    </row>
    <row r="2" spans="1:20" s="35" customFormat="1" ht="18" x14ac:dyDescent="0.25">
      <c r="A2" s="1403" t="s">
        <v>519</v>
      </c>
      <c r="B2" s="1404"/>
      <c r="C2" s="1404"/>
      <c r="D2" s="1404"/>
      <c r="E2" s="1404"/>
      <c r="F2" s="1404"/>
      <c r="G2" s="1404"/>
      <c r="H2" s="39" t="s">
        <v>520</v>
      </c>
      <c r="J2" s="61"/>
      <c r="Q2" s="35" t="s">
        <v>148</v>
      </c>
    </row>
    <row r="4" spans="1:20" x14ac:dyDescent="0.2">
      <c r="A4" s="275"/>
      <c r="B4" s="307" t="s">
        <v>107</v>
      </c>
      <c r="C4" s="308"/>
      <c r="D4" s="309"/>
      <c r="E4" s="310"/>
      <c r="F4" s="311"/>
      <c r="G4" s="312"/>
      <c r="H4" s="313"/>
      <c r="I4" s="314"/>
      <c r="J4" s="315"/>
      <c r="K4" s="316"/>
      <c r="L4" s="317"/>
      <c r="M4" s="318"/>
      <c r="N4" s="319"/>
      <c r="O4" s="320"/>
      <c r="P4" s="321"/>
      <c r="Q4" s="294" t="s">
        <v>140</v>
      </c>
    </row>
    <row r="5" spans="1:20" s="273" customFormat="1" x14ac:dyDescent="0.2">
      <c r="A5" s="301" t="s">
        <v>128</v>
      </c>
      <c r="B5" s="299">
        <f>'WP1'!E6+'WP1'!E15+'WP1'!E20+'WP1'!E23</f>
        <v>3552</v>
      </c>
      <c r="C5" s="299">
        <f>'WP1'!E29+'WP1'!E35</f>
        <v>288</v>
      </c>
      <c r="D5" s="299">
        <f>'WP1'!E39+'WP1'!E45</f>
        <v>288</v>
      </c>
      <c r="E5" s="299">
        <f>'WP1'!E49+'WP1'!E55</f>
        <v>288</v>
      </c>
      <c r="F5" s="299">
        <f>'WP1'!E59+'WP1'!E69+'WP1'!E79+'WP1'!E86</f>
        <v>784</v>
      </c>
      <c r="G5" s="299">
        <f>'WP1'!E90+'WP1'!E96</f>
        <v>336</v>
      </c>
      <c r="H5" s="299">
        <f>'WP1'!E101+'WP1'!E108</f>
        <v>400</v>
      </c>
      <c r="I5" s="300">
        <f>'WP1'!E112+'WP1'!E118</f>
        <v>360</v>
      </c>
      <c r="J5" s="299">
        <f>'WP1'!E123+'WP1'!E129</f>
        <v>360</v>
      </c>
      <c r="K5" s="300">
        <f>'WP1'!E134+'WP1'!E142</f>
        <v>336</v>
      </c>
      <c r="L5" s="300">
        <f>'WP1'!E145+'WP1'!E153</f>
        <v>448</v>
      </c>
      <c r="M5" s="300">
        <f>'WP1'!E165+'WP1'!E171</f>
        <v>232</v>
      </c>
      <c r="N5" s="300">
        <f>'WP1'!E156</f>
        <v>152</v>
      </c>
      <c r="O5" s="300">
        <f>'WP1'!E174</f>
        <v>112</v>
      </c>
      <c r="P5" s="300">
        <f>'WP1'!E183</f>
        <v>152</v>
      </c>
      <c r="Q5" s="295">
        <f t="shared" ref="Q5:Q31" si="0">SUM(B5:P5)</f>
        <v>8088</v>
      </c>
    </row>
    <row r="6" spans="1:20" x14ac:dyDescent="0.2">
      <c r="A6" s="279" t="s">
        <v>135</v>
      </c>
      <c r="B6" s="280">
        <f>SUM('WP1'!E7:E10,'WP1'!E16:E18)</f>
        <v>840</v>
      </c>
      <c r="C6" s="280">
        <f>'WP1'!E30+'WP1'!E36+'WP1'!E38</f>
        <v>80</v>
      </c>
      <c r="D6" s="280">
        <f>'WP1'!E40+'WP1'!E46+'WP1'!E48</f>
        <v>80</v>
      </c>
      <c r="E6" s="280">
        <f>'WP1'!E50+'WP1'!E56+'WP1'!E58</f>
        <v>80</v>
      </c>
      <c r="F6" s="280">
        <f>'WP1'!E60+'WP1'!E70+'WP1'!E80+'WP1'!E87+'WP1'!E89</f>
        <v>128</v>
      </c>
      <c r="G6" s="280">
        <f>'WP1'!E91+'WP1'!E97+'WP1'!E100</f>
        <v>176</v>
      </c>
      <c r="H6" s="280">
        <f>'WP1'!E102+'WP1'!E110+'WP1'!E111</f>
        <v>80</v>
      </c>
      <c r="I6" s="281">
        <f>'WP1'!E113+'WP1'!E121+'WP1'!E122</f>
        <v>80</v>
      </c>
      <c r="J6" s="282">
        <f>'WP1'!E124+'WP1'!E132+'WP1'!E133</f>
        <v>80</v>
      </c>
      <c r="K6" s="281">
        <f>'WP1'!E135+'WP1'!E143+'WP1'!E144</f>
        <v>80</v>
      </c>
      <c r="L6" s="281">
        <f>'WP1'!E146+'WP1'!E154+'WP1'!E155</f>
        <v>80</v>
      </c>
      <c r="M6" s="281">
        <f>'WP1'!E166+'WP1'!E172+'WP1'!E173</f>
        <v>96</v>
      </c>
      <c r="N6" s="281">
        <f>'WP1'!E157+'WP1'!E158+'WP1'!E159</f>
        <v>104</v>
      </c>
      <c r="O6" s="281">
        <f>'WP1'!E175</f>
        <v>16</v>
      </c>
      <c r="P6" s="281">
        <f>'WP1'!E184</f>
        <v>0</v>
      </c>
      <c r="Q6" s="292">
        <f t="shared" si="0"/>
        <v>2000</v>
      </c>
    </row>
    <row r="7" spans="1:20" x14ac:dyDescent="0.2">
      <c r="A7" s="279" t="s">
        <v>136</v>
      </c>
      <c r="B7" s="280" t="e">
        <f>SUM('WP1'!E13,'WP1'!E14,'WP1'!E19,'WP1'!#REF!,'WP1'!E21,'WP1'!E22,'WP1'!E24)</f>
        <v>#REF!</v>
      </c>
      <c r="C7" s="280">
        <f>'WP1'!E31+'WP1'!E32+'WP1'!E33</f>
        <v>168</v>
      </c>
      <c r="D7" s="280">
        <f>'WP1'!E41+'WP1'!E42+'WP1'!E43</f>
        <v>168</v>
      </c>
      <c r="E7" s="280">
        <f>'WP1'!E51+'WP1'!E52+'WP1'!E53</f>
        <v>168</v>
      </c>
      <c r="F7" s="280">
        <f>'WP1'!E61+'WP1'!E62+'WP1'!E63+'WP1'!E71+'WP1'!E73+'WP1'!E72+'WP1'!E81+'WP1'!E82+'WP1'!E83</f>
        <v>488</v>
      </c>
      <c r="G7" s="280">
        <f>'WP1'!E92+'WP1'!E93+'WP1'!E94</f>
        <v>152</v>
      </c>
      <c r="H7" s="280">
        <f>'WP1'!E103+'WP1'!E104+'WP1'!E105</f>
        <v>152</v>
      </c>
      <c r="I7" s="281">
        <f>'WP1'!E114+'WP1'!E115+'WP1'!E116</f>
        <v>152</v>
      </c>
      <c r="J7" s="282">
        <f>'WP1'!E125+'WP1'!E126+'WP1'!E127</f>
        <v>152</v>
      </c>
      <c r="K7" s="281">
        <f>'WP1'!E136+'WP1'!E137+'WP1'!E140</f>
        <v>184</v>
      </c>
      <c r="L7" s="281">
        <f>'WP1'!E147+'WP1'!E148+'WP1'!E151</f>
        <v>184</v>
      </c>
      <c r="M7" s="281">
        <f>'WP1'!E167+'WP1'!E168+'WP1'!E169</f>
        <v>112</v>
      </c>
      <c r="N7" s="281">
        <f>'WP1'!E160+'WP1'!E161+'WP1'!E163</f>
        <v>96</v>
      </c>
      <c r="O7" s="281">
        <f>'WP1'!E176+'WP1'!E179+'WP1'!E181</f>
        <v>216</v>
      </c>
      <c r="P7" s="281" t="e">
        <f>'WP1'!#REF!+'WP1'!E185+'WP1'!#REF!</f>
        <v>#REF!</v>
      </c>
      <c r="Q7" s="292" t="e">
        <f t="shared" si="0"/>
        <v>#REF!</v>
      </c>
    </row>
    <row r="8" spans="1:20" x14ac:dyDescent="0.2">
      <c r="A8" s="279" t="s">
        <v>137</v>
      </c>
      <c r="B8" s="280" t="e">
        <f>'WP1'!#REF!</f>
        <v>#REF!</v>
      </c>
      <c r="C8" s="280">
        <f>'WP1'!E34</f>
        <v>8</v>
      </c>
      <c r="D8" s="280">
        <f>'WP1'!E44</f>
        <v>8</v>
      </c>
      <c r="E8" s="280">
        <f>'WP1'!E54</f>
        <v>8</v>
      </c>
      <c r="F8" s="280">
        <f>'WP1'!E68+'WP1'!E78+'WP1'!E84</f>
        <v>80</v>
      </c>
      <c r="G8" s="280">
        <f>'WP1'!E95</f>
        <v>24</v>
      </c>
      <c r="H8" s="280">
        <f>'WP1'!E106</f>
        <v>48</v>
      </c>
      <c r="I8" s="281">
        <f>'WP1'!E117</f>
        <v>48</v>
      </c>
      <c r="J8" s="282">
        <f>'WP1'!E128</f>
        <v>48</v>
      </c>
      <c r="K8" s="281">
        <f>'WP1'!E141</f>
        <v>112</v>
      </c>
      <c r="L8" s="281">
        <f>'WP1'!E152</f>
        <v>0</v>
      </c>
      <c r="M8" s="281">
        <f>'WP1'!E170</f>
        <v>24</v>
      </c>
      <c r="N8" s="281">
        <f>'WP1'!E164</f>
        <v>32</v>
      </c>
      <c r="O8" s="281">
        <f>'WP1'!E182</f>
        <v>32</v>
      </c>
      <c r="P8" s="281">
        <f>'WP1'!E186</f>
        <v>0</v>
      </c>
      <c r="Q8" s="293" t="e">
        <f t="shared" si="0"/>
        <v>#REF!</v>
      </c>
    </row>
    <row r="9" spans="1:20" s="273" customFormat="1" x14ac:dyDescent="0.2">
      <c r="A9" s="301" t="s">
        <v>129</v>
      </c>
      <c r="B9" s="299">
        <f>'WP2'!E6+'WP2'!E11+'WP2'!E15</f>
        <v>248</v>
      </c>
      <c r="C9" s="299">
        <f>'WP2'!E45+'WP2'!E59</f>
        <v>240</v>
      </c>
      <c r="D9" s="299">
        <f>'WP2'!E17+'WP2'!E27+'WP2'!E36</f>
        <v>768</v>
      </c>
      <c r="E9" s="299" t="e">
        <f>'WP2'!E63+'WP2'!#REF!</f>
        <v>#REF!</v>
      </c>
      <c r="F9" s="299" t="e">
        <f>'WP2'!E75+'WP2'!E77+'WP2'!#REF!+'WP2'!E84+'WP2'!E91+'WP2'!E96+'WP2'!E102</f>
        <v>#REF!</v>
      </c>
      <c r="G9" s="299" t="e">
        <f>'WP2'!E106+'WP2'!#REF!</f>
        <v>#REF!</v>
      </c>
      <c r="H9" s="299" t="e">
        <f>'WP6'!E101+'WP2'!#REF!</f>
        <v>#REF!</v>
      </c>
      <c r="I9" s="300" t="e">
        <f>'WP2'!#REF!+'WP2'!#REF!+'WP2'!#REF!</f>
        <v>#REF!</v>
      </c>
      <c r="J9" s="299" t="e">
        <f>'WP2'!#REF!+'WP6'!E116</f>
        <v>#REF!</v>
      </c>
      <c r="K9" s="300" t="e">
        <f>'WP6'!#REF!+'WP6'!E127</f>
        <v>#REF!</v>
      </c>
      <c r="L9" s="300" t="e">
        <f>'WP2'!#REF!+'WP2'!#REF!</f>
        <v>#REF!</v>
      </c>
      <c r="M9" s="300" t="e">
        <f>'WP2'!#REF!+'WP2'!#REF!</f>
        <v>#REF!</v>
      </c>
      <c r="N9" s="300" t="e">
        <f>'WP2'!#REF!</f>
        <v>#REF!</v>
      </c>
      <c r="O9" s="300" t="e">
        <f>'WP2'!#REF!</f>
        <v>#REF!</v>
      </c>
      <c r="P9" s="300" t="e">
        <f>'WP2'!#REF!</f>
        <v>#REF!</v>
      </c>
      <c r="Q9" s="295" t="e">
        <f t="shared" si="0"/>
        <v>#REF!</v>
      </c>
    </row>
    <row r="10" spans="1:20" s="273" customFormat="1" x14ac:dyDescent="0.2">
      <c r="A10" s="279" t="s">
        <v>135</v>
      </c>
      <c r="B10" s="296">
        <f>'WP2'!E7+'WP2'!E8+'WP2'!E12+'WP2'!E13</f>
        <v>288</v>
      </c>
      <c r="C10" s="302" t="e">
        <f>'WP2'!E46+'WP2'!E48+'WP2'!E60+'WP2'!#REF!+'WP2'!E61</f>
        <v>#REF!</v>
      </c>
      <c r="D10" s="296" t="e">
        <f>'WP2'!E18+'WP2'!E19+'WP2'!E20+'WP2'!#REF!+'WP2'!E28+'WP2'!E29+'WP2'!E37+'WP2'!E38+'WP2'!#REF!+'WP2'!E40+'WP2'!E41</f>
        <v>#REF!</v>
      </c>
      <c r="E10" s="296" t="e">
        <f>'WP2'!E64+'WP2'!E65+'WP2'!E71+'WP2'!E72+'WP2'!#REF!</f>
        <v>#REF!</v>
      </c>
      <c r="F10" s="296" t="e">
        <f>'WP2'!E85+'WP2'!E86+'WP2'!#REF!+'WP2'!E92+'WP2'!E93+'WP2'!#REF!+'WP2'!#REF!+'WP2'!E103+'WP2'!E104+'WP2'!E105</f>
        <v>#REF!</v>
      </c>
      <c r="G10" s="296" t="e">
        <f>'WP2'!E107+'WP2'!#REF!+'WP2'!#REF!+'WP2'!#REF!+'WP2'!#REF!</f>
        <v>#REF!</v>
      </c>
      <c r="H10" s="296" t="e">
        <f>'WP6'!E102+'WP6'!#REF!+'WP6'!E103+'WP6'!E104+'WP6'!E105</f>
        <v>#REF!</v>
      </c>
      <c r="I10" s="297" t="e">
        <f>'WP2'!#REF!+'WP2'!#REF!+'WP2'!#REF!+'WP6'!E109+'WP6'!E110</f>
        <v>#REF!</v>
      </c>
      <c r="J10" s="298" t="e">
        <f>'WP2'!#REF!+'WP2'!#REF!+'WP6'!E117+'WP2'!#REF!+'WP6'!E118</f>
        <v>#REF!</v>
      </c>
      <c r="K10" s="297" t="e">
        <f>'WP6'!E121+'WP6'!E122+'WP6'!E128+'WP2'!#REF!+'WP2'!#REF!</f>
        <v>#REF!</v>
      </c>
      <c r="L10" s="297" t="e">
        <f>'WP2'!#REF!+'WP6'!E133+'WP2'!#REF!+'WP2'!#REF!+'WP2'!#REF!</f>
        <v>#REF!</v>
      </c>
      <c r="M10" s="296">
        <f>'WP2'!P7+'WP2'!P8+'WP2'!P12+'WP2'!P13</f>
        <v>0</v>
      </c>
      <c r="N10" s="296">
        <v>0</v>
      </c>
      <c r="O10" s="296">
        <v>0</v>
      </c>
      <c r="P10" s="296">
        <v>0</v>
      </c>
      <c r="Q10" s="292" t="e">
        <f t="shared" si="0"/>
        <v>#REF!</v>
      </c>
    </row>
    <row r="11" spans="1:20" x14ac:dyDescent="0.2">
      <c r="A11" s="279" t="s">
        <v>136</v>
      </c>
      <c r="B11" s="296">
        <f>'WP2'!E9</f>
        <v>320</v>
      </c>
      <c r="C11" s="296" t="e">
        <f>'WP2'!E49+'WP2'!E54+'WP2'!E55+'WP2'!E56+'WP2'!E57+'WP2'!#REF!+'WP2'!E62</f>
        <v>#REF!</v>
      </c>
      <c r="D11" s="296" t="e">
        <f>'WP2'!#REF!+'WP2'!E21+'WP2'!E22+'WP2'!E23+'WP2'!E24+'WP2'!E30+'WP2'!E31+'WP2'!E32+'WP2'!E33+'WP2'!E34+'WP2'!#REF!+'WP2'!E39+'WP2'!E42</f>
        <v>#REF!</v>
      </c>
      <c r="E11" s="296">
        <f>'WP2'!E66+'WP2'!E67+'WP2'!E68+'WP2'!E69+'WP2'!E70+'WP2'!E73+'WP2'!E74</f>
        <v>800</v>
      </c>
      <c r="F11" s="296" t="e">
        <f>'WP2'!#REF!+'WP2'!E82+'WP2'!E83+'WP2'!E87+'WP2'!E88+'WP2'!E89+'WP2'!#REF!+'WP2'!#REF!+'WP2'!E94+'WP2'!E95+'WP2'!E97+'WP2'!E98+'WP2'!E99+'WP2'!#REF!+'WP2'!E100+'WP2'!#REF!+'WP2'!#REF!</f>
        <v>#REF!</v>
      </c>
      <c r="G11" s="296" t="e">
        <f>'WP2'!E108+'WP6'!E98+'WP6'!E99+'WP2'!#REF!+'WP2'!#REF!+'WP2'!#REF!+'WP6'!E100</f>
        <v>#REF!</v>
      </c>
      <c r="H11" s="296" t="e">
        <f>'WP6'!#REF!+'WP2'!#REF!+'WP2'!#REF!+'WP6'!#REF!+'WP6'!#REF!+'WP2'!#REF!+'WP2'!#REF!</f>
        <v>#REF!</v>
      </c>
      <c r="I11" s="297" t="e">
        <f>'WP2'!#REF!+'WP6'!E106+'WP6'!E107+'WP6'!E108+'WP2'!#REF!+'WP6'!E111+'WP2'!#REF!</f>
        <v>#REF!</v>
      </c>
      <c r="J11" s="298" t="e">
        <f>'WP2'!#REF!+'WP6'!E112+'WP6'!E113+'WP6'!E114+'WP2'!#REF!+'WP6'!E119+'WP2'!#REF!</f>
        <v>#REF!</v>
      </c>
      <c r="K11" s="297" t="e">
        <f>'WP2'!#REF!+'WP2'!#REF!+'WP6'!E124+'WP6'!E125+'WP2'!#REF!+'WP6'!E130+'WP6'!E131</f>
        <v>#REF!</v>
      </c>
      <c r="L11" s="297" t="e">
        <f>'WP6'!E134+'WP2'!#REF!+'WP2'!#REF!+'WP6'!E136+'WP2'!#REF!+'WP2'!#REF!+'WP2'!#REF!</f>
        <v>#REF!</v>
      </c>
      <c r="M11" s="296" t="e">
        <f>'WP2'!#REF!</f>
        <v>#REF!</v>
      </c>
      <c r="N11" s="296">
        <v>0</v>
      </c>
      <c r="O11" s="296">
        <v>0</v>
      </c>
      <c r="P11" s="296">
        <v>0</v>
      </c>
      <c r="Q11" s="292" t="e">
        <f t="shared" si="0"/>
        <v>#REF!</v>
      </c>
    </row>
    <row r="12" spans="1:20" x14ac:dyDescent="0.2">
      <c r="A12" s="279" t="s">
        <v>137</v>
      </c>
      <c r="B12" s="296">
        <f>'WP2'!E14+'WP2'!E10+'WP2'!E16</f>
        <v>280</v>
      </c>
      <c r="C12" s="296">
        <f>'WP2'!E58</f>
        <v>424</v>
      </c>
      <c r="D12" s="296">
        <f>'WP2'!E43+'WP2'!E35+'WP2'!E26+'WP2'!E25</f>
        <v>1920</v>
      </c>
      <c r="E12" s="296" t="e">
        <f>'WP2'!#REF!</f>
        <v>#REF!</v>
      </c>
      <c r="F12" s="296" t="e">
        <f>'WP2'!E76+'WP2'!E78+'WP2'!#REF!+'WP2'!E90+'WP2'!E101</f>
        <v>#REF!</v>
      </c>
      <c r="G12" s="296" t="e">
        <f>'WP2'!#REF!</f>
        <v>#REF!</v>
      </c>
      <c r="H12" s="296" t="e">
        <f>'WP6'!#REF!</f>
        <v>#REF!</v>
      </c>
      <c r="I12" s="297" t="e">
        <f>'WP2'!#REF!+'WP2'!#REF!+'WP2'!#REF!</f>
        <v>#REF!</v>
      </c>
      <c r="J12" s="298">
        <f>'WP6'!E115</f>
        <v>40</v>
      </c>
      <c r="K12" s="297" t="e">
        <f>'WP2'!#REF!</f>
        <v>#REF!</v>
      </c>
      <c r="L12" s="297" t="e">
        <f>'WP2'!#REF!</f>
        <v>#REF!</v>
      </c>
      <c r="M12" s="296" t="e">
        <f>'WP2'!#REF!+'WP2'!#REF!</f>
        <v>#REF!</v>
      </c>
      <c r="N12" s="296" t="e">
        <f>'WP2'!#REF!</f>
        <v>#REF!</v>
      </c>
      <c r="O12" s="296" t="e">
        <f>'WP2'!#REF!</f>
        <v>#REF!</v>
      </c>
      <c r="P12" s="296" t="e">
        <f>'WP2'!#REF!</f>
        <v>#REF!</v>
      </c>
      <c r="Q12" s="293" t="e">
        <f t="shared" si="0"/>
        <v>#REF!</v>
      </c>
    </row>
    <row r="13" spans="1:20" s="273" customFormat="1" x14ac:dyDescent="0.2">
      <c r="A13" s="301" t="s">
        <v>130</v>
      </c>
      <c r="B13" s="299">
        <f>'WP3'!E6+'WP3'!E8+'WP3'!E12+'WP3'!E15</f>
        <v>472</v>
      </c>
      <c r="C13" s="299">
        <f>'WP3'!E58+'WP3'!E63</f>
        <v>120</v>
      </c>
      <c r="D13" s="299">
        <f>'WP3'!E95+'WP3'!E111</f>
        <v>360</v>
      </c>
      <c r="E13" s="299">
        <f>'WP3'!E70+'WP3'!E78</f>
        <v>200</v>
      </c>
      <c r="F13" s="299">
        <f>'WP3'!E123+'WP3'!E126+'WP3'!E133+'WP3'!E150+'WP3'!E161+'WP3'!E178</f>
        <v>400</v>
      </c>
      <c r="G13" s="299">
        <f>'WP3'!E183+'WP3'!E197</f>
        <v>120</v>
      </c>
      <c r="H13" s="299" t="e">
        <f>'WP3'!#REF!+'WP3'!#REF!</f>
        <v>#REF!</v>
      </c>
      <c r="I13" s="300" t="e">
        <f>'WP3'!#REF!+'WP3'!#REF!+'WP3'!#REF!</f>
        <v>#REF!</v>
      </c>
      <c r="J13" s="299" t="e">
        <f>'WP3'!#REF!+'WP3'!#REF!</f>
        <v>#REF!</v>
      </c>
      <c r="K13" s="300" t="e">
        <f>'WP3'!#REF!+'WP3'!#REF!</f>
        <v>#REF!</v>
      </c>
      <c r="L13" s="300" t="e">
        <f>'WP3'!#REF!+'WP3'!#REF!</f>
        <v>#REF!</v>
      </c>
      <c r="M13" s="300">
        <f>'WP3'!E17+'WP3'!E27+'WP3'!E32</f>
        <v>840</v>
      </c>
      <c r="N13" s="300">
        <f>'WP3'!E39+'WP3'!E54</f>
        <v>120</v>
      </c>
      <c r="O13" s="300" t="e">
        <f>'WP3'!#REF!+'WP3'!#REF!</f>
        <v>#REF!</v>
      </c>
      <c r="P13" s="300" t="e">
        <f>'WP3'!#REF!+'WP3'!#REF!</f>
        <v>#REF!</v>
      </c>
      <c r="Q13" s="291" t="e">
        <f t="shared" si="0"/>
        <v>#REF!</v>
      </c>
    </row>
    <row r="14" spans="1:20" s="273" customFormat="1" x14ac:dyDescent="0.2">
      <c r="A14" s="279" t="s">
        <v>135</v>
      </c>
      <c r="B14" s="296" t="e">
        <f>'WP3'!#REF!+'WP3'!E9+'WP3'!#REF!</f>
        <v>#REF!</v>
      </c>
      <c r="C14" s="296">
        <v>0</v>
      </c>
      <c r="D14" s="296">
        <f>'WP3'!E112</f>
        <v>80</v>
      </c>
      <c r="E14" s="296">
        <v>0</v>
      </c>
      <c r="F14" s="296">
        <f>'WP3'!E124+'WP3'!E131</f>
        <v>160</v>
      </c>
      <c r="G14" s="296">
        <v>0</v>
      </c>
      <c r="H14" s="296">
        <v>0</v>
      </c>
      <c r="I14" s="297" t="e">
        <f>'WP3'!#REF!</f>
        <v>#REF!</v>
      </c>
      <c r="J14" s="298" t="e">
        <f>'WP3'!#REF!</f>
        <v>#REF!</v>
      </c>
      <c r="K14" s="296">
        <v>0</v>
      </c>
      <c r="L14" s="296">
        <v>0</v>
      </c>
      <c r="M14" s="297">
        <f>'WP3'!E18+'WP3'!E28+'WP3'!E30+'WP3'!E33+'WP3'!E34</f>
        <v>680</v>
      </c>
      <c r="N14" s="297">
        <f>'WP3'!E40+'WP3'!E41+'WP3'!E55</f>
        <v>1488</v>
      </c>
      <c r="O14" s="297" t="e">
        <f>'WP3'!#REF!+'WP3'!#REF!+'WP3'!#REF!</f>
        <v>#REF!</v>
      </c>
      <c r="P14" s="297" t="e">
        <f>'WP3'!#REF!</f>
        <v>#REF!</v>
      </c>
      <c r="Q14" s="292" t="e">
        <f t="shared" si="0"/>
        <v>#REF!</v>
      </c>
      <c r="R14" s="325"/>
      <c r="S14" s="326"/>
      <c r="T14" s="325"/>
    </row>
    <row r="15" spans="1:20" x14ac:dyDescent="0.2">
      <c r="A15" s="279" t="s">
        <v>136</v>
      </c>
      <c r="B15" s="296" t="e">
        <f>'WP3'!#REF!+'WP3'!E7+'WP3'!E11+'WP3'!E13+'WP3'!E14+'WP3'!E16</f>
        <v>#REF!</v>
      </c>
      <c r="C15" s="296">
        <f>SUM('WP3'!E59:E59,'WP3'!E61,'WP3'!E64:E69)</f>
        <v>680</v>
      </c>
      <c r="D15" s="296">
        <f>SUM('WP3'!E96:E110,'WP3'!E113:E116,'WP3'!E122)</f>
        <v>1680</v>
      </c>
      <c r="E15" s="296">
        <f>SUM('WP3'!E71:E75,'WP3'!E77,'WP3'!E87:E94)</f>
        <v>1560</v>
      </c>
      <c r="F15" s="298">
        <f>SUM('WP3'!E179:E182,'WP3'!E172,'WP3'!E162:E170,'WP3'!E151:E159,'WP3'!E144,'WP3'!E139:E142,'WP3'!E132,'WP3'!E125)</f>
        <v>4568</v>
      </c>
      <c r="G15" s="296" t="e">
        <f>'WP3'!E186+'WP3'!E187+'WP3'!E188+'WP3'!E194+'WP3'!E196+'WP3'!#REF!+'WP3'!#REF!+'WP3'!#REF!+'WP3'!#REF!</f>
        <v>#REF!</v>
      </c>
      <c r="H15" s="296" t="e">
        <f>SUM('WP3'!#REF!,'WP3'!#REF!,'WP3'!#REF!)</f>
        <v>#REF!</v>
      </c>
      <c r="I15" s="297" t="e">
        <f>'WP3'!#REF!+'WP3'!#REF!+'WP3'!#REF!+'WP3'!#REF!+'WP3'!#REF!+'WP3'!#REF!+'WP3'!#REF!+'WP3'!#REF!+'WP3'!#REF!</f>
        <v>#REF!</v>
      </c>
      <c r="J15" s="298" t="e">
        <f>SUM('WP3'!#REF!,'WP3'!#REF!,'WP3'!#REF!)</f>
        <v>#REF!</v>
      </c>
      <c r="K15" s="297" t="e">
        <f>SUM('WP3'!#REF!,'WP3'!#REF!,'WP3'!#REF!)</f>
        <v>#REF!</v>
      </c>
      <c r="L15" s="297" t="e">
        <f>SUM('WP3'!#REF!,'WP3'!#REF!,'WP3'!#REF!)</f>
        <v>#REF!</v>
      </c>
      <c r="M15" s="297">
        <f>'WP3'!E19+'WP3'!E21+'WP3'!E23+'WP3'!E31+'WP3'!E35+'WP3'!E38</f>
        <v>400</v>
      </c>
      <c r="N15" s="297">
        <f>'WP3'!E42+'WP3'!E49+'WP3'!E56</f>
        <v>720</v>
      </c>
      <c r="O15" s="297" t="e">
        <f>'WP3'!#REF!+'WP3'!#REF!</f>
        <v>#REF!</v>
      </c>
      <c r="P15" s="297" t="e">
        <f>'WP3'!#REF!+'WP3'!#REF!</f>
        <v>#REF!</v>
      </c>
      <c r="Q15" s="292" t="e">
        <f t="shared" si="0"/>
        <v>#REF!</v>
      </c>
    </row>
    <row r="16" spans="1:20" x14ac:dyDescent="0.2">
      <c r="A16" s="279" t="s">
        <v>137</v>
      </c>
      <c r="B16" s="296" t="e">
        <f>'WP3'!E10+'WP3'!#REF!</f>
        <v>#REF!</v>
      </c>
      <c r="C16" s="296">
        <f>'WP3'!E60</f>
        <v>360</v>
      </c>
      <c r="D16" s="296">
        <f>'WP3'!E121</f>
        <v>40</v>
      </c>
      <c r="E16" s="296">
        <f>'WP3'!E76</f>
        <v>330</v>
      </c>
      <c r="F16" s="296">
        <f>'WP3'!E171+'WP3'!E143</f>
        <v>720</v>
      </c>
      <c r="G16" s="296">
        <f>'WP3'!E195</f>
        <v>80</v>
      </c>
      <c r="H16" s="296" t="e">
        <f>'WP3'!#REF!</f>
        <v>#REF!</v>
      </c>
      <c r="I16" s="297" t="e">
        <f>'WP3'!#REF!</f>
        <v>#REF!</v>
      </c>
      <c r="J16" s="298" t="e">
        <f>'WP3'!#REF!</f>
        <v>#REF!</v>
      </c>
      <c r="K16" s="297" t="e">
        <f>'WP3'!#REF!</f>
        <v>#REF!</v>
      </c>
      <c r="L16" s="297" t="e">
        <f>'WP3'!#REF!</f>
        <v>#REF!</v>
      </c>
      <c r="M16" s="297">
        <f>'WP3'!E24+'WP3'!E26</f>
        <v>320</v>
      </c>
      <c r="N16" s="297">
        <f>'WP3'!E50+'WP3'!E53</f>
        <v>1480</v>
      </c>
      <c r="O16" s="296">
        <v>0</v>
      </c>
      <c r="P16" s="296">
        <v>0</v>
      </c>
      <c r="Q16" s="292" t="e">
        <f t="shared" si="0"/>
        <v>#REF!</v>
      </c>
    </row>
    <row r="17" spans="1:20" s="273" customFormat="1" x14ac:dyDescent="0.2">
      <c r="A17" s="301" t="s">
        <v>131</v>
      </c>
      <c r="B17" s="299" t="e">
        <f>'WP5'!E6+'WP5'!E11+'WP5'!#REF!+'WP5'!#REF!</f>
        <v>#REF!</v>
      </c>
      <c r="C17" s="299">
        <f>'WP5'!E34+'WP5'!E42+'WP5'!E45</f>
        <v>2128</v>
      </c>
      <c r="D17" s="299" t="e">
        <f>'WP5'!E78+'WP5'!#REF!+'WP5'!E110</f>
        <v>#REF!</v>
      </c>
      <c r="E17" s="299">
        <f>'WP5'!E51+'WP5'!E59+'WP5'!E62</f>
        <v>240</v>
      </c>
      <c r="F17" s="299" t="e">
        <f>'WP5'!E113+'WP5'!E116+'WP5'!E128+'WP5'!#REF!+'WP5'!#REF!</f>
        <v>#REF!</v>
      </c>
      <c r="G17" s="299" t="e">
        <f>'WP5'!#REF!+'WP5'!E179+'WP5'!#REF!</f>
        <v>#REF!</v>
      </c>
      <c r="H17" s="299" t="e">
        <f>'WP5'!#REF!+'WP5'!#REF!+'WP5'!#REF!</f>
        <v>#REF!</v>
      </c>
      <c r="I17" s="300" t="e">
        <f>'WP5'!#REF!+'WP5'!#REF!+'WP5'!#REF!</f>
        <v>#REF!</v>
      </c>
      <c r="J17" s="299">
        <f>'WP5'!E16+'WP5'!E24+'WP5'!E29</f>
        <v>1552</v>
      </c>
      <c r="K17" s="300" t="e">
        <f>'WP5'!#REF!+'WP5'!#REF!+'WP5'!#REF!</f>
        <v>#REF!</v>
      </c>
      <c r="L17" s="300" t="e">
        <f>'WP5'!#REF!+'WP5'!#REF!+'WP5'!#REF!</f>
        <v>#REF!</v>
      </c>
      <c r="M17" s="300" t="e">
        <f>'WP5'!#REF!</f>
        <v>#REF!</v>
      </c>
      <c r="N17" s="300" t="e">
        <f>'WP5'!#REF!</f>
        <v>#REF!</v>
      </c>
      <c r="O17" s="304">
        <v>0</v>
      </c>
      <c r="P17" s="300" t="e">
        <f>'WP5'!#REF!</f>
        <v>#REF!</v>
      </c>
      <c r="Q17" s="295" t="e">
        <f t="shared" si="0"/>
        <v>#REF!</v>
      </c>
      <c r="S17" s="302"/>
      <c r="T17" s="302"/>
    </row>
    <row r="18" spans="1:20" s="273" customFormat="1" x14ac:dyDescent="0.2">
      <c r="A18" s="279" t="s">
        <v>135</v>
      </c>
      <c r="B18" s="296">
        <f>'WP5'!E7</f>
        <v>24</v>
      </c>
      <c r="C18" s="296">
        <f>'WP5'!E35+'WP5'!E36+'WP5'!E46+'WP5'!E47</f>
        <v>864</v>
      </c>
      <c r="D18" s="296" t="e">
        <f>'WP5'!E85+'WP5'!E103+'WP5'!E104+'WP5'!#REF!+'WP5'!#REF!</f>
        <v>#REF!</v>
      </c>
      <c r="E18" s="296" t="e">
        <f>'WP5'!E52+'WP5'!E53+'WP5'!#REF!+'WP5'!#REF!</f>
        <v>#REF!</v>
      </c>
      <c r="F18" s="296" t="e">
        <f>SUM('WP5'!E117:E118,'WP5'!E129:E129,'WP5'!#REF!,'WP5'!#REF!)</f>
        <v>#REF!</v>
      </c>
      <c r="G18" s="296" t="e">
        <f>'WP5'!#REF!+'WP5'!#REF!+'WP5'!#REF!+'WP5'!#REF!</f>
        <v>#REF!</v>
      </c>
      <c r="H18" s="296" t="e">
        <f>'WP5'!#REF!+'WP5'!#REF!+'WP5'!#REF!+'WP5'!#REF!</f>
        <v>#REF!</v>
      </c>
      <c r="I18" s="297" t="e">
        <f>'WP5'!#REF!+'WP5'!#REF!+'WP5'!#REF!+'WP5'!#REF!</f>
        <v>#REF!</v>
      </c>
      <c r="J18" s="298">
        <f>'WP5'!E17+'WP5'!E20+'WP5'!E21+'WP5'!E25+'WP5'!E30+'WP5'!E31</f>
        <v>752</v>
      </c>
      <c r="K18" s="297" t="e">
        <f>'WP5'!#REF!+'WP5'!#REF!+'WP5'!#REF!+'WP5'!#REF!</f>
        <v>#REF!</v>
      </c>
      <c r="L18" s="297" t="e">
        <f>'WP5'!#REF!+'WP5'!#REF!+'WP5'!#REF!+'WP5'!#REF!</f>
        <v>#REF!</v>
      </c>
      <c r="M18" s="296">
        <v>0</v>
      </c>
      <c r="N18" s="296">
        <v>0</v>
      </c>
      <c r="O18" s="296">
        <v>0</v>
      </c>
      <c r="P18" s="296">
        <v>0</v>
      </c>
      <c r="Q18" s="292" t="e">
        <f t="shared" si="0"/>
        <v>#REF!</v>
      </c>
    </row>
    <row r="19" spans="1:20" x14ac:dyDescent="0.2">
      <c r="A19" s="279" t="s">
        <v>136</v>
      </c>
      <c r="B19" s="280">
        <f>'WP5'!E8+'WP5'!E9+'WP5'!E12+'WP5'!E15</f>
        <v>344</v>
      </c>
      <c r="C19" s="280" t="e">
        <f>'WP5'!E37+'WP5'!E38+'WP5'!E39+'WP5'!E40+'WP5'!E43+'WP5'!E44+'WP5'!E48+'WP5'!E49+'WP5'!#REF!+'WP5'!#REF!</f>
        <v>#REF!</v>
      </c>
      <c r="D19" s="280" t="e">
        <f>'WP5'!E86+'WP5'!E102+'WP5'!E105+'WP5'!E106+'WP5'!E107+'WP5'!E108+'WP5'!#REF!+'WP5'!#REF!+'WP5'!#REF!+'WP5'!E111</f>
        <v>#REF!</v>
      </c>
      <c r="E19" s="280" t="e">
        <f>'WP5'!E54+'WP5'!E55+'WP5'!E56+'WP5'!E57+'WP5'!E60+'WP5'!E61+'WP5'!E63+'WP5'!E64+'WP5'!#REF!+'WP5'!E65</f>
        <v>#REF!</v>
      </c>
      <c r="F19" s="280">
        <f>SUM('WP5'!E114:E115,'WP5'!E119:E120,'WP5'!E130:E138,'WP5'!E143:E149,'WP5'!E159:E165)</f>
        <v>6896</v>
      </c>
      <c r="G19" s="280">
        <f>SUM('WP5'!E172:E177,'WP5'!E182:E182,'WP5'!E186:E192)</f>
        <v>4736</v>
      </c>
      <c r="H19" s="280" t="e">
        <f>SUM('WP5'!#REF!,'WP5'!#REF!,'WP5'!#REF!)</f>
        <v>#REF!</v>
      </c>
      <c r="I19" s="281" t="e">
        <f>SUM('WP5'!#REF!,'WP5'!#REF!,'WP5'!#REF!)</f>
        <v>#REF!</v>
      </c>
      <c r="J19" s="282">
        <f>'WP5'!E18+'WP5'!E19+SUM('WP5'!E22:E23,'WP5'!E26:E28,'WP5'!E32:E32)</f>
        <v>720</v>
      </c>
      <c r="K19" s="281" t="e">
        <f>SUM('WP5'!#REF!,'WP5'!#REF!,'WP5'!#REF!)</f>
        <v>#REF!</v>
      </c>
      <c r="L19" s="281" t="e">
        <f>SUM('WP5'!#REF!,'WP5'!#REF!,'WP5'!#REF!)</f>
        <v>#REF!</v>
      </c>
      <c r="M19" s="281" t="e">
        <f>'WP5'!#REF!</f>
        <v>#REF!</v>
      </c>
      <c r="N19" s="281" t="e">
        <f>'WP5'!#REF!</f>
        <v>#REF!</v>
      </c>
      <c r="O19" s="296">
        <v>0</v>
      </c>
      <c r="P19" s="296">
        <v>0</v>
      </c>
      <c r="Q19" s="292" t="e">
        <f t="shared" si="0"/>
        <v>#REF!</v>
      </c>
    </row>
    <row r="20" spans="1:20" x14ac:dyDescent="0.2">
      <c r="A20" s="279" t="s">
        <v>137</v>
      </c>
      <c r="B20" s="280" t="e">
        <f>'WP5'!E10+'WP5'!#REF!+'WP5'!#REF!</f>
        <v>#REF!</v>
      </c>
      <c r="C20" s="280">
        <f>'WP5'!E41+'WP5'!E50</f>
        <v>160</v>
      </c>
      <c r="D20" s="280">
        <f>'WP5'!E109+'WP5'!E112</f>
        <v>560</v>
      </c>
      <c r="E20" s="280">
        <f>'WP5'!E58+'WP5'!E77</f>
        <v>720</v>
      </c>
      <c r="F20" s="280" t="e">
        <f>'WP5'!E121+'WP5'!E139+'WP5'!#REF!+'WP5'!#REF!</f>
        <v>#REF!</v>
      </c>
      <c r="G20" s="280" t="e">
        <f>'WP5'!E178+'WP5'!#REF!</f>
        <v>#REF!</v>
      </c>
      <c r="H20" s="280" t="e">
        <f>'WP5'!#REF!+'WP5'!#REF!</f>
        <v>#REF!</v>
      </c>
      <c r="I20" s="281" t="e">
        <f>'WP5'!#REF!+'WP5'!#REF!</f>
        <v>#REF!</v>
      </c>
      <c r="J20" s="282" t="e">
        <f>'WP5'!#REF!+'WP5'!#REF!+'WP5'!#REF!+'WP5'!E33</f>
        <v>#REF!</v>
      </c>
      <c r="K20" s="281" t="e">
        <f>'WP5'!#REF!+'WP5'!#REF!</f>
        <v>#REF!</v>
      </c>
      <c r="L20" s="281" t="e">
        <f>'WP5'!#REF!+'WP5'!#REF!</f>
        <v>#REF!</v>
      </c>
      <c r="M20" s="281" t="e">
        <f>'WP5'!#REF!</f>
        <v>#REF!</v>
      </c>
      <c r="N20" s="281" t="e">
        <f>'WP5'!#REF!</f>
        <v>#REF!</v>
      </c>
      <c r="O20" s="296">
        <v>0</v>
      </c>
      <c r="P20" s="281" t="e">
        <f>'WP5'!#REF!</f>
        <v>#REF!</v>
      </c>
      <c r="Q20" s="293" t="e">
        <f t="shared" si="0"/>
        <v>#REF!</v>
      </c>
    </row>
    <row r="21" spans="1:20" s="273" customFormat="1" x14ac:dyDescent="0.2">
      <c r="A21" s="301" t="s">
        <v>132</v>
      </c>
      <c r="B21" s="299">
        <f>'WP6'!E6+'WP6'!E13+'WP6'!E15</f>
        <v>368</v>
      </c>
      <c r="C21" s="299" t="e">
        <f>'WP6'!E38+'WP6'!#REF!</f>
        <v>#REF!</v>
      </c>
      <c r="D21" s="299" t="e">
        <f>'WP6'!E51+'WP6'!#REF!+'WP6'!#REF!</f>
        <v>#REF!</v>
      </c>
      <c r="E21" s="299">
        <f>'WP6'!E45+'WP6'!E48</f>
        <v>224</v>
      </c>
      <c r="F21" s="299" t="e">
        <f>'WP6'!E54+'WP6'!E57+'WP6'!E59+'WP6'!E61+'WP6'!#REF!+'WP6'!E17+'WP6'!E28+'WP6'!E34+'WP6'!#REF!+'WP6'!#REF!</f>
        <v>#REF!</v>
      </c>
      <c r="G21" s="299" t="e">
        <f>'WP6'!#REF!+'WP6'!E71</f>
        <v>#REF!</v>
      </c>
      <c r="H21" s="299">
        <f>'WP6'!E82+'WP6'!E96</f>
        <v>160</v>
      </c>
      <c r="I21" s="300" t="e">
        <f>'WP6'!E97+'WP6'!#REF!</f>
        <v>#REF!</v>
      </c>
      <c r="J21" s="299" t="e">
        <f>'WP6'!#REF!+'WP6'!#REF!</f>
        <v>#REF!</v>
      </c>
      <c r="K21" s="300" t="e">
        <f>'WP6'!#REF!+'WP6'!#REF!</f>
        <v>#REF!</v>
      </c>
      <c r="L21" s="300" t="e">
        <f>'WP6'!#REF!+'WP6'!#REF!</f>
        <v>#REF!</v>
      </c>
      <c r="M21" s="300" t="e">
        <f>'WP6'!#REF!+'WP6'!#REF!</f>
        <v>#REF!</v>
      </c>
      <c r="N21" s="300" t="e">
        <f>'WP6'!#REF!+'WP6'!#REF!</f>
        <v>#REF!</v>
      </c>
      <c r="O21" s="300" t="e">
        <f>'WP6'!#REF!</f>
        <v>#REF!</v>
      </c>
      <c r="P21" s="300" t="e">
        <f>'WP6'!#REF!</f>
        <v>#REF!</v>
      </c>
      <c r="Q21" s="291" t="e">
        <f t="shared" si="0"/>
        <v>#REF!</v>
      </c>
    </row>
    <row r="22" spans="1:20" s="273" customFormat="1" x14ac:dyDescent="0.2">
      <c r="A22" s="279" t="s">
        <v>135</v>
      </c>
      <c r="B22" s="296">
        <f>'WP6'!E7/2</f>
        <v>20</v>
      </c>
      <c r="C22" s="296">
        <f>'WP6'!E39</f>
        <v>40</v>
      </c>
      <c r="D22" s="296" t="e">
        <f>'WP6'!#REF!</f>
        <v>#REF!</v>
      </c>
      <c r="E22" s="296">
        <f>'WP6'!E47</f>
        <v>24</v>
      </c>
      <c r="F22" s="296" t="e">
        <f>'WP6'!E19+'WP6'!#REF!+'WP6'!E29+'WP6'!E58+'WP6'!E62</f>
        <v>#REF!</v>
      </c>
      <c r="G22" s="296" t="e">
        <f>'WP6'!#REF!</f>
        <v>#REF!</v>
      </c>
      <c r="H22" s="296">
        <f>'WP6'!E84</f>
        <v>40</v>
      </c>
      <c r="I22" s="297" t="e">
        <f>'WP6'!#REF!</f>
        <v>#REF!</v>
      </c>
      <c r="J22" s="298" t="e">
        <f>'WP6'!#REF!</f>
        <v>#REF!</v>
      </c>
      <c r="K22" s="297" t="e">
        <f>'WP6'!#REF!</f>
        <v>#REF!</v>
      </c>
      <c r="L22" s="297" t="e">
        <f>'WP6'!#REF!</f>
        <v>#REF!</v>
      </c>
      <c r="M22" s="296">
        <v>0</v>
      </c>
      <c r="N22" s="296">
        <v>0</v>
      </c>
      <c r="O22" s="296">
        <v>0</v>
      </c>
      <c r="P22" s="297"/>
      <c r="Q22" s="303" t="e">
        <f t="shared" si="0"/>
        <v>#REF!</v>
      </c>
    </row>
    <row r="23" spans="1:20" s="273" customFormat="1" x14ac:dyDescent="0.2">
      <c r="A23" s="279" t="s">
        <v>136</v>
      </c>
      <c r="B23" s="296">
        <f>'WP6'!E7/2</f>
        <v>20</v>
      </c>
      <c r="C23" s="296" t="e">
        <f>'WP6'!E40+'WP6'!#REF!</f>
        <v>#REF!</v>
      </c>
      <c r="D23" s="296" t="e">
        <f>'WP6'!#REF!+'WP6'!#REF!</f>
        <v>#REF!</v>
      </c>
      <c r="E23" s="296" t="e">
        <f>'WP6'!#REF!+'WP6'!E49</f>
        <v>#REF!</v>
      </c>
      <c r="F23" s="296" t="e">
        <f>'WP6'!E63+'WP6'!#REF!+'WP6'!E60+'WP6'!#REF!+'WP6'!#REF!+'WP6'!E30+'WP6'!E21++'WP6'!E20+'WP6'!#REF!</f>
        <v>#REF!</v>
      </c>
      <c r="G23" s="296">
        <f>'WP6'!E65+'WP6'!E72</f>
        <v>200</v>
      </c>
      <c r="H23" s="296" t="e">
        <f>'WP6'!E85+'WP6'!#REF!</f>
        <v>#REF!</v>
      </c>
      <c r="I23" s="297" t="e">
        <f>'WP6'!#REF!+'WP6'!#REF!</f>
        <v>#REF!</v>
      </c>
      <c r="J23" s="298" t="e">
        <f>'WP6'!#REF!+'WP6'!#REF!</f>
        <v>#REF!</v>
      </c>
      <c r="K23" s="297" t="e">
        <f>'WP6'!#REF!+'WP6'!#REF!</f>
        <v>#REF!</v>
      </c>
      <c r="L23" s="297" t="e">
        <f>'WP6'!#REF!+'WP6'!#REF!</f>
        <v>#REF!</v>
      </c>
      <c r="M23" s="296">
        <v>0</v>
      </c>
      <c r="N23" s="296">
        <v>0</v>
      </c>
      <c r="O23" s="296">
        <v>0</v>
      </c>
      <c r="P23" s="297"/>
      <c r="Q23" s="303" t="e">
        <f t="shared" si="0"/>
        <v>#REF!</v>
      </c>
    </row>
    <row r="24" spans="1:20" s="273" customFormat="1" x14ac:dyDescent="0.2">
      <c r="A24" s="279" t="s">
        <v>137</v>
      </c>
      <c r="B24" s="296">
        <f>'WP6'!E9</f>
        <v>40</v>
      </c>
      <c r="C24" s="296" t="e">
        <f>'WP6'!E42+'WP6'!E41+'WP6'!E43+'WP6'!#REF!</f>
        <v>#REF!</v>
      </c>
      <c r="D24" s="296" t="e">
        <f>'WP6'!E52+'WP6'!#REF!+'WP6'!#REF!+'WP6'!#REF!</f>
        <v>#REF!</v>
      </c>
      <c r="E24" s="296" t="e">
        <f>'WP6'!#REF!+'WP6'!#REF!+'WP6'!#REF!+'WP6'!E50</f>
        <v>#REF!</v>
      </c>
      <c r="F24" s="296" t="e">
        <f>'WP6'!E64+'WP6'!#REF!+'WP6'!#REF!+'WP6'!#REF!+'WP6'!#REF!+'WP6'!#REF!+'WP6'!#REF!+'WP6'!#REF!+'WP6'!E32+'WP6'!E31+'WP6'!E23+'WP6'!E22</f>
        <v>#REF!</v>
      </c>
      <c r="G24" s="296" t="e">
        <f>'WP6'!E66+'WP6'!E67+'WP6'!#REF!+'WP6'!E73</f>
        <v>#REF!</v>
      </c>
      <c r="H24" s="296" t="e">
        <f>'WP6'!E87+'WP6'!E88+'WP6'!E93+'WP6'!#REF!</f>
        <v>#REF!</v>
      </c>
      <c r="I24" s="297" t="e">
        <f>'WP6'!#REF!+'WP6'!#REF!+'WP6'!#REF!+'WP6'!#REF!</f>
        <v>#REF!</v>
      </c>
      <c r="J24" s="298" t="e">
        <f>'WP6'!#REF!+'WP6'!#REF!+'WP6'!#REF!+'WP6'!#REF!</f>
        <v>#REF!</v>
      </c>
      <c r="K24" s="297" t="e">
        <f>'WP6'!#REF!+'WP6'!#REF!+'WP6'!#REF!+'WP6'!#REF!</f>
        <v>#REF!</v>
      </c>
      <c r="L24" s="297" t="e">
        <f>'WP6'!#REF!+'WP6'!#REF!+'WP6'!#REF!+'WP6'!#REF!</f>
        <v>#REF!</v>
      </c>
      <c r="M24" s="297" t="e">
        <f>'WP6'!#REF!</f>
        <v>#REF!</v>
      </c>
      <c r="N24" s="297" t="e">
        <f>'WP6'!#REF!</f>
        <v>#REF!</v>
      </c>
      <c r="O24" s="297" t="e">
        <f>'WP6'!#REF!</f>
        <v>#REF!</v>
      </c>
      <c r="P24" s="297"/>
      <c r="Q24" s="303" t="e">
        <f t="shared" si="0"/>
        <v>#REF!</v>
      </c>
    </row>
    <row r="25" spans="1:20" x14ac:dyDescent="0.2">
      <c r="A25" s="279" t="s">
        <v>138</v>
      </c>
      <c r="B25" s="280">
        <v>0</v>
      </c>
      <c r="C25" s="280">
        <f>'WP6'!E44</f>
        <v>40</v>
      </c>
      <c r="D25" s="280" t="e">
        <f>'WP6'!#REF!+'WP6'!E53</f>
        <v>#REF!</v>
      </c>
      <c r="E25" s="280" t="e">
        <f>'WP6'!#REF!</f>
        <v>#REF!</v>
      </c>
      <c r="F25" s="296" t="e">
        <f>'WP6'!#REF!+'WP6'!#REF!+'WP6'!E26+'WP6'!E25+'WP6'!E24</f>
        <v>#REF!</v>
      </c>
      <c r="G25" s="280" t="e">
        <f>'WP6'!#REF!</f>
        <v>#REF!</v>
      </c>
      <c r="H25" s="280">
        <f>'WP6'!E94</f>
        <v>160</v>
      </c>
      <c r="I25" s="281" t="e">
        <f>'WP6'!#REF!</f>
        <v>#REF!</v>
      </c>
      <c r="J25" s="282" t="e">
        <f>'WP6'!#REF!</f>
        <v>#REF!</v>
      </c>
      <c r="K25" s="281" t="e">
        <f>'WP6'!#REF!</f>
        <v>#REF!</v>
      </c>
      <c r="L25" s="281" t="e">
        <f>'WP6'!#REF!</f>
        <v>#REF!</v>
      </c>
      <c r="M25" s="281" t="e">
        <f>'WP6'!#REF!</f>
        <v>#REF!</v>
      </c>
      <c r="N25" s="281" t="e">
        <f>'WP6'!#REF!</f>
        <v>#REF!</v>
      </c>
      <c r="O25" s="281" t="e">
        <f>'WP6'!#REF!</f>
        <v>#REF!</v>
      </c>
      <c r="P25" s="281"/>
      <c r="Q25" s="303" t="e">
        <f t="shared" si="0"/>
        <v>#REF!</v>
      </c>
    </row>
    <row r="26" spans="1:20" x14ac:dyDescent="0.2">
      <c r="A26" s="279" t="s">
        <v>139</v>
      </c>
      <c r="B26" s="280">
        <f>'WP6'!E10+'WP6'!E14+'WP6'!E16</f>
        <v>208</v>
      </c>
      <c r="C26" s="280" t="e">
        <f>'WP6'!#REF!</f>
        <v>#REF!</v>
      </c>
      <c r="D26" s="280" t="e">
        <f>'WP6'!#REF!</f>
        <v>#REF!</v>
      </c>
      <c r="E26" s="280" t="e">
        <f>'WP6'!#REF!</f>
        <v>#REF!</v>
      </c>
      <c r="F26" s="280" t="e">
        <f>'WP6'!#REF!+'WP6'!#REF!+'WP6'!E33+'WP6'!E27+'WP6'!E56+'WP6'!#REF!+'WP6'!#REF!</f>
        <v>#REF!</v>
      </c>
      <c r="G26" s="280">
        <f>'WP6'!E70</f>
        <v>40</v>
      </c>
      <c r="H26" s="280">
        <f>'WP6'!E95</f>
        <v>120</v>
      </c>
      <c r="I26" s="281" t="e">
        <f>'WP6'!#REF!</f>
        <v>#REF!</v>
      </c>
      <c r="J26" s="282" t="e">
        <f>'WP6'!#REF!</f>
        <v>#REF!</v>
      </c>
      <c r="K26" s="281" t="e">
        <f>'WP6'!#REF!</f>
        <v>#REF!</v>
      </c>
      <c r="L26" s="281" t="e">
        <f>'WP6'!#REF!</f>
        <v>#REF!</v>
      </c>
      <c r="M26" s="281" t="e">
        <f>'WP6'!#REF!+'WP6'!#REF!</f>
        <v>#REF!</v>
      </c>
      <c r="N26" s="281" t="e">
        <f>'WP6'!#REF!+'WP6'!#REF!</f>
        <v>#REF!</v>
      </c>
      <c r="O26" s="281" t="e">
        <f>'WP6'!#REF!</f>
        <v>#REF!</v>
      </c>
      <c r="P26" s="281" t="e">
        <f>'WP6'!#REF!</f>
        <v>#REF!</v>
      </c>
      <c r="Q26" s="303" t="e">
        <f t="shared" si="0"/>
        <v>#REF!</v>
      </c>
    </row>
    <row r="27" spans="1:20" s="273" customFormat="1" x14ac:dyDescent="0.2">
      <c r="A27" s="301" t="s">
        <v>133</v>
      </c>
      <c r="B27" s="299">
        <f>'WP7'!E6+'WP7'!E16</f>
        <v>1672</v>
      </c>
      <c r="C27" s="299">
        <f>'WP7'!E21+'WP7'!E25</f>
        <v>80</v>
      </c>
      <c r="D27" s="299">
        <f>'WP7'!E29+'WP7'!E34</f>
        <v>80</v>
      </c>
      <c r="E27" s="299">
        <f>'WP7'!E39+'WP7'!E44</f>
        <v>400</v>
      </c>
      <c r="F27" s="299" t="e">
        <f>'WP7'!E48+'WP7'!#REF!+'WP7'!#REF!+'WP7'!#REF!+'WP7'!E58+'WP7'!E59+'WP7'!E60+'WP7'!E64</f>
        <v>#REF!</v>
      </c>
      <c r="G27" s="299" t="e">
        <f>'WP7'!E68+'WP7'!#REF!</f>
        <v>#REF!</v>
      </c>
      <c r="H27" s="299" t="e">
        <f>'WP7'!#REF!+'WP7'!#REF!</f>
        <v>#REF!</v>
      </c>
      <c r="I27" s="300" t="e">
        <f>'WP7'!#REF!+'WP7'!#REF!</f>
        <v>#REF!</v>
      </c>
      <c r="J27" s="299" t="e">
        <f>'WP7'!#REF!+'WP7'!#REF!</f>
        <v>#REF!</v>
      </c>
      <c r="K27" s="300" t="e">
        <f>'WP7'!#REF!+'WP7'!#REF!</f>
        <v>#REF!</v>
      </c>
      <c r="L27" s="300" t="e">
        <f>'WP7'!#REF!+'WP7'!#REF!</f>
        <v>#REF!</v>
      </c>
      <c r="M27" s="300" t="e">
        <f>'WP7'!#REF!</f>
        <v>#REF!</v>
      </c>
      <c r="N27" s="304">
        <v>0</v>
      </c>
      <c r="O27" s="304">
        <v>0</v>
      </c>
      <c r="P27" s="304">
        <v>0</v>
      </c>
      <c r="Q27" s="295" t="e">
        <f t="shared" si="0"/>
        <v>#REF!</v>
      </c>
    </row>
    <row r="28" spans="1:20" s="273" customFormat="1" x14ac:dyDescent="0.2">
      <c r="A28" s="279" t="s">
        <v>135</v>
      </c>
      <c r="B28" s="305" t="e">
        <f>'WP7'!E7+'WP7'!E9+'WP7'!E17+'WP7'!E18+'WP7'!#REF!</f>
        <v>#REF!</v>
      </c>
      <c r="C28" s="296" t="e">
        <f>'WP7'!E22+'WP7'!#REF!+'WP7'!#REF!</f>
        <v>#REF!</v>
      </c>
      <c r="D28" s="296" t="e">
        <f>'WP7'!E31+'WP7'!#REF!+'WP7'!#REF!</f>
        <v>#REF!</v>
      </c>
      <c r="E28" s="296" t="e">
        <f>'WP7'!E40+'WP7'!#REF!+'WP7'!#REF!</f>
        <v>#REF!</v>
      </c>
      <c r="F28" s="296" t="e">
        <f>'WP7'!E49+'WP7'!E51+'WP7'!E55+'WP7'!E61+'WP7'!#REF!+'WP7'!#REF!</f>
        <v>#REF!</v>
      </c>
      <c r="G28" s="296">
        <f>'WP7'!E69+'WP7'!E71+'WP7'!E75</f>
        <v>720</v>
      </c>
      <c r="H28" s="296" t="e">
        <f>'WP7'!#REF!+'WP7'!#REF!+'WP7'!#REF!</f>
        <v>#REF!</v>
      </c>
      <c r="I28" s="297" t="e">
        <f>'WP7'!#REF!+'WP7'!#REF!+'WP7'!#REF!</f>
        <v>#REF!</v>
      </c>
      <c r="J28" s="298" t="e">
        <f>'WP7'!#REF!+'WP7'!#REF!+'WP7'!#REF!</f>
        <v>#REF!</v>
      </c>
      <c r="K28" s="297" t="e">
        <f>'WP7'!#REF!+'WP7'!#REF!+'WP7'!#REF!</f>
        <v>#REF!</v>
      </c>
      <c r="L28" s="297" t="e">
        <f>'WP7'!#REF!+'WP7'!#REF!+'WP7'!#REF!</f>
        <v>#REF!</v>
      </c>
      <c r="M28" s="296">
        <v>0</v>
      </c>
      <c r="N28" s="297"/>
      <c r="O28" s="297"/>
      <c r="P28" s="297"/>
      <c r="Q28" s="303" t="e">
        <f t="shared" si="0"/>
        <v>#REF!</v>
      </c>
    </row>
    <row r="29" spans="1:20" s="273" customFormat="1" x14ac:dyDescent="0.2">
      <c r="A29" s="279" t="s">
        <v>136</v>
      </c>
      <c r="B29" s="305" t="e">
        <f>SUM('WP7'!E10:E13,'WP7'!E19:E19,'WP7'!#REF!)</f>
        <v>#REF!</v>
      </c>
      <c r="C29" s="296" t="e">
        <f>'WP7'!#REF!+'WP7'!#REF!+'WP7'!E23+'WP7'!#REF!+'WP7'!#REF!+'WP7'!#REF!+'WP7'!E27+'WP7'!#REF!</f>
        <v>#REF!</v>
      </c>
      <c r="D29" s="296">
        <f>SUM('WP7'!E32:E32,'WP7'!E36:E36)</f>
        <v>160</v>
      </c>
      <c r="E29" s="296">
        <f>SUM('WP7'!E41:E41,'WP7'!E47:E47)</f>
        <v>400</v>
      </c>
      <c r="F29" s="296" t="e">
        <f>'WP7'!#REF!+'WP7'!#REF!+'WP7'!#REF!+'WP7'!#REF!+'WP7'!E56+'WP7'!#REF!+'WP7'!#REF!+'WP7'!#REF!+'WP7'!#REF!+'WP7'!#REF!+'WP7'!E62+'WP7'!#REF!+'WP7'!#REF!+'WP7'!#REF!+'WP7'!#REF!+'WP7'!E67+'WP7'!#REF!+'WP7'!#REF!+'WP7'!E58+'WP7'!E59</f>
        <v>#REF!</v>
      </c>
      <c r="G29" s="296" t="e">
        <f>SUM('WP7'!#REF!,'WP7'!E76:E76)</f>
        <v>#REF!</v>
      </c>
      <c r="H29" s="296" t="e">
        <f>SUM('WP7'!#REF!,'WP7'!#REF!)</f>
        <v>#REF!</v>
      </c>
      <c r="I29" s="297" t="e">
        <f>SUM('WP7'!#REF!,'WP7'!#REF!)</f>
        <v>#REF!</v>
      </c>
      <c r="J29" s="298" t="e">
        <f>SUM('WP7'!#REF!,'WP7'!#REF!)</f>
        <v>#REF!</v>
      </c>
      <c r="K29" s="297" t="e">
        <f>SUM('WP7'!#REF!,'WP7'!#REF!)</f>
        <v>#REF!</v>
      </c>
      <c r="L29" s="297" t="e">
        <f>SUM('WP7'!#REF!,'WP7'!#REF!)</f>
        <v>#REF!</v>
      </c>
      <c r="M29" s="297" t="e">
        <f>'WP7'!#REF!</f>
        <v>#REF!</v>
      </c>
      <c r="N29" s="297"/>
      <c r="O29" s="297"/>
      <c r="P29" s="297"/>
      <c r="Q29" s="303" t="e">
        <f t="shared" si="0"/>
        <v>#REF!</v>
      </c>
    </row>
    <row r="30" spans="1:20" x14ac:dyDescent="0.2">
      <c r="A30" s="279" t="s">
        <v>137</v>
      </c>
      <c r="B30" s="280" t="e">
        <f>'WP7'!E14+'WP7'!E15+'WP7'!#REF!+'WP7'!#REF!</f>
        <v>#REF!</v>
      </c>
      <c r="C30" s="280" t="e">
        <f>'WP7'!#REF!+'WP7'!E24+'WP7'!#REF!+'WP7'!E28</f>
        <v>#REF!</v>
      </c>
      <c r="D30" s="280" t="e">
        <f>'WP7'!#REF!+'WP7'!E33+'WP7'!#REF!+'WP7'!E38</f>
        <v>#REF!</v>
      </c>
      <c r="E30" s="280" t="e">
        <f>'WP7'!#REF!+'WP7'!E43+'WP7'!#REF!+'WP7'!#REF!</f>
        <v>#REF!</v>
      </c>
      <c r="F30" s="280" t="e">
        <f>'WP7'!E52+'WP7'!#REF!+'WP7'!#REF!+'WP7'!E57+'WP7'!#REF!+'WP7'!E63+'WP7'!#REF!+'WP7'!#REF!</f>
        <v>#REF!</v>
      </c>
      <c r="G30" s="280" t="e">
        <f>'WP7'!E72+'WP7'!#REF!+'WP7'!#REF!+'WP7'!E77</f>
        <v>#REF!</v>
      </c>
      <c r="H30" s="280" t="e">
        <f>'WP7'!#REF!+'WP7'!#REF!+'WP7'!#REF!+'WP7'!#REF!</f>
        <v>#REF!</v>
      </c>
      <c r="I30" s="281" t="e">
        <f>'WP7'!#REF!+'WP7'!#REF!+'WP7'!#REF!+'WP7'!#REF!</f>
        <v>#REF!</v>
      </c>
      <c r="J30" s="282" t="e">
        <f>'WP7'!#REF!+'WP7'!#REF!+'WP7'!#REF!+'WP7'!#REF!</f>
        <v>#REF!</v>
      </c>
      <c r="K30" s="281" t="e">
        <f>'WP7'!#REF!+'WP7'!#REF!+'WP7'!#REF!+'WP7'!#REF!</f>
        <v>#REF!</v>
      </c>
      <c r="L30" s="281" t="e">
        <f>'WP7'!#REF!+'WP7'!#REF!+'WP7'!#REF!+'WP7'!#REF!</f>
        <v>#REF!</v>
      </c>
      <c r="M30" s="296">
        <v>0</v>
      </c>
      <c r="N30" s="281"/>
      <c r="O30" s="281"/>
      <c r="P30" s="281"/>
      <c r="Q30" s="303" t="e">
        <f t="shared" si="0"/>
        <v>#REF!</v>
      </c>
    </row>
    <row r="31" spans="1:20" s="273" customFormat="1" x14ac:dyDescent="0.2">
      <c r="A31" s="301" t="s">
        <v>134</v>
      </c>
      <c r="B31" s="299">
        <v>240</v>
      </c>
      <c r="C31" s="299"/>
      <c r="D31" s="299"/>
      <c r="E31" s="299"/>
      <c r="F31" s="299"/>
      <c r="G31" s="299"/>
      <c r="H31" s="299"/>
      <c r="I31" s="300"/>
      <c r="J31" s="299"/>
      <c r="K31" s="300"/>
      <c r="L31" s="300"/>
      <c r="M31" s="300"/>
      <c r="N31" s="300"/>
      <c r="O31" s="300"/>
      <c r="P31" s="300"/>
      <c r="Q31" s="306">
        <f t="shared" si="0"/>
        <v>240</v>
      </c>
    </row>
    <row r="33" spans="1:17" x14ac:dyDescent="0.2">
      <c r="A33" s="275" t="s">
        <v>140</v>
      </c>
      <c r="B33" s="97" t="e">
        <f>B5+B9+B13+B17+B27+B21+B31</f>
        <v>#REF!</v>
      </c>
      <c r="C33" s="97" t="e">
        <f t="shared" ref="C33:Q33" si="1">C5+C9+C13+C17+C27+C21+C31</f>
        <v>#REF!</v>
      </c>
      <c r="D33" s="97" t="e">
        <f t="shared" si="1"/>
        <v>#REF!</v>
      </c>
      <c r="E33" s="97" t="e">
        <f t="shared" si="1"/>
        <v>#REF!</v>
      </c>
      <c r="F33" s="97" t="e">
        <f t="shared" si="1"/>
        <v>#REF!</v>
      </c>
      <c r="G33" s="97" t="e">
        <f t="shared" si="1"/>
        <v>#REF!</v>
      </c>
      <c r="H33" s="97" t="e">
        <f t="shared" si="1"/>
        <v>#REF!</v>
      </c>
      <c r="I33" s="97" t="e">
        <f t="shared" si="1"/>
        <v>#REF!</v>
      </c>
      <c r="J33" s="97" t="e">
        <f t="shared" si="1"/>
        <v>#REF!</v>
      </c>
      <c r="K33" s="97" t="e">
        <f t="shared" si="1"/>
        <v>#REF!</v>
      </c>
      <c r="L33" s="97" t="e">
        <f t="shared" si="1"/>
        <v>#REF!</v>
      </c>
      <c r="M33" s="97" t="e">
        <f t="shared" si="1"/>
        <v>#REF!</v>
      </c>
      <c r="N33" s="97" t="e">
        <f t="shared" si="1"/>
        <v>#REF!</v>
      </c>
      <c r="O33" s="97" t="e">
        <f t="shared" si="1"/>
        <v>#REF!</v>
      </c>
      <c r="P33" s="97" t="e">
        <f t="shared" si="1"/>
        <v>#REF!</v>
      </c>
      <c r="Q33" s="97" t="e">
        <f t="shared" si="1"/>
        <v>#REF!</v>
      </c>
    </row>
  </sheetData>
  <sheetProtection password="A72F" sheet="1" objects="1" scenarios="1"/>
  <phoneticPr fontId="11" type="noConversion"/>
  <pageMargins left="0.75" right="0.75" top="1" bottom="1" header="0.4921259845" footer="0.4921259845"/>
  <pageSetup paperSize="9" scale="75"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J130"/>
  <sheetViews>
    <sheetView workbookViewId="0">
      <selection activeCell="F15" sqref="F15"/>
    </sheetView>
  </sheetViews>
  <sheetFormatPr defaultColWidth="9.140625" defaultRowHeight="12.75" x14ac:dyDescent="0.2"/>
  <cols>
    <col min="1" max="1" width="15.85546875" style="445" customWidth="1"/>
    <col min="2" max="2" width="21.42578125" style="445" customWidth="1"/>
    <col min="3" max="3" width="21.42578125" style="445" bestFit="1" customWidth="1"/>
    <col min="4" max="4" width="24" style="445" hidden="1" customWidth="1"/>
    <col min="5" max="5" width="10.28515625" style="446" customWidth="1"/>
    <col min="6" max="6" width="16" style="447" customWidth="1"/>
    <col min="7" max="7" width="10.42578125" style="448" customWidth="1"/>
    <col min="8" max="8" width="9.140625" style="449"/>
    <col min="9" max="9" width="10.28515625" style="449" bestFit="1" customWidth="1"/>
    <col min="10" max="11" width="9.140625" style="449"/>
    <col min="12" max="12" width="15.5703125" style="449" bestFit="1" customWidth="1"/>
    <col min="13" max="256" width="9.140625" style="449"/>
    <col min="257" max="257" width="15.85546875" style="449" customWidth="1"/>
    <col min="258" max="258" width="15" style="449" customWidth="1"/>
    <col min="259" max="259" width="21.42578125" style="449" bestFit="1" customWidth="1"/>
    <col min="260" max="260" width="0" style="449" hidden="1" customWidth="1"/>
    <col min="261" max="261" width="10.28515625" style="449" customWidth="1"/>
    <col min="262" max="262" width="16" style="449" customWidth="1"/>
    <col min="263" max="263" width="10.42578125" style="449" customWidth="1"/>
    <col min="264" max="267" width="9.140625" style="449"/>
    <col min="268" max="268" width="15.5703125" style="449" bestFit="1" customWidth="1"/>
    <col min="269" max="512" width="9.140625" style="449"/>
    <col min="513" max="513" width="15.85546875" style="449" customWidth="1"/>
    <col min="514" max="514" width="15" style="449" customWidth="1"/>
    <col min="515" max="515" width="21.42578125" style="449" bestFit="1" customWidth="1"/>
    <col min="516" max="516" width="0" style="449" hidden="1" customWidth="1"/>
    <col min="517" max="517" width="10.28515625" style="449" customWidth="1"/>
    <col min="518" max="518" width="16" style="449" customWidth="1"/>
    <col min="519" max="519" width="10.42578125" style="449" customWidth="1"/>
    <col min="520" max="523" width="9.140625" style="449"/>
    <col min="524" max="524" width="15.5703125" style="449" bestFit="1" customWidth="1"/>
    <col min="525" max="768" width="9.140625" style="449"/>
    <col min="769" max="769" width="15.85546875" style="449" customWidth="1"/>
    <col min="770" max="770" width="15" style="449" customWidth="1"/>
    <col min="771" max="771" width="21.42578125" style="449" bestFit="1" customWidth="1"/>
    <col min="772" max="772" width="0" style="449" hidden="1" customWidth="1"/>
    <col min="773" max="773" width="10.28515625" style="449" customWidth="1"/>
    <col min="774" max="774" width="16" style="449" customWidth="1"/>
    <col min="775" max="775" width="10.42578125" style="449" customWidth="1"/>
    <col min="776" max="779" width="9.140625" style="449"/>
    <col min="780" max="780" width="15.5703125" style="449" bestFit="1" customWidth="1"/>
    <col min="781" max="1024" width="9.140625" style="449"/>
    <col min="1025" max="1025" width="15.85546875" style="449" customWidth="1"/>
    <col min="1026" max="1026" width="15" style="449" customWidth="1"/>
    <col min="1027" max="1027" width="21.42578125" style="449" bestFit="1" customWidth="1"/>
    <col min="1028" max="1028" width="0" style="449" hidden="1" customWidth="1"/>
    <col min="1029" max="1029" width="10.28515625" style="449" customWidth="1"/>
    <col min="1030" max="1030" width="16" style="449" customWidth="1"/>
    <col min="1031" max="1031" width="10.42578125" style="449" customWidth="1"/>
    <col min="1032" max="1035" width="9.140625" style="449"/>
    <col min="1036" max="1036" width="15.5703125" style="449" bestFit="1" customWidth="1"/>
    <col min="1037" max="1280" width="9.140625" style="449"/>
    <col min="1281" max="1281" width="15.85546875" style="449" customWidth="1"/>
    <col min="1282" max="1282" width="15" style="449" customWidth="1"/>
    <col min="1283" max="1283" width="21.42578125" style="449" bestFit="1" customWidth="1"/>
    <col min="1284" max="1284" width="0" style="449" hidden="1" customWidth="1"/>
    <col min="1285" max="1285" width="10.28515625" style="449" customWidth="1"/>
    <col min="1286" max="1286" width="16" style="449" customWidth="1"/>
    <col min="1287" max="1287" width="10.42578125" style="449" customWidth="1"/>
    <col min="1288" max="1291" width="9.140625" style="449"/>
    <col min="1292" max="1292" width="15.5703125" style="449" bestFit="1" customWidth="1"/>
    <col min="1293" max="1536" width="9.140625" style="449"/>
    <col min="1537" max="1537" width="15.85546875" style="449" customWidth="1"/>
    <col min="1538" max="1538" width="15" style="449" customWidth="1"/>
    <col min="1539" max="1539" width="21.42578125" style="449" bestFit="1" customWidth="1"/>
    <col min="1540" max="1540" width="0" style="449" hidden="1" customWidth="1"/>
    <col min="1541" max="1541" width="10.28515625" style="449" customWidth="1"/>
    <col min="1542" max="1542" width="16" style="449" customWidth="1"/>
    <col min="1543" max="1543" width="10.42578125" style="449" customWidth="1"/>
    <col min="1544" max="1547" width="9.140625" style="449"/>
    <col min="1548" max="1548" width="15.5703125" style="449" bestFit="1" customWidth="1"/>
    <col min="1549" max="1792" width="9.140625" style="449"/>
    <col min="1793" max="1793" width="15.85546875" style="449" customWidth="1"/>
    <col min="1794" max="1794" width="15" style="449" customWidth="1"/>
    <col min="1795" max="1795" width="21.42578125" style="449" bestFit="1" customWidth="1"/>
    <col min="1796" max="1796" width="0" style="449" hidden="1" customWidth="1"/>
    <col min="1797" max="1797" width="10.28515625" style="449" customWidth="1"/>
    <col min="1798" max="1798" width="16" style="449" customWidth="1"/>
    <col min="1799" max="1799" width="10.42578125" style="449" customWidth="1"/>
    <col min="1800" max="1803" width="9.140625" style="449"/>
    <col min="1804" max="1804" width="15.5703125" style="449" bestFit="1" customWidth="1"/>
    <col min="1805" max="2048" width="9.140625" style="449"/>
    <col min="2049" max="2049" width="15.85546875" style="449" customWidth="1"/>
    <col min="2050" max="2050" width="15" style="449" customWidth="1"/>
    <col min="2051" max="2051" width="21.42578125" style="449" bestFit="1" customWidth="1"/>
    <col min="2052" max="2052" width="0" style="449" hidden="1" customWidth="1"/>
    <col min="2053" max="2053" width="10.28515625" style="449" customWidth="1"/>
    <col min="2054" max="2054" width="16" style="449" customWidth="1"/>
    <col min="2055" max="2055" width="10.42578125" style="449" customWidth="1"/>
    <col min="2056" max="2059" width="9.140625" style="449"/>
    <col min="2060" max="2060" width="15.5703125" style="449" bestFit="1" customWidth="1"/>
    <col min="2061" max="2304" width="9.140625" style="449"/>
    <col min="2305" max="2305" width="15.85546875" style="449" customWidth="1"/>
    <col min="2306" max="2306" width="15" style="449" customWidth="1"/>
    <col min="2307" max="2307" width="21.42578125" style="449" bestFit="1" customWidth="1"/>
    <col min="2308" max="2308" width="0" style="449" hidden="1" customWidth="1"/>
    <col min="2309" max="2309" width="10.28515625" style="449" customWidth="1"/>
    <col min="2310" max="2310" width="16" style="449" customWidth="1"/>
    <col min="2311" max="2311" width="10.42578125" style="449" customWidth="1"/>
    <col min="2312" max="2315" width="9.140625" style="449"/>
    <col min="2316" max="2316" width="15.5703125" style="449" bestFit="1" customWidth="1"/>
    <col min="2317" max="2560" width="9.140625" style="449"/>
    <col min="2561" max="2561" width="15.85546875" style="449" customWidth="1"/>
    <col min="2562" max="2562" width="15" style="449" customWidth="1"/>
    <col min="2563" max="2563" width="21.42578125" style="449" bestFit="1" customWidth="1"/>
    <col min="2564" max="2564" width="0" style="449" hidden="1" customWidth="1"/>
    <col min="2565" max="2565" width="10.28515625" style="449" customWidth="1"/>
    <col min="2566" max="2566" width="16" style="449" customWidth="1"/>
    <col min="2567" max="2567" width="10.42578125" style="449" customWidth="1"/>
    <col min="2568" max="2571" width="9.140625" style="449"/>
    <col min="2572" max="2572" width="15.5703125" style="449" bestFit="1" customWidth="1"/>
    <col min="2573" max="2816" width="9.140625" style="449"/>
    <col min="2817" max="2817" width="15.85546875" style="449" customWidth="1"/>
    <col min="2818" max="2818" width="15" style="449" customWidth="1"/>
    <col min="2819" max="2819" width="21.42578125" style="449" bestFit="1" customWidth="1"/>
    <col min="2820" max="2820" width="0" style="449" hidden="1" customWidth="1"/>
    <col min="2821" max="2821" width="10.28515625" style="449" customWidth="1"/>
    <col min="2822" max="2822" width="16" style="449" customWidth="1"/>
    <col min="2823" max="2823" width="10.42578125" style="449" customWidth="1"/>
    <col min="2824" max="2827" width="9.140625" style="449"/>
    <col min="2828" max="2828" width="15.5703125" style="449" bestFit="1" customWidth="1"/>
    <col min="2829" max="3072" width="9.140625" style="449"/>
    <col min="3073" max="3073" width="15.85546875" style="449" customWidth="1"/>
    <col min="3074" max="3074" width="15" style="449" customWidth="1"/>
    <col min="3075" max="3075" width="21.42578125" style="449" bestFit="1" customWidth="1"/>
    <col min="3076" max="3076" width="0" style="449" hidden="1" customWidth="1"/>
    <col min="3077" max="3077" width="10.28515625" style="449" customWidth="1"/>
    <col min="3078" max="3078" width="16" style="449" customWidth="1"/>
    <col min="3079" max="3079" width="10.42578125" style="449" customWidth="1"/>
    <col min="3080" max="3083" width="9.140625" style="449"/>
    <col min="3084" max="3084" width="15.5703125" style="449" bestFit="1" customWidth="1"/>
    <col min="3085" max="3328" width="9.140625" style="449"/>
    <col min="3329" max="3329" width="15.85546875" style="449" customWidth="1"/>
    <col min="3330" max="3330" width="15" style="449" customWidth="1"/>
    <col min="3331" max="3331" width="21.42578125" style="449" bestFit="1" customWidth="1"/>
    <col min="3332" max="3332" width="0" style="449" hidden="1" customWidth="1"/>
    <col min="3333" max="3333" width="10.28515625" style="449" customWidth="1"/>
    <col min="3334" max="3334" width="16" style="449" customWidth="1"/>
    <col min="3335" max="3335" width="10.42578125" style="449" customWidth="1"/>
    <col min="3336" max="3339" width="9.140625" style="449"/>
    <col min="3340" max="3340" width="15.5703125" style="449" bestFit="1" customWidth="1"/>
    <col min="3341" max="3584" width="9.140625" style="449"/>
    <col min="3585" max="3585" width="15.85546875" style="449" customWidth="1"/>
    <col min="3586" max="3586" width="15" style="449" customWidth="1"/>
    <col min="3587" max="3587" width="21.42578125" style="449" bestFit="1" customWidth="1"/>
    <col min="3588" max="3588" width="0" style="449" hidden="1" customWidth="1"/>
    <col min="3589" max="3589" width="10.28515625" style="449" customWidth="1"/>
    <col min="3590" max="3590" width="16" style="449" customWidth="1"/>
    <col min="3591" max="3591" width="10.42578125" style="449" customWidth="1"/>
    <col min="3592" max="3595" width="9.140625" style="449"/>
    <col min="3596" max="3596" width="15.5703125" style="449" bestFit="1" customWidth="1"/>
    <col min="3597" max="3840" width="9.140625" style="449"/>
    <col min="3841" max="3841" width="15.85546875" style="449" customWidth="1"/>
    <col min="3842" max="3842" width="15" style="449" customWidth="1"/>
    <col min="3843" max="3843" width="21.42578125" style="449" bestFit="1" customWidth="1"/>
    <col min="3844" max="3844" width="0" style="449" hidden="1" customWidth="1"/>
    <col min="3845" max="3845" width="10.28515625" style="449" customWidth="1"/>
    <col min="3846" max="3846" width="16" style="449" customWidth="1"/>
    <col min="3847" max="3847" width="10.42578125" style="449" customWidth="1"/>
    <col min="3848" max="3851" width="9.140625" style="449"/>
    <col min="3852" max="3852" width="15.5703125" style="449" bestFit="1" customWidth="1"/>
    <col min="3853" max="4096" width="9.140625" style="449"/>
    <col min="4097" max="4097" width="15.85546875" style="449" customWidth="1"/>
    <col min="4098" max="4098" width="15" style="449" customWidth="1"/>
    <col min="4099" max="4099" width="21.42578125" style="449" bestFit="1" customWidth="1"/>
    <col min="4100" max="4100" width="0" style="449" hidden="1" customWidth="1"/>
    <col min="4101" max="4101" width="10.28515625" style="449" customWidth="1"/>
    <col min="4102" max="4102" width="16" style="449" customWidth="1"/>
    <col min="4103" max="4103" width="10.42578125" style="449" customWidth="1"/>
    <col min="4104" max="4107" width="9.140625" style="449"/>
    <col min="4108" max="4108" width="15.5703125" style="449" bestFit="1" customWidth="1"/>
    <col min="4109" max="4352" width="9.140625" style="449"/>
    <col min="4353" max="4353" width="15.85546875" style="449" customWidth="1"/>
    <col min="4354" max="4354" width="15" style="449" customWidth="1"/>
    <col min="4355" max="4355" width="21.42578125" style="449" bestFit="1" customWidth="1"/>
    <col min="4356" max="4356" width="0" style="449" hidden="1" customWidth="1"/>
    <col min="4357" max="4357" width="10.28515625" style="449" customWidth="1"/>
    <col min="4358" max="4358" width="16" style="449" customWidth="1"/>
    <col min="4359" max="4359" width="10.42578125" style="449" customWidth="1"/>
    <col min="4360" max="4363" width="9.140625" style="449"/>
    <col min="4364" max="4364" width="15.5703125" style="449" bestFit="1" customWidth="1"/>
    <col min="4365" max="4608" width="9.140625" style="449"/>
    <col min="4609" max="4609" width="15.85546875" style="449" customWidth="1"/>
    <col min="4610" max="4610" width="15" style="449" customWidth="1"/>
    <col min="4611" max="4611" width="21.42578125" style="449" bestFit="1" customWidth="1"/>
    <col min="4612" max="4612" width="0" style="449" hidden="1" customWidth="1"/>
    <col min="4613" max="4613" width="10.28515625" style="449" customWidth="1"/>
    <col min="4614" max="4614" width="16" style="449" customWidth="1"/>
    <col min="4615" max="4615" width="10.42578125" style="449" customWidth="1"/>
    <col min="4616" max="4619" width="9.140625" style="449"/>
    <col min="4620" max="4620" width="15.5703125" style="449" bestFit="1" customWidth="1"/>
    <col min="4621" max="4864" width="9.140625" style="449"/>
    <col min="4865" max="4865" width="15.85546875" style="449" customWidth="1"/>
    <col min="4866" max="4866" width="15" style="449" customWidth="1"/>
    <col min="4867" max="4867" width="21.42578125" style="449" bestFit="1" customWidth="1"/>
    <col min="4868" max="4868" width="0" style="449" hidden="1" customWidth="1"/>
    <col min="4869" max="4869" width="10.28515625" style="449" customWidth="1"/>
    <col min="4870" max="4870" width="16" style="449" customWidth="1"/>
    <col min="4871" max="4871" width="10.42578125" style="449" customWidth="1"/>
    <col min="4872" max="4875" width="9.140625" style="449"/>
    <col min="4876" max="4876" width="15.5703125" style="449" bestFit="1" customWidth="1"/>
    <col min="4877" max="5120" width="9.140625" style="449"/>
    <col min="5121" max="5121" width="15.85546875" style="449" customWidth="1"/>
    <col min="5122" max="5122" width="15" style="449" customWidth="1"/>
    <col min="5123" max="5123" width="21.42578125" style="449" bestFit="1" customWidth="1"/>
    <col min="5124" max="5124" width="0" style="449" hidden="1" customWidth="1"/>
    <col min="5125" max="5125" width="10.28515625" style="449" customWidth="1"/>
    <col min="5126" max="5126" width="16" style="449" customWidth="1"/>
    <col min="5127" max="5127" width="10.42578125" style="449" customWidth="1"/>
    <col min="5128" max="5131" width="9.140625" style="449"/>
    <col min="5132" max="5132" width="15.5703125" style="449" bestFit="1" customWidth="1"/>
    <col min="5133" max="5376" width="9.140625" style="449"/>
    <col min="5377" max="5377" width="15.85546875" style="449" customWidth="1"/>
    <col min="5378" max="5378" width="15" style="449" customWidth="1"/>
    <col min="5379" max="5379" width="21.42578125" style="449" bestFit="1" customWidth="1"/>
    <col min="5380" max="5380" width="0" style="449" hidden="1" customWidth="1"/>
    <col min="5381" max="5381" width="10.28515625" style="449" customWidth="1"/>
    <col min="5382" max="5382" width="16" style="449" customWidth="1"/>
    <col min="5383" max="5383" width="10.42578125" style="449" customWidth="1"/>
    <col min="5384" max="5387" width="9.140625" style="449"/>
    <col min="5388" max="5388" width="15.5703125" style="449" bestFit="1" customWidth="1"/>
    <col min="5389" max="5632" width="9.140625" style="449"/>
    <col min="5633" max="5633" width="15.85546875" style="449" customWidth="1"/>
    <col min="5634" max="5634" width="15" style="449" customWidth="1"/>
    <col min="5635" max="5635" width="21.42578125" style="449" bestFit="1" customWidth="1"/>
    <col min="5636" max="5636" width="0" style="449" hidden="1" customWidth="1"/>
    <col min="5637" max="5637" width="10.28515625" style="449" customWidth="1"/>
    <col min="5638" max="5638" width="16" style="449" customWidth="1"/>
    <col min="5639" max="5639" width="10.42578125" style="449" customWidth="1"/>
    <col min="5640" max="5643" width="9.140625" style="449"/>
    <col min="5644" max="5644" width="15.5703125" style="449" bestFit="1" customWidth="1"/>
    <col min="5645" max="5888" width="9.140625" style="449"/>
    <col min="5889" max="5889" width="15.85546875" style="449" customWidth="1"/>
    <col min="5890" max="5890" width="15" style="449" customWidth="1"/>
    <col min="5891" max="5891" width="21.42578125" style="449" bestFit="1" customWidth="1"/>
    <col min="5892" max="5892" width="0" style="449" hidden="1" customWidth="1"/>
    <col min="5893" max="5893" width="10.28515625" style="449" customWidth="1"/>
    <col min="5894" max="5894" width="16" style="449" customWidth="1"/>
    <col min="5895" max="5895" width="10.42578125" style="449" customWidth="1"/>
    <col min="5896" max="5899" width="9.140625" style="449"/>
    <col min="5900" max="5900" width="15.5703125" style="449" bestFit="1" customWidth="1"/>
    <col min="5901" max="6144" width="9.140625" style="449"/>
    <col min="6145" max="6145" width="15.85546875" style="449" customWidth="1"/>
    <col min="6146" max="6146" width="15" style="449" customWidth="1"/>
    <col min="6147" max="6147" width="21.42578125" style="449" bestFit="1" customWidth="1"/>
    <col min="6148" max="6148" width="0" style="449" hidden="1" customWidth="1"/>
    <col min="6149" max="6149" width="10.28515625" style="449" customWidth="1"/>
    <col min="6150" max="6150" width="16" style="449" customWidth="1"/>
    <col min="6151" max="6151" width="10.42578125" style="449" customWidth="1"/>
    <col min="6152" max="6155" width="9.140625" style="449"/>
    <col min="6156" max="6156" width="15.5703125" style="449" bestFit="1" customWidth="1"/>
    <col min="6157" max="6400" width="9.140625" style="449"/>
    <col min="6401" max="6401" width="15.85546875" style="449" customWidth="1"/>
    <col min="6402" max="6402" width="15" style="449" customWidth="1"/>
    <col min="6403" max="6403" width="21.42578125" style="449" bestFit="1" customWidth="1"/>
    <col min="6404" max="6404" width="0" style="449" hidden="1" customWidth="1"/>
    <col min="6405" max="6405" width="10.28515625" style="449" customWidth="1"/>
    <col min="6406" max="6406" width="16" style="449" customWidth="1"/>
    <col min="6407" max="6407" width="10.42578125" style="449" customWidth="1"/>
    <col min="6408" max="6411" width="9.140625" style="449"/>
    <col min="6412" max="6412" width="15.5703125" style="449" bestFit="1" customWidth="1"/>
    <col min="6413" max="6656" width="9.140625" style="449"/>
    <col min="6657" max="6657" width="15.85546875" style="449" customWidth="1"/>
    <col min="6658" max="6658" width="15" style="449" customWidth="1"/>
    <col min="6659" max="6659" width="21.42578125" style="449" bestFit="1" customWidth="1"/>
    <col min="6660" max="6660" width="0" style="449" hidden="1" customWidth="1"/>
    <col min="6661" max="6661" width="10.28515625" style="449" customWidth="1"/>
    <col min="6662" max="6662" width="16" style="449" customWidth="1"/>
    <col min="6663" max="6663" width="10.42578125" style="449" customWidth="1"/>
    <col min="6664" max="6667" width="9.140625" style="449"/>
    <col min="6668" max="6668" width="15.5703125" style="449" bestFit="1" customWidth="1"/>
    <col min="6669" max="6912" width="9.140625" style="449"/>
    <col min="6913" max="6913" width="15.85546875" style="449" customWidth="1"/>
    <col min="6914" max="6914" width="15" style="449" customWidth="1"/>
    <col min="6915" max="6915" width="21.42578125" style="449" bestFit="1" customWidth="1"/>
    <col min="6916" max="6916" width="0" style="449" hidden="1" customWidth="1"/>
    <col min="6917" max="6917" width="10.28515625" style="449" customWidth="1"/>
    <col min="6918" max="6918" width="16" style="449" customWidth="1"/>
    <col min="6919" max="6919" width="10.42578125" style="449" customWidth="1"/>
    <col min="6920" max="6923" width="9.140625" style="449"/>
    <col min="6924" max="6924" width="15.5703125" style="449" bestFit="1" customWidth="1"/>
    <col min="6925" max="7168" width="9.140625" style="449"/>
    <col min="7169" max="7169" width="15.85546875" style="449" customWidth="1"/>
    <col min="7170" max="7170" width="15" style="449" customWidth="1"/>
    <col min="7171" max="7171" width="21.42578125" style="449" bestFit="1" customWidth="1"/>
    <col min="7172" max="7172" width="0" style="449" hidden="1" customWidth="1"/>
    <col min="7173" max="7173" width="10.28515625" style="449" customWidth="1"/>
    <col min="7174" max="7174" width="16" style="449" customWidth="1"/>
    <col min="7175" max="7175" width="10.42578125" style="449" customWidth="1"/>
    <col min="7176" max="7179" width="9.140625" style="449"/>
    <col min="7180" max="7180" width="15.5703125" style="449" bestFit="1" customWidth="1"/>
    <col min="7181" max="7424" width="9.140625" style="449"/>
    <col min="7425" max="7425" width="15.85546875" style="449" customWidth="1"/>
    <col min="7426" max="7426" width="15" style="449" customWidth="1"/>
    <col min="7427" max="7427" width="21.42578125" style="449" bestFit="1" customWidth="1"/>
    <col min="7428" max="7428" width="0" style="449" hidden="1" customWidth="1"/>
    <col min="7429" max="7429" width="10.28515625" style="449" customWidth="1"/>
    <col min="7430" max="7430" width="16" style="449" customWidth="1"/>
    <col min="7431" max="7431" width="10.42578125" style="449" customWidth="1"/>
    <col min="7432" max="7435" width="9.140625" style="449"/>
    <col min="7436" max="7436" width="15.5703125" style="449" bestFit="1" customWidth="1"/>
    <col min="7437" max="7680" width="9.140625" style="449"/>
    <col min="7681" max="7681" width="15.85546875" style="449" customWidth="1"/>
    <col min="7682" max="7682" width="15" style="449" customWidth="1"/>
    <col min="7683" max="7683" width="21.42578125" style="449" bestFit="1" customWidth="1"/>
    <col min="7684" max="7684" width="0" style="449" hidden="1" customWidth="1"/>
    <col min="7685" max="7685" width="10.28515625" style="449" customWidth="1"/>
    <col min="7686" max="7686" width="16" style="449" customWidth="1"/>
    <col min="7687" max="7687" width="10.42578125" style="449" customWidth="1"/>
    <col min="7688" max="7691" width="9.140625" style="449"/>
    <col min="7692" max="7692" width="15.5703125" style="449" bestFit="1" customWidth="1"/>
    <col min="7693" max="7936" width="9.140625" style="449"/>
    <col min="7937" max="7937" width="15.85546875" style="449" customWidth="1"/>
    <col min="7938" max="7938" width="15" style="449" customWidth="1"/>
    <col min="7939" max="7939" width="21.42578125" style="449" bestFit="1" customWidth="1"/>
    <col min="7940" max="7940" width="0" style="449" hidden="1" customWidth="1"/>
    <col min="7941" max="7941" width="10.28515625" style="449" customWidth="1"/>
    <col min="7942" max="7942" width="16" style="449" customWidth="1"/>
    <col min="7943" max="7943" width="10.42578125" style="449" customWidth="1"/>
    <col min="7944" max="7947" width="9.140625" style="449"/>
    <col min="7948" max="7948" width="15.5703125" style="449" bestFit="1" customWidth="1"/>
    <col min="7949" max="8192" width="9.140625" style="449"/>
    <col min="8193" max="8193" width="15.85546875" style="449" customWidth="1"/>
    <col min="8194" max="8194" width="15" style="449" customWidth="1"/>
    <col min="8195" max="8195" width="21.42578125" style="449" bestFit="1" customWidth="1"/>
    <col min="8196" max="8196" width="0" style="449" hidden="1" customWidth="1"/>
    <col min="8197" max="8197" width="10.28515625" style="449" customWidth="1"/>
    <col min="8198" max="8198" width="16" style="449" customWidth="1"/>
    <col min="8199" max="8199" width="10.42578125" style="449" customWidth="1"/>
    <col min="8200" max="8203" width="9.140625" style="449"/>
    <col min="8204" max="8204" width="15.5703125" style="449" bestFit="1" customWidth="1"/>
    <col min="8205" max="8448" width="9.140625" style="449"/>
    <col min="8449" max="8449" width="15.85546875" style="449" customWidth="1"/>
    <col min="8450" max="8450" width="15" style="449" customWidth="1"/>
    <col min="8451" max="8451" width="21.42578125" style="449" bestFit="1" customWidth="1"/>
    <col min="8452" max="8452" width="0" style="449" hidden="1" customWidth="1"/>
    <col min="8453" max="8453" width="10.28515625" style="449" customWidth="1"/>
    <col min="8454" max="8454" width="16" style="449" customWidth="1"/>
    <col min="8455" max="8455" width="10.42578125" style="449" customWidth="1"/>
    <col min="8456" max="8459" width="9.140625" style="449"/>
    <col min="8460" max="8460" width="15.5703125" style="449" bestFit="1" customWidth="1"/>
    <col min="8461" max="8704" width="9.140625" style="449"/>
    <col min="8705" max="8705" width="15.85546875" style="449" customWidth="1"/>
    <col min="8706" max="8706" width="15" style="449" customWidth="1"/>
    <col min="8707" max="8707" width="21.42578125" style="449" bestFit="1" customWidth="1"/>
    <col min="8708" max="8708" width="0" style="449" hidden="1" customWidth="1"/>
    <col min="8709" max="8709" width="10.28515625" style="449" customWidth="1"/>
    <col min="8710" max="8710" width="16" style="449" customWidth="1"/>
    <col min="8711" max="8711" width="10.42578125" style="449" customWidth="1"/>
    <col min="8712" max="8715" width="9.140625" style="449"/>
    <col min="8716" max="8716" width="15.5703125" style="449" bestFit="1" customWidth="1"/>
    <col min="8717" max="8960" width="9.140625" style="449"/>
    <col min="8961" max="8961" width="15.85546875" style="449" customWidth="1"/>
    <col min="8962" max="8962" width="15" style="449" customWidth="1"/>
    <col min="8963" max="8963" width="21.42578125" style="449" bestFit="1" customWidth="1"/>
    <col min="8964" max="8964" width="0" style="449" hidden="1" customWidth="1"/>
    <col min="8965" max="8965" width="10.28515625" style="449" customWidth="1"/>
    <col min="8966" max="8966" width="16" style="449" customWidth="1"/>
    <col min="8967" max="8967" width="10.42578125" style="449" customWidth="1"/>
    <col min="8968" max="8971" width="9.140625" style="449"/>
    <col min="8972" max="8972" width="15.5703125" style="449" bestFit="1" customWidth="1"/>
    <col min="8973" max="9216" width="9.140625" style="449"/>
    <col min="9217" max="9217" width="15.85546875" style="449" customWidth="1"/>
    <col min="9218" max="9218" width="15" style="449" customWidth="1"/>
    <col min="9219" max="9219" width="21.42578125" style="449" bestFit="1" customWidth="1"/>
    <col min="9220" max="9220" width="0" style="449" hidden="1" customWidth="1"/>
    <col min="9221" max="9221" width="10.28515625" style="449" customWidth="1"/>
    <col min="9222" max="9222" width="16" style="449" customWidth="1"/>
    <col min="9223" max="9223" width="10.42578125" style="449" customWidth="1"/>
    <col min="9224" max="9227" width="9.140625" style="449"/>
    <col min="9228" max="9228" width="15.5703125" style="449" bestFit="1" customWidth="1"/>
    <col min="9229" max="9472" width="9.140625" style="449"/>
    <col min="9473" max="9473" width="15.85546875" style="449" customWidth="1"/>
    <col min="9474" max="9474" width="15" style="449" customWidth="1"/>
    <col min="9475" max="9475" width="21.42578125" style="449" bestFit="1" customWidth="1"/>
    <col min="9476" max="9476" width="0" style="449" hidden="1" customWidth="1"/>
    <col min="9477" max="9477" width="10.28515625" style="449" customWidth="1"/>
    <col min="9478" max="9478" width="16" style="449" customWidth="1"/>
    <col min="9479" max="9479" width="10.42578125" style="449" customWidth="1"/>
    <col min="9480" max="9483" width="9.140625" style="449"/>
    <col min="9484" max="9484" width="15.5703125" style="449" bestFit="1" customWidth="1"/>
    <col min="9485" max="9728" width="9.140625" style="449"/>
    <col min="9729" max="9729" width="15.85546875" style="449" customWidth="1"/>
    <col min="9730" max="9730" width="15" style="449" customWidth="1"/>
    <col min="9731" max="9731" width="21.42578125" style="449" bestFit="1" customWidth="1"/>
    <col min="9732" max="9732" width="0" style="449" hidden="1" customWidth="1"/>
    <col min="9733" max="9733" width="10.28515625" style="449" customWidth="1"/>
    <col min="9734" max="9734" width="16" style="449" customWidth="1"/>
    <col min="9735" max="9735" width="10.42578125" style="449" customWidth="1"/>
    <col min="9736" max="9739" width="9.140625" style="449"/>
    <col min="9740" max="9740" width="15.5703125" style="449" bestFit="1" customWidth="1"/>
    <col min="9741" max="9984" width="9.140625" style="449"/>
    <col min="9985" max="9985" width="15.85546875" style="449" customWidth="1"/>
    <col min="9986" max="9986" width="15" style="449" customWidth="1"/>
    <col min="9987" max="9987" width="21.42578125" style="449" bestFit="1" customWidth="1"/>
    <col min="9988" max="9988" width="0" style="449" hidden="1" customWidth="1"/>
    <col min="9989" max="9989" width="10.28515625" style="449" customWidth="1"/>
    <col min="9990" max="9990" width="16" style="449" customWidth="1"/>
    <col min="9991" max="9991" width="10.42578125" style="449" customWidth="1"/>
    <col min="9992" max="9995" width="9.140625" style="449"/>
    <col min="9996" max="9996" width="15.5703125" style="449" bestFit="1" customWidth="1"/>
    <col min="9997" max="10240" width="9.140625" style="449"/>
    <col min="10241" max="10241" width="15.85546875" style="449" customWidth="1"/>
    <col min="10242" max="10242" width="15" style="449" customWidth="1"/>
    <col min="10243" max="10243" width="21.42578125" style="449" bestFit="1" customWidth="1"/>
    <col min="10244" max="10244" width="0" style="449" hidden="1" customWidth="1"/>
    <col min="10245" max="10245" width="10.28515625" style="449" customWidth="1"/>
    <col min="10246" max="10246" width="16" style="449" customWidth="1"/>
    <col min="10247" max="10247" width="10.42578125" style="449" customWidth="1"/>
    <col min="10248" max="10251" width="9.140625" style="449"/>
    <col min="10252" max="10252" width="15.5703125" style="449" bestFit="1" customWidth="1"/>
    <col min="10253" max="10496" width="9.140625" style="449"/>
    <col min="10497" max="10497" width="15.85546875" style="449" customWidth="1"/>
    <col min="10498" max="10498" width="15" style="449" customWidth="1"/>
    <col min="10499" max="10499" width="21.42578125" style="449" bestFit="1" customWidth="1"/>
    <col min="10500" max="10500" width="0" style="449" hidden="1" customWidth="1"/>
    <col min="10501" max="10501" width="10.28515625" style="449" customWidth="1"/>
    <col min="10502" max="10502" width="16" style="449" customWidth="1"/>
    <col min="10503" max="10503" width="10.42578125" style="449" customWidth="1"/>
    <col min="10504" max="10507" width="9.140625" style="449"/>
    <col min="10508" max="10508" width="15.5703125" style="449" bestFit="1" customWidth="1"/>
    <col min="10509" max="10752" width="9.140625" style="449"/>
    <col min="10753" max="10753" width="15.85546875" style="449" customWidth="1"/>
    <col min="10754" max="10754" width="15" style="449" customWidth="1"/>
    <col min="10755" max="10755" width="21.42578125" style="449" bestFit="1" customWidth="1"/>
    <col min="10756" max="10756" width="0" style="449" hidden="1" customWidth="1"/>
    <col min="10757" max="10757" width="10.28515625" style="449" customWidth="1"/>
    <col min="10758" max="10758" width="16" style="449" customWidth="1"/>
    <col min="10759" max="10759" width="10.42578125" style="449" customWidth="1"/>
    <col min="10760" max="10763" width="9.140625" style="449"/>
    <col min="10764" max="10764" width="15.5703125" style="449" bestFit="1" customWidth="1"/>
    <col min="10765" max="11008" width="9.140625" style="449"/>
    <col min="11009" max="11009" width="15.85546875" style="449" customWidth="1"/>
    <col min="11010" max="11010" width="15" style="449" customWidth="1"/>
    <col min="11011" max="11011" width="21.42578125" style="449" bestFit="1" customWidth="1"/>
    <col min="11012" max="11012" width="0" style="449" hidden="1" customWidth="1"/>
    <col min="11013" max="11013" width="10.28515625" style="449" customWidth="1"/>
    <col min="11014" max="11014" width="16" style="449" customWidth="1"/>
    <col min="11015" max="11015" width="10.42578125" style="449" customWidth="1"/>
    <col min="11016" max="11019" width="9.140625" style="449"/>
    <col min="11020" max="11020" width="15.5703125" style="449" bestFit="1" customWidth="1"/>
    <col min="11021" max="11264" width="9.140625" style="449"/>
    <col min="11265" max="11265" width="15.85546875" style="449" customWidth="1"/>
    <col min="11266" max="11266" width="15" style="449" customWidth="1"/>
    <col min="11267" max="11267" width="21.42578125" style="449" bestFit="1" customWidth="1"/>
    <col min="11268" max="11268" width="0" style="449" hidden="1" customWidth="1"/>
    <col min="11269" max="11269" width="10.28515625" style="449" customWidth="1"/>
    <col min="11270" max="11270" width="16" style="449" customWidth="1"/>
    <col min="11271" max="11271" width="10.42578125" style="449" customWidth="1"/>
    <col min="11272" max="11275" width="9.140625" style="449"/>
    <col min="11276" max="11276" width="15.5703125" style="449" bestFit="1" customWidth="1"/>
    <col min="11277" max="11520" width="9.140625" style="449"/>
    <col min="11521" max="11521" width="15.85546875" style="449" customWidth="1"/>
    <col min="11522" max="11522" width="15" style="449" customWidth="1"/>
    <col min="11523" max="11523" width="21.42578125" style="449" bestFit="1" customWidth="1"/>
    <col min="11524" max="11524" width="0" style="449" hidden="1" customWidth="1"/>
    <col min="11525" max="11525" width="10.28515625" style="449" customWidth="1"/>
    <col min="11526" max="11526" width="16" style="449" customWidth="1"/>
    <col min="11527" max="11527" width="10.42578125" style="449" customWidth="1"/>
    <col min="11528" max="11531" width="9.140625" style="449"/>
    <col min="11532" max="11532" width="15.5703125" style="449" bestFit="1" customWidth="1"/>
    <col min="11533" max="11776" width="9.140625" style="449"/>
    <col min="11777" max="11777" width="15.85546875" style="449" customWidth="1"/>
    <col min="11778" max="11778" width="15" style="449" customWidth="1"/>
    <col min="11779" max="11779" width="21.42578125" style="449" bestFit="1" customWidth="1"/>
    <col min="11780" max="11780" width="0" style="449" hidden="1" customWidth="1"/>
    <col min="11781" max="11781" width="10.28515625" style="449" customWidth="1"/>
    <col min="11782" max="11782" width="16" style="449" customWidth="1"/>
    <col min="11783" max="11783" width="10.42578125" style="449" customWidth="1"/>
    <col min="11784" max="11787" width="9.140625" style="449"/>
    <col min="11788" max="11788" width="15.5703125" style="449" bestFit="1" customWidth="1"/>
    <col min="11789" max="12032" width="9.140625" style="449"/>
    <col min="12033" max="12033" width="15.85546875" style="449" customWidth="1"/>
    <col min="12034" max="12034" width="15" style="449" customWidth="1"/>
    <col min="12035" max="12035" width="21.42578125" style="449" bestFit="1" customWidth="1"/>
    <col min="12036" max="12036" width="0" style="449" hidden="1" customWidth="1"/>
    <col min="12037" max="12037" width="10.28515625" style="449" customWidth="1"/>
    <col min="12038" max="12038" width="16" style="449" customWidth="1"/>
    <col min="12039" max="12039" width="10.42578125" style="449" customWidth="1"/>
    <col min="12040" max="12043" width="9.140625" style="449"/>
    <col min="12044" max="12044" width="15.5703125" style="449" bestFit="1" customWidth="1"/>
    <col min="12045" max="12288" width="9.140625" style="449"/>
    <col min="12289" max="12289" width="15.85546875" style="449" customWidth="1"/>
    <col min="12290" max="12290" width="15" style="449" customWidth="1"/>
    <col min="12291" max="12291" width="21.42578125" style="449" bestFit="1" customWidth="1"/>
    <col min="12292" max="12292" width="0" style="449" hidden="1" customWidth="1"/>
    <col min="12293" max="12293" width="10.28515625" style="449" customWidth="1"/>
    <col min="12294" max="12294" width="16" style="449" customWidth="1"/>
    <col min="12295" max="12295" width="10.42578125" style="449" customWidth="1"/>
    <col min="12296" max="12299" width="9.140625" style="449"/>
    <col min="12300" max="12300" width="15.5703125" style="449" bestFit="1" customWidth="1"/>
    <col min="12301" max="12544" width="9.140625" style="449"/>
    <col min="12545" max="12545" width="15.85546875" style="449" customWidth="1"/>
    <col min="12546" max="12546" width="15" style="449" customWidth="1"/>
    <col min="12547" max="12547" width="21.42578125" style="449" bestFit="1" customWidth="1"/>
    <col min="12548" max="12548" width="0" style="449" hidden="1" customWidth="1"/>
    <col min="12549" max="12549" width="10.28515625" style="449" customWidth="1"/>
    <col min="12550" max="12550" width="16" style="449" customWidth="1"/>
    <col min="12551" max="12551" width="10.42578125" style="449" customWidth="1"/>
    <col min="12552" max="12555" width="9.140625" style="449"/>
    <col min="12556" max="12556" width="15.5703125" style="449" bestFit="1" customWidth="1"/>
    <col min="12557" max="12800" width="9.140625" style="449"/>
    <col min="12801" max="12801" width="15.85546875" style="449" customWidth="1"/>
    <col min="12802" max="12802" width="15" style="449" customWidth="1"/>
    <col min="12803" max="12803" width="21.42578125" style="449" bestFit="1" customWidth="1"/>
    <col min="12804" max="12804" width="0" style="449" hidden="1" customWidth="1"/>
    <col min="12805" max="12805" width="10.28515625" style="449" customWidth="1"/>
    <col min="12806" max="12806" width="16" style="449" customWidth="1"/>
    <col min="12807" max="12807" width="10.42578125" style="449" customWidth="1"/>
    <col min="12808" max="12811" width="9.140625" style="449"/>
    <col min="12812" max="12812" width="15.5703125" style="449" bestFit="1" customWidth="1"/>
    <col min="12813" max="13056" width="9.140625" style="449"/>
    <col min="13057" max="13057" width="15.85546875" style="449" customWidth="1"/>
    <col min="13058" max="13058" width="15" style="449" customWidth="1"/>
    <col min="13059" max="13059" width="21.42578125" style="449" bestFit="1" customWidth="1"/>
    <col min="13060" max="13060" width="0" style="449" hidden="1" customWidth="1"/>
    <col min="13061" max="13061" width="10.28515625" style="449" customWidth="1"/>
    <col min="13062" max="13062" width="16" style="449" customWidth="1"/>
    <col min="13063" max="13063" width="10.42578125" style="449" customWidth="1"/>
    <col min="13064" max="13067" width="9.140625" style="449"/>
    <col min="13068" max="13068" width="15.5703125" style="449" bestFit="1" customWidth="1"/>
    <col min="13069" max="13312" width="9.140625" style="449"/>
    <col min="13313" max="13313" width="15.85546875" style="449" customWidth="1"/>
    <col min="13314" max="13314" width="15" style="449" customWidth="1"/>
    <col min="13315" max="13315" width="21.42578125" style="449" bestFit="1" customWidth="1"/>
    <col min="13316" max="13316" width="0" style="449" hidden="1" customWidth="1"/>
    <col min="13317" max="13317" width="10.28515625" style="449" customWidth="1"/>
    <col min="13318" max="13318" width="16" style="449" customWidth="1"/>
    <col min="13319" max="13319" width="10.42578125" style="449" customWidth="1"/>
    <col min="13320" max="13323" width="9.140625" style="449"/>
    <col min="13324" max="13324" width="15.5703125" style="449" bestFit="1" customWidth="1"/>
    <col min="13325" max="13568" width="9.140625" style="449"/>
    <col min="13569" max="13569" width="15.85546875" style="449" customWidth="1"/>
    <col min="13570" max="13570" width="15" style="449" customWidth="1"/>
    <col min="13571" max="13571" width="21.42578125" style="449" bestFit="1" customWidth="1"/>
    <col min="13572" max="13572" width="0" style="449" hidden="1" customWidth="1"/>
    <col min="13573" max="13573" width="10.28515625" style="449" customWidth="1"/>
    <col min="13574" max="13574" width="16" style="449" customWidth="1"/>
    <col min="13575" max="13575" width="10.42578125" style="449" customWidth="1"/>
    <col min="13576" max="13579" width="9.140625" style="449"/>
    <col min="13580" max="13580" width="15.5703125" style="449" bestFit="1" customWidth="1"/>
    <col min="13581" max="13824" width="9.140625" style="449"/>
    <col min="13825" max="13825" width="15.85546875" style="449" customWidth="1"/>
    <col min="13826" max="13826" width="15" style="449" customWidth="1"/>
    <col min="13827" max="13827" width="21.42578125" style="449" bestFit="1" customWidth="1"/>
    <col min="13828" max="13828" width="0" style="449" hidden="1" customWidth="1"/>
    <col min="13829" max="13829" width="10.28515625" style="449" customWidth="1"/>
    <col min="13830" max="13830" width="16" style="449" customWidth="1"/>
    <col min="13831" max="13831" width="10.42578125" style="449" customWidth="1"/>
    <col min="13832" max="13835" width="9.140625" style="449"/>
    <col min="13836" max="13836" width="15.5703125" style="449" bestFit="1" customWidth="1"/>
    <col min="13837" max="14080" width="9.140625" style="449"/>
    <col min="14081" max="14081" width="15.85546875" style="449" customWidth="1"/>
    <col min="14082" max="14082" width="15" style="449" customWidth="1"/>
    <col min="14083" max="14083" width="21.42578125" style="449" bestFit="1" customWidth="1"/>
    <col min="14084" max="14084" width="0" style="449" hidden="1" customWidth="1"/>
    <col min="14085" max="14085" width="10.28515625" style="449" customWidth="1"/>
    <col min="14086" max="14086" width="16" style="449" customWidth="1"/>
    <col min="14087" max="14087" width="10.42578125" style="449" customWidth="1"/>
    <col min="14088" max="14091" width="9.140625" style="449"/>
    <col min="14092" max="14092" width="15.5703125" style="449" bestFit="1" customWidth="1"/>
    <col min="14093" max="14336" width="9.140625" style="449"/>
    <col min="14337" max="14337" width="15.85546875" style="449" customWidth="1"/>
    <col min="14338" max="14338" width="15" style="449" customWidth="1"/>
    <col min="14339" max="14339" width="21.42578125" style="449" bestFit="1" customWidth="1"/>
    <col min="14340" max="14340" width="0" style="449" hidden="1" customWidth="1"/>
    <col min="14341" max="14341" width="10.28515625" style="449" customWidth="1"/>
    <col min="14342" max="14342" width="16" style="449" customWidth="1"/>
    <col min="14343" max="14343" width="10.42578125" style="449" customWidth="1"/>
    <col min="14344" max="14347" width="9.140625" style="449"/>
    <col min="14348" max="14348" width="15.5703125" style="449" bestFit="1" customWidth="1"/>
    <col min="14349" max="14592" width="9.140625" style="449"/>
    <col min="14593" max="14593" width="15.85546875" style="449" customWidth="1"/>
    <col min="14594" max="14594" width="15" style="449" customWidth="1"/>
    <col min="14595" max="14595" width="21.42578125" style="449" bestFit="1" customWidth="1"/>
    <col min="14596" max="14596" width="0" style="449" hidden="1" customWidth="1"/>
    <col min="14597" max="14597" width="10.28515625" style="449" customWidth="1"/>
    <col min="14598" max="14598" width="16" style="449" customWidth="1"/>
    <col min="14599" max="14599" width="10.42578125" style="449" customWidth="1"/>
    <col min="14600" max="14603" width="9.140625" style="449"/>
    <col min="14604" max="14604" width="15.5703125" style="449" bestFit="1" customWidth="1"/>
    <col min="14605" max="14848" width="9.140625" style="449"/>
    <col min="14849" max="14849" width="15.85546875" style="449" customWidth="1"/>
    <col min="14850" max="14850" width="15" style="449" customWidth="1"/>
    <col min="14851" max="14851" width="21.42578125" style="449" bestFit="1" customWidth="1"/>
    <col min="14852" max="14852" width="0" style="449" hidden="1" customWidth="1"/>
    <col min="14853" max="14853" width="10.28515625" style="449" customWidth="1"/>
    <col min="14854" max="14854" width="16" style="449" customWidth="1"/>
    <col min="14855" max="14855" width="10.42578125" style="449" customWidth="1"/>
    <col min="14856" max="14859" width="9.140625" style="449"/>
    <col min="14860" max="14860" width="15.5703125" style="449" bestFit="1" customWidth="1"/>
    <col min="14861" max="15104" width="9.140625" style="449"/>
    <col min="15105" max="15105" width="15.85546875" style="449" customWidth="1"/>
    <col min="15106" max="15106" width="15" style="449" customWidth="1"/>
    <col min="15107" max="15107" width="21.42578125" style="449" bestFit="1" customWidth="1"/>
    <col min="15108" max="15108" width="0" style="449" hidden="1" customWidth="1"/>
    <col min="15109" max="15109" width="10.28515625" style="449" customWidth="1"/>
    <col min="15110" max="15110" width="16" style="449" customWidth="1"/>
    <col min="15111" max="15111" width="10.42578125" style="449" customWidth="1"/>
    <col min="15112" max="15115" width="9.140625" style="449"/>
    <col min="15116" max="15116" width="15.5703125" style="449" bestFit="1" customWidth="1"/>
    <col min="15117" max="15360" width="9.140625" style="449"/>
    <col min="15361" max="15361" width="15.85546875" style="449" customWidth="1"/>
    <col min="15362" max="15362" width="15" style="449" customWidth="1"/>
    <col min="15363" max="15363" width="21.42578125" style="449" bestFit="1" customWidth="1"/>
    <col min="15364" max="15364" width="0" style="449" hidden="1" customWidth="1"/>
    <col min="15365" max="15365" width="10.28515625" style="449" customWidth="1"/>
    <col min="15366" max="15366" width="16" style="449" customWidth="1"/>
    <col min="15367" max="15367" width="10.42578125" style="449" customWidth="1"/>
    <col min="15368" max="15371" width="9.140625" style="449"/>
    <col min="15372" max="15372" width="15.5703125" style="449" bestFit="1" customWidth="1"/>
    <col min="15373" max="15616" width="9.140625" style="449"/>
    <col min="15617" max="15617" width="15.85546875" style="449" customWidth="1"/>
    <col min="15618" max="15618" width="15" style="449" customWidth="1"/>
    <col min="15619" max="15619" width="21.42578125" style="449" bestFit="1" customWidth="1"/>
    <col min="15620" max="15620" width="0" style="449" hidden="1" customWidth="1"/>
    <col min="15621" max="15621" width="10.28515625" style="449" customWidth="1"/>
    <col min="15622" max="15622" width="16" style="449" customWidth="1"/>
    <col min="15623" max="15623" width="10.42578125" style="449" customWidth="1"/>
    <col min="15624" max="15627" width="9.140625" style="449"/>
    <col min="15628" max="15628" width="15.5703125" style="449" bestFit="1" customWidth="1"/>
    <col min="15629" max="15872" width="9.140625" style="449"/>
    <col min="15873" max="15873" width="15.85546875" style="449" customWidth="1"/>
    <col min="15874" max="15874" width="15" style="449" customWidth="1"/>
    <col min="15875" max="15875" width="21.42578125" style="449" bestFit="1" customWidth="1"/>
    <col min="15876" max="15876" width="0" style="449" hidden="1" customWidth="1"/>
    <col min="15877" max="15877" width="10.28515625" style="449" customWidth="1"/>
    <col min="15878" max="15878" width="16" style="449" customWidth="1"/>
    <col min="15879" max="15879" width="10.42578125" style="449" customWidth="1"/>
    <col min="15880" max="15883" width="9.140625" style="449"/>
    <col min="15884" max="15884" width="15.5703125" style="449" bestFit="1" customWidth="1"/>
    <col min="15885" max="16128" width="9.140625" style="449"/>
    <col min="16129" max="16129" width="15.85546875" style="449" customWidth="1"/>
    <col min="16130" max="16130" width="15" style="449" customWidth="1"/>
    <col min="16131" max="16131" width="21.42578125" style="449" bestFit="1" customWidth="1"/>
    <col min="16132" max="16132" width="0" style="449" hidden="1" customWidth="1"/>
    <col min="16133" max="16133" width="10.28515625" style="449" customWidth="1"/>
    <col min="16134" max="16134" width="16" style="449" customWidth="1"/>
    <col min="16135" max="16135" width="10.42578125" style="449" customWidth="1"/>
    <col min="16136" max="16139" width="9.140625" style="449"/>
    <col min="16140" max="16140" width="15.5703125" style="449" bestFit="1" customWidth="1"/>
    <col min="16141" max="16384" width="9.140625" style="449"/>
  </cols>
  <sheetData>
    <row r="1" spans="1:9" ht="18" x14ac:dyDescent="0.25">
      <c r="A1" s="444" t="s">
        <v>207</v>
      </c>
      <c r="B1" s="444"/>
    </row>
    <row r="2" spans="1:9" ht="18" x14ac:dyDescent="0.25">
      <c r="A2" s="450"/>
      <c r="E2" s="1405"/>
      <c r="F2" s="448"/>
      <c r="G2" s="449"/>
    </row>
    <row r="3" spans="1:9" ht="51" x14ac:dyDescent="0.2">
      <c r="A3" s="451" t="s">
        <v>0</v>
      </c>
      <c r="B3" s="451" t="s">
        <v>29</v>
      </c>
      <c r="C3" s="451" t="s">
        <v>157</v>
      </c>
      <c r="D3" s="451"/>
      <c r="E3" s="1984" t="s">
        <v>325</v>
      </c>
      <c r="F3" s="1984" t="s">
        <v>342</v>
      </c>
      <c r="G3" s="1984" t="s">
        <v>798</v>
      </c>
      <c r="H3" s="1984" t="s">
        <v>326</v>
      </c>
      <c r="I3" s="1985" t="s">
        <v>799</v>
      </c>
    </row>
    <row r="4" spans="1:9" x14ac:dyDescent="0.2">
      <c r="A4" s="344" t="s">
        <v>47</v>
      </c>
      <c r="B4" s="345" t="s">
        <v>150</v>
      </c>
      <c r="C4" s="345" t="s">
        <v>158</v>
      </c>
      <c r="D4" s="452"/>
      <c r="E4" s="478">
        <f>'WP1'!E6+'WP2'!E6+'WP3'!E6+'WP4'!E6+'WP5'!E6+'WP6'!E11+'WP8'!E6</f>
        <v>2680</v>
      </c>
      <c r="F4" s="479">
        <f>E4/5280*100</f>
        <v>50.757575757575758</v>
      </c>
      <c r="G4" s="478"/>
      <c r="H4" s="1947">
        <f>E4/8</f>
        <v>335</v>
      </c>
      <c r="I4" s="1948"/>
    </row>
    <row r="5" spans="1:9" x14ac:dyDescent="0.2">
      <c r="A5" s="344"/>
      <c r="B5" s="345" t="s">
        <v>155</v>
      </c>
      <c r="C5" s="345" t="s">
        <v>100</v>
      </c>
      <c r="D5" s="452"/>
      <c r="E5" s="478">
        <f>'WP1'!E25+'WP2'!E9+'WP3'!E8+'WP4'!E8+'WP5'!E8+'WP6'!E6+'WP7'!E16+'WP8'!E7</f>
        <v>1696</v>
      </c>
      <c r="F5" s="479">
        <f>E5/5280*100</f>
        <v>32.121212121212125</v>
      </c>
      <c r="G5" s="478"/>
      <c r="H5" s="1947">
        <f t="shared" ref="H5:H68" si="0">E5/8</f>
        <v>212</v>
      </c>
      <c r="I5" s="1948"/>
    </row>
    <row r="6" spans="1:9" x14ac:dyDescent="0.2">
      <c r="A6" s="344"/>
      <c r="B6" s="345" t="s">
        <v>156</v>
      </c>
      <c r="C6" s="345" t="s">
        <v>98</v>
      </c>
      <c r="D6" s="452"/>
      <c r="E6" s="478">
        <f>'WP1'!E20+'WP2'!E15+'WP3'!E15+'WP4'!E13+'WP5'!E14+'WP6'!E15</f>
        <v>600</v>
      </c>
      <c r="F6" s="479">
        <f t="shared" ref="F6:F69" si="1">E6/5280*100</f>
        <v>11.363636363636363</v>
      </c>
      <c r="G6" s="478"/>
      <c r="H6" s="1947">
        <f t="shared" si="0"/>
        <v>75</v>
      </c>
      <c r="I6" s="1948"/>
    </row>
    <row r="7" spans="1:9" x14ac:dyDescent="0.2">
      <c r="A7" s="344"/>
      <c r="B7" s="345" t="s">
        <v>160</v>
      </c>
      <c r="C7" s="345" t="s">
        <v>161</v>
      </c>
      <c r="D7" s="452"/>
      <c r="E7" s="478">
        <f>'WP1'!E23+'WP2'!E13+'WP3'!E12+'WP4'!E11+'WP5'!E11+'WP6'!E13+'WP7'!E6</f>
        <v>2120</v>
      </c>
      <c r="F7" s="479">
        <f t="shared" si="1"/>
        <v>40.151515151515149</v>
      </c>
      <c r="G7" s="478"/>
      <c r="H7" s="1947">
        <f t="shared" si="0"/>
        <v>265</v>
      </c>
      <c r="I7" s="1948"/>
    </row>
    <row r="8" spans="1:9" x14ac:dyDescent="0.2">
      <c r="A8" s="344"/>
      <c r="B8" s="345" t="s">
        <v>159</v>
      </c>
      <c r="C8" s="345" t="s">
        <v>162</v>
      </c>
      <c r="D8" s="452"/>
      <c r="E8" s="478">
        <f>'WP1'!E15</f>
        <v>568</v>
      </c>
      <c r="F8" s="479">
        <f t="shared" si="1"/>
        <v>10.757575757575758</v>
      </c>
      <c r="G8" s="478">
        <f>SUM(E4:E8)</f>
        <v>7664</v>
      </c>
      <c r="H8" s="1947">
        <f t="shared" si="0"/>
        <v>71</v>
      </c>
      <c r="I8" s="1947">
        <f>G8/8</f>
        <v>958</v>
      </c>
    </row>
    <row r="9" spans="1:9" x14ac:dyDescent="0.2">
      <c r="A9" s="357" t="s">
        <v>175</v>
      </c>
      <c r="B9" s="357" t="s">
        <v>151</v>
      </c>
      <c r="C9" s="357" t="s">
        <v>178</v>
      </c>
      <c r="D9" s="452"/>
      <c r="E9" s="494">
        <f>'WP1'!E29+'WP5'!E34+'WP6'!E38+'WP7'!E21</f>
        <v>1080</v>
      </c>
      <c r="F9" s="495">
        <f t="shared" si="1"/>
        <v>20.454545454545457</v>
      </c>
      <c r="G9" s="494"/>
      <c r="H9" s="1950">
        <f t="shared" si="0"/>
        <v>135</v>
      </c>
      <c r="I9" s="1950">
        <f t="shared" ref="I9:I72" si="2">G9/8</f>
        <v>0</v>
      </c>
    </row>
    <row r="10" spans="1:9" x14ac:dyDescent="0.2">
      <c r="A10" s="356"/>
      <c r="B10" s="357" t="s">
        <v>152</v>
      </c>
      <c r="C10" s="357" t="s">
        <v>179</v>
      </c>
      <c r="D10" s="452"/>
      <c r="E10" s="494">
        <f>'WP2'!E17+'WP3'!E17+'WP4'!E27+'WP5'!E42+'WP6'!E41</f>
        <v>1168</v>
      </c>
      <c r="F10" s="495">
        <f t="shared" si="1"/>
        <v>22.121212121212121</v>
      </c>
      <c r="G10" s="494"/>
      <c r="H10" s="1950">
        <f t="shared" si="0"/>
        <v>146</v>
      </c>
      <c r="I10" s="1950">
        <f t="shared" si="2"/>
        <v>0</v>
      </c>
    </row>
    <row r="11" spans="1:9" x14ac:dyDescent="0.2">
      <c r="A11" s="356"/>
      <c r="B11" s="357" t="s">
        <v>153</v>
      </c>
      <c r="C11" s="357"/>
      <c r="D11" s="453"/>
      <c r="E11" s="494"/>
      <c r="F11" s="495">
        <f t="shared" si="1"/>
        <v>0</v>
      </c>
      <c r="G11" s="494"/>
      <c r="H11" s="1950">
        <f t="shared" si="0"/>
        <v>0</v>
      </c>
      <c r="I11" s="1950">
        <f t="shared" si="2"/>
        <v>0</v>
      </c>
    </row>
    <row r="12" spans="1:9" x14ac:dyDescent="0.2">
      <c r="A12" s="356"/>
      <c r="B12" s="357" t="s">
        <v>154</v>
      </c>
      <c r="C12" s="357" t="s">
        <v>389</v>
      </c>
      <c r="D12" s="453"/>
      <c r="E12" s="494">
        <f>'WP1'!E35+'WP2'!E21+'WP3'!E22+'WP4'!E29+'WP5'!E45+'WP6'!E43+'WP7'!E23</f>
        <v>2320</v>
      </c>
      <c r="F12" s="495">
        <f t="shared" si="1"/>
        <v>43.939393939393938</v>
      </c>
      <c r="G12" s="494">
        <f>SUM(E9:E12)</f>
        <v>4568</v>
      </c>
      <c r="H12" s="1950">
        <f t="shared" si="0"/>
        <v>290</v>
      </c>
      <c r="I12" s="1950">
        <f t="shared" si="2"/>
        <v>571</v>
      </c>
    </row>
    <row r="13" spans="1:9" x14ac:dyDescent="0.2">
      <c r="A13" s="363" t="s">
        <v>176</v>
      </c>
      <c r="B13" s="363" t="s">
        <v>183</v>
      </c>
      <c r="C13" s="363" t="s">
        <v>182</v>
      </c>
      <c r="D13" s="453"/>
      <c r="E13" s="492">
        <f>'WP1'!E39+'WP2'!E25+'WP3'!E27+'WP4'!E15+'WP5'!E51+'WP6'!E45+'WP7'!E25</f>
        <v>1944</v>
      </c>
      <c r="F13" s="493">
        <f t="shared" si="1"/>
        <v>36.818181818181813</v>
      </c>
      <c r="G13" s="492"/>
      <c r="H13" s="1952">
        <f t="shared" si="0"/>
        <v>243</v>
      </c>
      <c r="I13" s="1952">
        <f t="shared" si="2"/>
        <v>0</v>
      </c>
    </row>
    <row r="14" spans="1:9" x14ac:dyDescent="0.2">
      <c r="A14" s="362"/>
      <c r="B14" s="363" t="s">
        <v>184</v>
      </c>
      <c r="C14" s="363" t="s">
        <v>181</v>
      </c>
      <c r="D14" s="453"/>
      <c r="E14" s="492">
        <f>'WP2'!E29+'WP3'!E32</f>
        <v>120</v>
      </c>
      <c r="F14" s="493">
        <f t="shared" si="1"/>
        <v>2.2727272727272729</v>
      </c>
      <c r="G14" s="492"/>
      <c r="H14" s="1952">
        <f t="shared" si="0"/>
        <v>15</v>
      </c>
      <c r="I14" s="1952">
        <f t="shared" si="2"/>
        <v>0</v>
      </c>
    </row>
    <row r="15" spans="1:9" x14ac:dyDescent="0.2">
      <c r="A15" s="362"/>
      <c r="B15" s="363" t="s">
        <v>185</v>
      </c>
      <c r="C15" s="363" t="s">
        <v>313</v>
      </c>
      <c r="D15" s="453"/>
      <c r="E15" s="492">
        <f>'WP1'!E45</f>
        <v>96</v>
      </c>
      <c r="F15" s="493">
        <f t="shared" si="1"/>
        <v>1.8181818181818181</v>
      </c>
      <c r="G15" s="492"/>
      <c r="H15" s="1952">
        <f t="shared" si="0"/>
        <v>12</v>
      </c>
      <c r="I15" s="1952">
        <f t="shared" si="2"/>
        <v>0</v>
      </c>
    </row>
    <row r="16" spans="1:9" x14ac:dyDescent="0.2">
      <c r="A16" s="362"/>
      <c r="B16" s="363" t="s">
        <v>186</v>
      </c>
      <c r="C16" s="363" t="s">
        <v>180</v>
      </c>
      <c r="D16" s="454"/>
      <c r="E16" s="492">
        <f>'WP2'!E31+'WP3'!E34+'WP4'!E21+'WP5'!E54+'WP6'!E48+'WP7'!E27</f>
        <v>1704</v>
      </c>
      <c r="F16" s="493">
        <f t="shared" si="1"/>
        <v>32.272727272727273</v>
      </c>
      <c r="G16" s="492">
        <f>SUM(E13:E16)</f>
        <v>3864</v>
      </c>
      <c r="H16" s="1952">
        <f t="shared" si="0"/>
        <v>213</v>
      </c>
      <c r="I16" s="1952">
        <f t="shared" si="2"/>
        <v>483</v>
      </c>
    </row>
    <row r="17" spans="1:9" x14ac:dyDescent="0.2">
      <c r="A17" s="583" t="s">
        <v>177</v>
      </c>
      <c r="B17" s="583" t="s">
        <v>187</v>
      </c>
      <c r="C17" s="583" t="s">
        <v>817</v>
      </c>
      <c r="D17" s="454"/>
      <c r="E17" s="1953">
        <f>'WP1'!E49+'WP2'!E35+'WP3'!E40+'WP6'!E51</f>
        <v>1640</v>
      </c>
      <c r="F17" s="1954">
        <f t="shared" si="1"/>
        <v>31.060606060606062</v>
      </c>
      <c r="G17" s="1953"/>
      <c r="H17" s="1955">
        <f t="shared" si="0"/>
        <v>205</v>
      </c>
      <c r="I17" s="1955">
        <f t="shared" si="2"/>
        <v>0</v>
      </c>
    </row>
    <row r="18" spans="1:9" x14ac:dyDescent="0.2">
      <c r="A18" s="582"/>
      <c r="B18" s="583" t="s">
        <v>819</v>
      </c>
      <c r="C18" s="583" t="s">
        <v>821</v>
      </c>
      <c r="D18" s="454"/>
      <c r="E18" s="1953">
        <f>'WP1'!E55</f>
        <v>96</v>
      </c>
      <c r="F18" s="1954">
        <f t="shared" si="1"/>
        <v>1.8181818181818181</v>
      </c>
      <c r="G18" s="1953"/>
      <c r="H18" s="1955">
        <f t="shared" si="0"/>
        <v>12</v>
      </c>
      <c r="I18" s="1955">
        <f t="shared" si="2"/>
        <v>0</v>
      </c>
    </row>
    <row r="19" spans="1:9" x14ac:dyDescent="0.2">
      <c r="A19" s="582"/>
      <c r="B19" s="583" t="s">
        <v>820</v>
      </c>
      <c r="C19" s="583" t="s">
        <v>818</v>
      </c>
      <c r="D19" s="454"/>
      <c r="E19" s="1953">
        <f>'WP2'!E39+'WP3'!E46+'WP4'!E31+'WP5'!E57+'WP7'!E29</f>
        <v>1944</v>
      </c>
      <c r="F19" s="1954">
        <f t="shared" si="1"/>
        <v>36.818181818181813</v>
      </c>
      <c r="G19" s="1953"/>
      <c r="H19" s="1955">
        <f t="shared" si="0"/>
        <v>243</v>
      </c>
      <c r="I19" s="1955">
        <f t="shared" si="2"/>
        <v>0</v>
      </c>
    </row>
    <row r="20" spans="1:9" x14ac:dyDescent="0.2">
      <c r="A20" s="582"/>
      <c r="B20" s="583" t="s">
        <v>188</v>
      </c>
      <c r="C20" s="583" t="s">
        <v>822</v>
      </c>
      <c r="D20" s="454"/>
      <c r="E20" s="1953">
        <f>'WP3'!E50+'WP4'!E33+'WP7'!E32</f>
        <v>1400</v>
      </c>
      <c r="F20" s="1954">
        <f t="shared" si="1"/>
        <v>26.515151515151516</v>
      </c>
      <c r="G20" s="1953">
        <f>SUM(E17:E20)</f>
        <v>5080</v>
      </c>
      <c r="H20" s="1955">
        <f t="shared" si="0"/>
        <v>175</v>
      </c>
      <c r="I20" s="1955">
        <f t="shared" si="2"/>
        <v>635</v>
      </c>
    </row>
    <row r="21" spans="1:9" x14ac:dyDescent="0.2">
      <c r="A21" s="369" t="s">
        <v>307</v>
      </c>
      <c r="B21" s="369" t="s">
        <v>189</v>
      </c>
      <c r="C21" s="369" t="s">
        <v>823</v>
      </c>
      <c r="D21" s="454"/>
      <c r="E21" s="488">
        <f>'WP1'!E59+'WP2'!E43+'WP3'!E56+'WP4'!E35+'WP6'!E54</f>
        <v>1824</v>
      </c>
      <c r="F21" s="489">
        <f t="shared" si="1"/>
        <v>34.545454545454547</v>
      </c>
      <c r="G21" s="488"/>
      <c r="H21" s="1956">
        <f t="shared" si="0"/>
        <v>228</v>
      </c>
      <c r="I21" s="1956">
        <f t="shared" si="2"/>
        <v>0</v>
      </c>
    </row>
    <row r="22" spans="1:9" x14ac:dyDescent="0.2">
      <c r="A22" s="374"/>
      <c r="B22" s="369" t="s">
        <v>315</v>
      </c>
      <c r="C22" s="437" t="s">
        <v>319</v>
      </c>
      <c r="D22" s="455"/>
      <c r="E22" s="488">
        <f>'WP2'!E50+'WP3'!E65+'WP4'!E38+'WP6'!E57</f>
        <v>698</v>
      </c>
      <c r="F22" s="489">
        <f t="shared" si="1"/>
        <v>13.219696969696971</v>
      </c>
      <c r="G22" s="488"/>
      <c r="H22" s="1956">
        <f t="shared" si="0"/>
        <v>87.25</v>
      </c>
      <c r="I22" s="1956">
        <f t="shared" si="2"/>
        <v>0</v>
      </c>
    </row>
    <row r="23" spans="1:9" x14ac:dyDescent="0.2">
      <c r="A23" s="374"/>
      <c r="B23" s="369" t="s">
        <v>824</v>
      </c>
      <c r="C23" s="437" t="s">
        <v>317</v>
      </c>
      <c r="D23" s="455"/>
      <c r="E23" s="488">
        <f>'WP3'!E60+'WP4'!E42+'WP5'!E63+'WP7'!E34</f>
        <v>800</v>
      </c>
      <c r="F23" s="489">
        <f t="shared" si="1"/>
        <v>15.151515151515152</v>
      </c>
      <c r="G23" s="488"/>
      <c r="H23" s="1956">
        <f t="shared" si="0"/>
        <v>100</v>
      </c>
      <c r="I23" s="1956">
        <f t="shared" si="2"/>
        <v>0</v>
      </c>
    </row>
    <row r="24" spans="1:9" x14ac:dyDescent="0.2">
      <c r="A24" s="374"/>
      <c r="B24" s="369" t="s">
        <v>825</v>
      </c>
      <c r="C24" s="437" t="s">
        <v>318</v>
      </c>
      <c r="D24" s="455"/>
      <c r="E24" s="488">
        <f>'WP2'!E54+'WP4'!E40+'WP5'!E60</f>
        <v>744</v>
      </c>
      <c r="F24" s="489">
        <f t="shared" si="1"/>
        <v>14.09090909090909</v>
      </c>
      <c r="G24" s="488"/>
      <c r="H24" s="1956">
        <f t="shared" si="0"/>
        <v>93</v>
      </c>
      <c r="I24" s="1956">
        <f t="shared" si="2"/>
        <v>0</v>
      </c>
    </row>
    <row r="25" spans="1:9" x14ac:dyDescent="0.2">
      <c r="A25" s="374"/>
      <c r="B25" s="369" t="s">
        <v>826</v>
      </c>
      <c r="C25" s="437" t="s">
        <v>320</v>
      </c>
      <c r="D25" s="455"/>
      <c r="E25" s="488">
        <f>'WP1'!E65</f>
        <v>96</v>
      </c>
      <c r="F25" s="489">
        <f t="shared" si="1"/>
        <v>1.8181818181818181</v>
      </c>
      <c r="G25" s="488">
        <f>SUM(E21:E25)</f>
        <v>4162</v>
      </c>
      <c r="H25" s="1956">
        <f t="shared" si="0"/>
        <v>12</v>
      </c>
      <c r="I25" s="1956">
        <f t="shared" si="2"/>
        <v>520.25</v>
      </c>
    </row>
    <row r="26" spans="1:9" x14ac:dyDescent="0.2">
      <c r="A26" s="377" t="s">
        <v>105</v>
      </c>
      <c r="B26" s="377" t="s">
        <v>217</v>
      </c>
      <c r="C26" s="377" t="s">
        <v>106</v>
      </c>
      <c r="D26" s="456"/>
      <c r="E26" s="484">
        <f>'WP1'!E69+'WP2'!E58+'WP3'!E71+'WP5'!E66+'WP6'!E17+'WP7'!E44</f>
        <v>2336</v>
      </c>
      <c r="F26" s="485">
        <f t="shared" si="1"/>
        <v>44.242424242424242</v>
      </c>
      <c r="G26" s="484"/>
      <c r="H26" s="1958">
        <f t="shared" si="0"/>
        <v>292</v>
      </c>
      <c r="I26" s="1958">
        <f t="shared" si="2"/>
        <v>0</v>
      </c>
    </row>
    <row r="27" spans="1:9" x14ac:dyDescent="0.2">
      <c r="A27" s="376"/>
      <c r="B27" s="377" t="s">
        <v>218</v>
      </c>
      <c r="C27" s="377" t="s">
        <v>321</v>
      </c>
      <c r="D27" s="456"/>
      <c r="E27" s="484">
        <f>'WP2'!E62+'WP3'!E76+'WP4'!E47+'WP5'!E74+'WP6'!E28</f>
        <v>1754</v>
      </c>
      <c r="F27" s="485">
        <f t="shared" si="1"/>
        <v>33.219696969696969</v>
      </c>
      <c r="G27" s="484"/>
      <c r="H27" s="1958">
        <f t="shared" si="0"/>
        <v>219.25</v>
      </c>
      <c r="I27" s="1958">
        <f t="shared" si="2"/>
        <v>0</v>
      </c>
    </row>
    <row r="28" spans="1:9" x14ac:dyDescent="0.2">
      <c r="A28" s="376"/>
      <c r="B28" s="377" t="s">
        <v>219</v>
      </c>
      <c r="C28" s="377" t="s">
        <v>813</v>
      </c>
      <c r="D28" s="456"/>
      <c r="E28" s="484">
        <f>'WP3'!E85+'WP4'!E45+'WP5'!E69+'WP7'!E47</f>
        <v>1040</v>
      </c>
      <c r="F28" s="485">
        <f t="shared" si="1"/>
        <v>19.696969696969695</v>
      </c>
      <c r="G28" s="484"/>
      <c r="H28" s="1958">
        <f t="shared" si="0"/>
        <v>130</v>
      </c>
      <c r="I28" s="1958">
        <f t="shared" si="2"/>
        <v>0</v>
      </c>
    </row>
    <row r="29" spans="1:9" x14ac:dyDescent="0.2">
      <c r="A29" s="376"/>
      <c r="B29" s="377" t="s">
        <v>220</v>
      </c>
      <c r="C29" s="377" t="s">
        <v>814</v>
      </c>
      <c r="D29" s="456"/>
      <c r="E29" s="484">
        <f>'WP1'!E75+'WP3'!E82+'WP5'!E72</f>
        <v>576</v>
      </c>
      <c r="F29" s="484">
        <f t="shared" si="1"/>
        <v>10.909090909090908</v>
      </c>
      <c r="G29" s="484">
        <f>SUM(E26:E29)</f>
        <v>5706</v>
      </c>
      <c r="H29" s="1958">
        <f t="shared" si="0"/>
        <v>72</v>
      </c>
      <c r="I29" s="1958">
        <f t="shared" si="2"/>
        <v>713.25</v>
      </c>
    </row>
    <row r="30" spans="1:9" x14ac:dyDescent="0.2">
      <c r="A30" s="383" t="s">
        <v>66</v>
      </c>
      <c r="B30" s="383" t="s">
        <v>213</v>
      </c>
      <c r="C30" s="383" t="s">
        <v>99</v>
      </c>
      <c r="D30" s="456"/>
      <c r="E30" s="496">
        <f>'WP1'!E79+'WP2'!E66+'WP3'!E88+'WP4'!E49+'WP5'!E77+'WP6'!E63+'WP7'!E39</f>
        <v>2112</v>
      </c>
      <c r="F30" s="496">
        <f t="shared" si="1"/>
        <v>40</v>
      </c>
      <c r="G30" s="496"/>
      <c r="H30" s="1959">
        <f t="shared" si="0"/>
        <v>264</v>
      </c>
      <c r="I30" s="1959">
        <f t="shared" si="2"/>
        <v>0</v>
      </c>
    </row>
    <row r="31" spans="1:9" x14ac:dyDescent="0.2">
      <c r="A31" s="382"/>
      <c r="B31" s="383" t="s">
        <v>214</v>
      </c>
      <c r="C31" s="383" t="s">
        <v>322</v>
      </c>
      <c r="D31" s="456"/>
      <c r="E31" s="496"/>
      <c r="F31" s="497">
        <f t="shared" si="1"/>
        <v>0</v>
      </c>
      <c r="G31" s="496"/>
      <c r="H31" s="1959">
        <f t="shared" si="0"/>
        <v>0</v>
      </c>
      <c r="I31" s="1959">
        <f t="shared" si="2"/>
        <v>0</v>
      </c>
    </row>
    <row r="32" spans="1:9" x14ac:dyDescent="0.2">
      <c r="A32" s="382"/>
      <c r="B32" s="383" t="s">
        <v>815</v>
      </c>
      <c r="C32" s="383" t="s">
        <v>190</v>
      </c>
      <c r="D32" s="457"/>
      <c r="E32" s="496">
        <f>'WP2'!E71+'WP3'!E92+'WP4'!E54+'WP5'!E82</f>
        <v>600</v>
      </c>
      <c r="F32" s="497">
        <f t="shared" si="1"/>
        <v>11.363636363636363</v>
      </c>
      <c r="G32" s="496"/>
      <c r="H32" s="1959">
        <f t="shared" si="0"/>
        <v>75</v>
      </c>
      <c r="I32" s="1959">
        <f t="shared" si="2"/>
        <v>0</v>
      </c>
    </row>
    <row r="33" spans="1:10" x14ac:dyDescent="0.2">
      <c r="A33" s="382"/>
      <c r="B33" s="383" t="s">
        <v>816</v>
      </c>
      <c r="C33" s="383" t="s">
        <v>323</v>
      </c>
      <c r="D33" s="457"/>
      <c r="E33" s="496">
        <f>'WP1'!E86</f>
        <v>112</v>
      </c>
      <c r="F33" s="497">
        <f t="shared" si="1"/>
        <v>2.1212121212121215</v>
      </c>
      <c r="G33" s="496"/>
      <c r="H33" s="1959">
        <f t="shared" si="0"/>
        <v>14</v>
      </c>
      <c r="I33" s="1959">
        <f t="shared" si="2"/>
        <v>0</v>
      </c>
    </row>
    <row r="34" spans="1:10" x14ac:dyDescent="0.2">
      <c r="A34" s="382"/>
      <c r="B34" s="383" t="s">
        <v>216</v>
      </c>
      <c r="C34" s="383" t="s">
        <v>191</v>
      </c>
      <c r="D34" s="458"/>
      <c r="E34" s="496"/>
      <c r="F34" s="497">
        <f t="shared" si="1"/>
        <v>0</v>
      </c>
      <c r="G34" s="496">
        <f>SUM(E30:E34)</f>
        <v>2824</v>
      </c>
      <c r="H34" s="1959">
        <f t="shared" si="0"/>
        <v>0</v>
      </c>
      <c r="I34" s="1959">
        <f t="shared" si="2"/>
        <v>353</v>
      </c>
    </row>
    <row r="35" spans="1:10" x14ac:dyDescent="0.2">
      <c r="A35" s="389" t="s">
        <v>392</v>
      </c>
      <c r="B35" s="389" t="s">
        <v>221</v>
      </c>
      <c r="C35" s="438" t="s">
        <v>425</v>
      </c>
      <c r="D35" s="458"/>
      <c r="E35" s="498">
        <f>'WP1'!E90+'WP2'!E79+'WP3'!E95+'WP4'!E57+'WP5'!E86+'WP6'!E66+'WP7'!E49</f>
        <v>2284</v>
      </c>
      <c r="F35" s="499">
        <f t="shared" si="1"/>
        <v>43.257575757575758</v>
      </c>
      <c r="G35" s="498"/>
      <c r="H35" s="1960">
        <f t="shared" si="0"/>
        <v>285.5</v>
      </c>
      <c r="I35" s="1960">
        <f t="shared" si="2"/>
        <v>0</v>
      </c>
    </row>
    <row r="36" spans="1:10" x14ac:dyDescent="0.2">
      <c r="A36" s="388"/>
      <c r="B36" s="389" t="s">
        <v>222</v>
      </c>
      <c r="C36" s="438" t="s">
        <v>812</v>
      </c>
      <c r="D36" s="458"/>
      <c r="E36" s="498">
        <f>'WP2'!E74+'WP3'!E106+'WP4'!E63+'WP5'!E92+'WP6'!E68</f>
        <v>2064</v>
      </c>
      <c r="F36" s="499">
        <f t="shared" si="1"/>
        <v>39.090909090909093</v>
      </c>
      <c r="G36" s="498"/>
      <c r="H36" s="1960">
        <f t="shared" si="0"/>
        <v>258</v>
      </c>
      <c r="I36" s="1960">
        <f t="shared" si="2"/>
        <v>0</v>
      </c>
    </row>
    <row r="37" spans="1:10" x14ac:dyDescent="0.2">
      <c r="A37" s="388"/>
      <c r="B37" s="389" t="s">
        <v>223</v>
      </c>
      <c r="C37" s="438" t="s">
        <v>888</v>
      </c>
      <c r="D37" s="459"/>
      <c r="E37" s="498">
        <f>'WP1'!E97+'WP2'!E82+'WP3'!E103+'WP4'!E68+'WP5'!E96</f>
        <v>1084</v>
      </c>
      <c r="F37" s="499">
        <f t="shared" si="1"/>
        <v>20.530303030303028</v>
      </c>
      <c r="G37" s="498"/>
      <c r="H37" s="1960">
        <f t="shared" si="0"/>
        <v>135.5</v>
      </c>
      <c r="I37" s="1960">
        <f t="shared" si="2"/>
        <v>0</v>
      </c>
    </row>
    <row r="38" spans="1:10" x14ac:dyDescent="0.2">
      <c r="A38" s="388"/>
      <c r="B38" s="389" t="s">
        <v>224</v>
      </c>
      <c r="C38" s="438" t="s">
        <v>426</v>
      </c>
      <c r="D38" s="459"/>
      <c r="E38" s="498">
        <f>'WP3'!E100+'WP4'!E66+'WP5'!E99+'WP7'!E52</f>
        <v>1160</v>
      </c>
      <c r="F38" s="499">
        <f t="shared" si="1"/>
        <v>21.969696969696969</v>
      </c>
      <c r="G38" s="498">
        <f>SUM(E35:E38)</f>
        <v>6592</v>
      </c>
      <c r="H38" s="1960">
        <f t="shared" si="0"/>
        <v>145</v>
      </c>
      <c r="I38" s="1960">
        <f t="shared" si="2"/>
        <v>824</v>
      </c>
    </row>
    <row r="39" spans="1:10" x14ac:dyDescent="0.2">
      <c r="A39" s="395" t="s">
        <v>194</v>
      </c>
      <c r="B39" s="395" t="s">
        <v>225</v>
      </c>
      <c r="C39" s="395" t="s">
        <v>195</v>
      </c>
      <c r="D39" s="459"/>
      <c r="E39" s="500">
        <f>'WP1'!E101+'WP2'!E85+'WP3'!E109+'WP4'!E72+'WP5'!E103+'WP6'!E71+'WP7'!E54</f>
        <v>2248</v>
      </c>
      <c r="F39" s="501">
        <f t="shared" si="1"/>
        <v>42.575757575757578</v>
      </c>
      <c r="G39" s="500"/>
      <c r="H39" s="1962">
        <f t="shared" si="0"/>
        <v>281</v>
      </c>
      <c r="I39" s="1962">
        <f t="shared" si="2"/>
        <v>0</v>
      </c>
    </row>
    <row r="40" spans="1:10" x14ac:dyDescent="0.2">
      <c r="A40" s="394"/>
      <c r="B40" s="395" t="s">
        <v>226</v>
      </c>
      <c r="C40" s="395" t="s">
        <v>196</v>
      </c>
      <c r="D40" s="459"/>
      <c r="E40" s="500">
        <f>'WP6'!E79</f>
        <v>120</v>
      </c>
      <c r="F40" s="501">
        <f t="shared" si="1"/>
        <v>2.2727272727272729</v>
      </c>
      <c r="G40" s="500"/>
      <c r="H40" s="1962">
        <f t="shared" si="0"/>
        <v>15</v>
      </c>
      <c r="I40" s="1962">
        <f t="shared" si="2"/>
        <v>0</v>
      </c>
    </row>
    <row r="41" spans="1:10" x14ac:dyDescent="0.2">
      <c r="A41" s="394"/>
      <c r="B41" s="395" t="s">
        <v>227</v>
      </c>
      <c r="C41" s="395" t="s">
        <v>427</v>
      </c>
      <c r="D41" s="460"/>
      <c r="E41" s="500">
        <f>'WP1'!E108</f>
        <v>112</v>
      </c>
      <c r="F41" s="501">
        <f t="shared" si="1"/>
        <v>2.1212121212121215</v>
      </c>
      <c r="G41" s="500"/>
      <c r="H41" s="1962">
        <f t="shared" si="0"/>
        <v>14</v>
      </c>
      <c r="I41" s="1962">
        <f t="shared" si="2"/>
        <v>0</v>
      </c>
    </row>
    <row r="42" spans="1:10" x14ac:dyDescent="0.2">
      <c r="A42" s="394"/>
      <c r="B42" s="395" t="s">
        <v>228</v>
      </c>
      <c r="C42" s="395" t="s">
        <v>199</v>
      </c>
      <c r="D42" s="462"/>
      <c r="E42" s="500">
        <f>'WP2'!E90+'WP5'!E108+'WP6'!E82+'WP7'!E57</f>
        <v>800</v>
      </c>
      <c r="F42" s="501">
        <f t="shared" si="1"/>
        <v>15.151515151515152</v>
      </c>
      <c r="G42" s="500">
        <f>SUM(E39:E42)</f>
        <v>3280</v>
      </c>
      <c r="H42" s="1962">
        <f t="shared" si="0"/>
        <v>100</v>
      </c>
      <c r="I42" s="1962">
        <f t="shared" si="2"/>
        <v>410</v>
      </c>
    </row>
    <row r="43" spans="1:10" x14ac:dyDescent="0.2">
      <c r="A43" s="686" t="s">
        <v>393</v>
      </c>
      <c r="B43" s="686" t="s">
        <v>229</v>
      </c>
      <c r="C43" s="686" t="s">
        <v>429</v>
      </c>
      <c r="D43" s="461"/>
      <c r="E43" s="1791">
        <f>'WP1'!E112+'WP4'!E75+'WP6'!E89</f>
        <v>408</v>
      </c>
      <c r="F43" s="1792">
        <f t="shared" si="1"/>
        <v>7.7272727272727266</v>
      </c>
      <c r="G43" s="1791"/>
      <c r="H43" s="1963">
        <f t="shared" si="0"/>
        <v>51</v>
      </c>
      <c r="I43" s="1963">
        <f t="shared" si="2"/>
        <v>0</v>
      </c>
    </row>
    <row r="44" spans="1:10" x14ac:dyDescent="0.2">
      <c r="A44" s="685"/>
      <c r="B44" s="686" t="s">
        <v>230</v>
      </c>
      <c r="C44" s="686" t="s">
        <v>428</v>
      </c>
      <c r="D44" s="462"/>
      <c r="E44" s="1791">
        <f>'WP2'!E98+'WP3'!E112+'WP6'!E91</f>
        <v>280</v>
      </c>
      <c r="F44" s="1792">
        <f t="shared" si="1"/>
        <v>5.3030303030303028</v>
      </c>
      <c r="G44" s="1791"/>
      <c r="H44" s="1963">
        <f t="shared" si="0"/>
        <v>35</v>
      </c>
      <c r="I44" s="1963">
        <f t="shared" si="2"/>
        <v>0</v>
      </c>
      <c r="J44" s="1961"/>
    </row>
    <row r="45" spans="1:10" x14ac:dyDescent="0.2">
      <c r="A45" s="685"/>
      <c r="B45" s="686" t="s">
        <v>801</v>
      </c>
      <c r="C45" s="686" t="s">
        <v>430</v>
      </c>
      <c r="D45" s="461"/>
      <c r="E45" s="1791">
        <f>'WP2'!E93+'WP5'!E112+'WP6'!E85+'WP7'!E59</f>
        <v>1360</v>
      </c>
      <c r="F45" s="1792">
        <f t="shared" si="1"/>
        <v>25.757575757575758</v>
      </c>
      <c r="G45" s="1791"/>
      <c r="H45" s="1963">
        <f t="shared" si="0"/>
        <v>170</v>
      </c>
      <c r="I45" s="1963">
        <f t="shared" si="2"/>
        <v>0</v>
      </c>
    </row>
    <row r="46" spans="1:10" x14ac:dyDescent="0.2">
      <c r="A46" s="685"/>
      <c r="B46" s="686" t="s">
        <v>802</v>
      </c>
      <c r="C46" s="686" t="s">
        <v>431</v>
      </c>
      <c r="D46" s="461"/>
      <c r="E46" s="1791">
        <f>'WP1'!E119</f>
        <v>112</v>
      </c>
      <c r="F46" s="1792">
        <f t="shared" si="1"/>
        <v>2.1212121212121215</v>
      </c>
      <c r="G46" s="1791"/>
      <c r="H46" s="1963">
        <f t="shared" si="0"/>
        <v>14</v>
      </c>
      <c r="I46" s="1963">
        <f t="shared" si="2"/>
        <v>0</v>
      </c>
    </row>
    <row r="47" spans="1:10" x14ac:dyDescent="0.2">
      <c r="A47" s="685"/>
      <c r="B47" s="686" t="s">
        <v>231</v>
      </c>
      <c r="C47" s="686" t="s">
        <v>432</v>
      </c>
      <c r="D47" s="464"/>
      <c r="E47" s="1791">
        <f>'WP5'!E117+'WP6'!E93+'WP7'!E62</f>
        <v>720</v>
      </c>
      <c r="F47" s="1792">
        <f t="shared" si="1"/>
        <v>13.636363636363635</v>
      </c>
      <c r="G47" s="1791">
        <f>SUM(E43:E47)</f>
        <v>2880</v>
      </c>
      <c r="H47" s="1963">
        <f t="shared" si="0"/>
        <v>90</v>
      </c>
      <c r="I47" s="1963">
        <f t="shared" si="2"/>
        <v>360</v>
      </c>
    </row>
    <row r="48" spans="1:10" x14ac:dyDescent="0.2">
      <c r="A48" s="402" t="s">
        <v>394</v>
      </c>
      <c r="B48" s="402" t="s">
        <v>232</v>
      </c>
      <c r="C48" s="402" t="s">
        <v>433</v>
      </c>
      <c r="D48" s="463"/>
      <c r="E48" s="502">
        <f>'WP1'!E123+'WP2'!E106+'WP3'!E115+'WP5'!E126+'WP7'!E64</f>
        <v>1208</v>
      </c>
      <c r="F48" s="503">
        <f t="shared" si="1"/>
        <v>22.878787878787879</v>
      </c>
      <c r="G48" s="502"/>
      <c r="H48" s="1964">
        <f t="shared" si="0"/>
        <v>151</v>
      </c>
      <c r="I48" s="1964">
        <f t="shared" si="2"/>
        <v>0</v>
      </c>
    </row>
    <row r="49" spans="1:10" x14ac:dyDescent="0.2">
      <c r="A49" s="401"/>
      <c r="B49" s="402" t="s">
        <v>233</v>
      </c>
      <c r="C49" s="402" t="s">
        <v>434</v>
      </c>
      <c r="D49" s="464"/>
      <c r="E49" s="502">
        <f>'WP2'!E101+'WP4'!E78+'WP5'!E121+'WP6'!E95</f>
        <v>960</v>
      </c>
      <c r="F49" s="503">
        <f t="shared" si="1"/>
        <v>18.181818181818183</v>
      </c>
      <c r="G49" s="502"/>
      <c r="H49" s="1964">
        <f t="shared" si="0"/>
        <v>120</v>
      </c>
      <c r="I49" s="1964">
        <f t="shared" si="2"/>
        <v>0</v>
      </c>
    </row>
    <row r="50" spans="1:10" x14ac:dyDescent="0.2">
      <c r="A50" s="401"/>
      <c r="B50" s="402" t="s">
        <v>234</v>
      </c>
      <c r="C50" s="402" t="s">
        <v>435</v>
      </c>
      <c r="D50" s="463"/>
      <c r="E50" s="502">
        <f>'WP1'!E130</f>
        <v>112</v>
      </c>
      <c r="F50" s="503">
        <f t="shared" si="1"/>
        <v>2.1212121212121215</v>
      </c>
      <c r="G50" s="502"/>
      <c r="H50" s="1964">
        <f t="shared" si="0"/>
        <v>14</v>
      </c>
      <c r="I50" s="1964">
        <f t="shared" si="2"/>
        <v>0</v>
      </c>
    </row>
    <row r="51" spans="1:10" x14ac:dyDescent="0.2">
      <c r="A51" s="401"/>
      <c r="B51" s="402" t="s">
        <v>235</v>
      </c>
      <c r="C51" s="402" t="s">
        <v>436</v>
      </c>
      <c r="D51" s="463"/>
      <c r="E51" s="502">
        <f>'WP3'!E119+'WP7'!E67</f>
        <v>440</v>
      </c>
      <c r="F51" s="503">
        <f t="shared" si="1"/>
        <v>8.3333333333333321</v>
      </c>
      <c r="G51" s="502">
        <f>SUM(E48:E51)</f>
        <v>2720</v>
      </c>
      <c r="H51" s="1964">
        <f t="shared" si="0"/>
        <v>55</v>
      </c>
      <c r="I51" s="1964">
        <f t="shared" si="2"/>
        <v>340</v>
      </c>
      <c r="J51" s="2020"/>
    </row>
    <row r="52" spans="1:10" ht="25.5" x14ac:dyDescent="0.2">
      <c r="A52" s="691" t="s">
        <v>198</v>
      </c>
      <c r="B52" s="692" t="s">
        <v>240</v>
      </c>
      <c r="C52" s="693" t="s">
        <v>437</v>
      </c>
      <c r="D52" s="465"/>
      <c r="E52" s="504">
        <f>'WP1'!E134+'WP3'!E122+'WP4'!E81+'WP5'!E16+'WP6'!E98+'WP7'!E74</f>
        <v>1720</v>
      </c>
      <c r="F52" s="505">
        <f t="shared" si="1"/>
        <v>32.575757575757578</v>
      </c>
      <c r="G52" s="504"/>
      <c r="H52" s="1965">
        <f t="shared" si="0"/>
        <v>215</v>
      </c>
      <c r="I52" s="1965">
        <f t="shared" si="2"/>
        <v>0</v>
      </c>
    </row>
    <row r="53" spans="1:10" x14ac:dyDescent="0.2">
      <c r="A53" s="691"/>
      <c r="B53" s="692" t="s">
        <v>241</v>
      </c>
      <c r="C53" s="697"/>
      <c r="D53" s="465"/>
      <c r="E53" s="1793">
        <f>'WP7'!E77</f>
        <v>320</v>
      </c>
      <c r="F53" s="1794">
        <f t="shared" si="1"/>
        <v>6.0606060606060606</v>
      </c>
      <c r="G53" s="1793"/>
      <c r="H53" s="1965">
        <f t="shared" si="0"/>
        <v>40</v>
      </c>
      <c r="I53" s="1965">
        <f t="shared" si="2"/>
        <v>0</v>
      </c>
    </row>
    <row r="54" spans="1:10" x14ac:dyDescent="0.2">
      <c r="A54" s="691"/>
      <c r="B54" s="692" t="s">
        <v>242</v>
      </c>
      <c r="C54" s="698" t="s">
        <v>439</v>
      </c>
      <c r="D54" s="465"/>
      <c r="E54" s="1793">
        <f>'WP2'!E109+'WP5'!E24</f>
        <v>584</v>
      </c>
      <c r="F54" s="1794">
        <f t="shared" si="1"/>
        <v>11.060606060606061</v>
      </c>
      <c r="G54" s="1793"/>
      <c r="H54" s="1965">
        <f t="shared" si="0"/>
        <v>73</v>
      </c>
      <c r="I54" s="1965">
        <f t="shared" si="2"/>
        <v>0</v>
      </c>
    </row>
    <row r="55" spans="1:10" x14ac:dyDescent="0.2">
      <c r="A55" s="691"/>
      <c r="B55" s="692" t="s">
        <v>243</v>
      </c>
      <c r="C55" s="691" t="s">
        <v>438</v>
      </c>
      <c r="D55" s="465"/>
      <c r="E55" s="1793">
        <f>'WP1'!E141+'WP5'!E29</f>
        <v>432</v>
      </c>
      <c r="F55" s="1794">
        <f t="shared" si="1"/>
        <v>8.1818181818181817</v>
      </c>
      <c r="G55" s="1793">
        <f>SUM(E52:E55)</f>
        <v>3056</v>
      </c>
      <c r="H55" s="1965">
        <f t="shared" si="0"/>
        <v>54</v>
      </c>
      <c r="I55" s="1965">
        <f t="shared" si="2"/>
        <v>382</v>
      </c>
    </row>
    <row r="56" spans="1:10" x14ac:dyDescent="0.2">
      <c r="A56" s="699" t="s">
        <v>402</v>
      </c>
      <c r="B56" s="700" t="s">
        <v>236</v>
      </c>
      <c r="C56" s="699" t="s">
        <v>441</v>
      </c>
      <c r="D56" s="465"/>
      <c r="E56" s="1795">
        <f>'WP1'!E145+'WP2'!E112+'WP3'!E125+'WP4'!E84+'WP5'!E136+'WP6'!E101+'WP7'!E69</f>
        <v>2280</v>
      </c>
      <c r="F56" s="1796">
        <f t="shared" si="1"/>
        <v>43.18181818181818</v>
      </c>
      <c r="G56" s="1795"/>
      <c r="H56" s="1966">
        <f t="shared" si="0"/>
        <v>285</v>
      </c>
      <c r="I56" s="1966">
        <f t="shared" si="2"/>
        <v>0</v>
      </c>
    </row>
    <row r="57" spans="1:10" x14ac:dyDescent="0.2">
      <c r="A57" s="699"/>
      <c r="B57" s="700" t="s">
        <v>237</v>
      </c>
      <c r="C57" s="699" t="s">
        <v>440</v>
      </c>
      <c r="D57" s="465"/>
      <c r="E57" s="1795">
        <f>'WP2'!E117+'WP3'!E129+'WP5'!E130</f>
        <v>1000</v>
      </c>
      <c r="F57" s="1796">
        <f t="shared" si="1"/>
        <v>18.939393939393938</v>
      </c>
      <c r="G57" s="1795"/>
      <c r="H57" s="1966">
        <f t="shared" si="0"/>
        <v>125</v>
      </c>
      <c r="I57" s="1966">
        <f t="shared" si="2"/>
        <v>0</v>
      </c>
    </row>
    <row r="58" spans="1:10" x14ac:dyDescent="0.2">
      <c r="A58" s="699"/>
      <c r="B58" s="700" t="s">
        <v>238</v>
      </c>
      <c r="C58" s="699"/>
      <c r="D58" s="466"/>
      <c r="E58" s="1795">
        <f>'WP7'!E72</f>
        <v>320</v>
      </c>
      <c r="F58" s="1796">
        <f t="shared" si="1"/>
        <v>6.0606060606060606</v>
      </c>
      <c r="G58" s="1795"/>
      <c r="H58" s="1966">
        <f t="shared" si="0"/>
        <v>40</v>
      </c>
      <c r="I58" s="1966">
        <f t="shared" si="2"/>
        <v>0</v>
      </c>
    </row>
    <row r="59" spans="1:10" x14ac:dyDescent="0.2">
      <c r="A59" s="699"/>
      <c r="B59" s="700" t="s">
        <v>239</v>
      </c>
      <c r="C59" s="699"/>
      <c r="D59" s="467"/>
      <c r="E59" s="1795"/>
      <c r="F59" s="1796">
        <f t="shared" si="1"/>
        <v>0</v>
      </c>
      <c r="G59" s="1795">
        <f>SUM(E56:E59)</f>
        <v>3600</v>
      </c>
      <c r="H59" s="1966">
        <f t="shared" si="0"/>
        <v>0</v>
      </c>
      <c r="I59" s="1966">
        <f t="shared" si="2"/>
        <v>450</v>
      </c>
    </row>
    <row r="60" spans="1:10" x14ac:dyDescent="0.2">
      <c r="A60" s="706" t="s">
        <v>395</v>
      </c>
      <c r="B60" s="706" t="s">
        <v>244</v>
      </c>
      <c r="C60" s="706" t="s">
        <v>442</v>
      </c>
      <c r="D60" s="466"/>
      <c r="E60" s="1797">
        <f>'WP1'!E156+'WP2'!E120+'WP3'!E132+'WP4'!E87+'WP5'!E140+'WP6'!E104</f>
        <v>1372</v>
      </c>
      <c r="F60" s="1798">
        <f t="shared" si="1"/>
        <v>25.984848484848484</v>
      </c>
      <c r="G60" s="1797"/>
      <c r="H60" s="1967">
        <f t="shared" si="0"/>
        <v>171.5</v>
      </c>
      <c r="I60" s="1967">
        <f t="shared" si="2"/>
        <v>0</v>
      </c>
    </row>
    <row r="61" spans="1:10" x14ac:dyDescent="0.2">
      <c r="A61" s="705"/>
      <c r="B61" s="706" t="s">
        <v>245</v>
      </c>
      <c r="C61" s="705"/>
      <c r="D61" s="466"/>
      <c r="E61" s="1797"/>
      <c r="F61" s="1798">
        <f t="shared" si="1"/>
        <v>0</v>
      </c>
      <c r="G61" s="1797"/>
      <c r="H61" s="1967">
        <f t="shared" si="0"/>
        <v>0</v>
      </c>
      <c r="I61" s="1967">
        <f t="shared" si="2"/>
        <v>0</v>
      </c>
    </row>
    <row r="62" spans="1:10" x14ac:dyDescent="0.2">
      <c r="A62" s="705"/>
      <c r="B62" s="706" t="s">
        <v>246</v>
      </c>
      <c r="C62" s="706" t="s">
        <v>443</v>
      </c>
      <c r="D62" s="466"/>
      <c r="E62" s="1797">
        <f>'WP3'!E137+'WP4'!E93</f>
        <v>580</v>
      </c>
      <c r="F62" s="1798">
        <f t="shared" si="1"/>
        <v>10.984848484848484</v>
      </c>
      <c r="G62" s="1797"/>
      <c r="H62" s="1967">
        <f t="shared" si="0"/>
        <v>72.5</v>
      </c>
      <c r="I62" s="1967">
        <f t="shared" si="2"/>
        <v>0</v>
      </c>
    </row>
    <row r="63" spans="1:10" x14ac:dyDescent="0.2">
      <c r="A63" s="705"/>
      <c r="B63" s="706" t="s">
        <v>247</v>
      </c>
      <c r="C63" s="706" t="s">
        <v>444</v>
      </c>
      <c r="D63" s="469"/>
      <c r="E63" s="1797">
        <f>'WP1'!E162</f>
        <v>80</v>
      </c>
      <c r="F63" s="1798">
        <f t="shared" si="1"/>
        <v>1.5151515151515151</v>
      </c>
      <c r="G63" s="1797">
        <f>SUM(E60:E63)</f>
        <v>2032</v>
      </c>
      <c r="H63" s="1967">
        <f t="shared" si="0"/>
        <v>10</v>
      </c>
      <c r="I63" s="1967">
        <f t="shared" si="2"/>
        <v>254</v>
      </c>
    </row>
    <row r="64" spans="1:10" x14ac:dyDescent="0.2">
      <c r="A64" s="439" t="s">
        <v>193</v>
      </c>
      <c r="B64" s="354" t="s">
        <v>248</v>
      </c>
      <c r="C64" s="681" t="s">
        <v>192</v>
      </c>
      <c r="D64" s="468"/>
      <c r="E64" s="486">
        <f>'WP1'!E165+'WP2'!E123+'WP3'!E140+'WP5'!E143+'WP6'!E107</f>
        <v>936</v>
      </c>
      <c r="F64" s="487">
        <f t="shared" si="1"/>
        <v>17.727272727272727</v>
      </c>
      <c r="G64" s="486"/>
      <c r="H64" s="1968">
        <f t="shared" si="0"/>
        <v>117</v>
      </c>
      <c r="I64" s="1968">
        <f t="shared" si="2"/>
        <v>0</v>
      </c>
    </row>
    <row r="65" spans="1:9" x14ac:dyDescent="0.2">
      <c r="A65" s="711"/>
      <c r="B65" s="354" t="s">
        <v>249</v>
      </c>
      <c r="C65" s="354" t="s">
        <v>445</v>
      </c>
      <c r="D65" s="469"/>
      <c r="E65" s="486">
        <f>'WP4'!E97+'WP5'!E146</f>
        <v>800</v>
      </c>
      <c r="F65" s="487">
        <f t="shared" si="1"/>
        <v>15.151515151515152</v>
      </c>
      <c r="G65" s="486"/>
      <c r="H65" s="1968">
        <f t="shared" si="0"/>
        <v>100</v>
      </c>
      <c r="I65" s="1968">
        <f t="shared" si="2"/>
        <v>0</v>
      </c>
    </row>
    <row r="66" spans="1:9" x14ac:dyDescent="0.2">
      <c r="A66" s="204"/>
      <c r="B66" s="354" t="s">
        <v>250</v>
      </c>
      <c r="C66" s="681"/>
      <c r="D66" s="468"/>
      <c r="E66" s="486"/>
      <c r="F66" s="487">
        <f t="shared" si="1"/>
        <v>0</v>
      </c>
      <c r="G66" s="486"/>
      <c r="H66" s="1968">
        <f t="shared" si="0"/>
        <v>0</v>
      </c>
      <c r="I66" s="1968">
        <f t="shared" si="2"/>
        <v>0</v>
      </c>
    </row>
    <row r="67" spans="1:9" x14ac:dyDescent="0.2">
      <c r="A67" s="203"/>
      <c r="B67" s="354" t="s">
        <v>251</v>
      </c>
      <c r="C67" s="205"/>
      <c r="D67" s="468"/>
      <c r="E67" s="486"/>
      <c r="F67" s="487">
        <f t="shared" si="1"/>
        <v>0</v>
      </c>
      <c r="G67" s="486">
        <f>SUM(E64:E67)</f>
        <v>1736</v>
      </c>
      <c r="H67" s="1968">
        <f t="shared" si="0"/>
        <v>0</v>
      </c>
      <c r="I67" s="1968">
        <f t="shared" si="2"/>
        <v>217</v>
      </c>
    </row>
    <row r="68" spans="1:9" x14ac:dyDescent="0.2">
      <c r="A68" s="713" t="s">
        <v>197</v>
      </c>
      <c r="B68" s="713" t="s">
        <v>252</v>
      </c>
      <c r="C68" s="713" t="s">
        <v>446</v>
      </c>
      <c r="D68" s="471"/>
      <c r="E68" s="1799">
        <f>'WP1'!E174+'WP3'!E143+'WP4'!E100+'WP5'!E150+'WP6'!E110</f>
        <v>1532</v>
      </c>
      <c r="F68" s="1800">
        <f t="shared" si="1"/>
        <v>29.015151515151516</v>
      </c>
      <c r="G68" s="1799"/>
      <c r="H68" s="1969">
        <f t="shared" si="0"/>
        <v>191.5</v>
      </c>
      <c r="I68" s="1969">
        <f t="shared" si="2"/>
        <v>0</v>
      </c>
    </row>
    <row r="69" spans="1:9" x14ac:dyDescent="0.2">
      <c r="A69" s="712"/>
      <c r="B69" s="713" t="s">
        <v>253</v>
      </c>
      <c r="C69" s="713" t="s">
        <v>447</v>
      </c>
      <c r="D69" s="470"/>
      <c r="E69" s="1799">
        <f>'WP2'!E126+'WP3'!E148+'WP4'!E106+'WP5'!E153</f>
        <v>780</v>
      </c>
      <c r="F69" s="1800">
        <f t="shared" si="1"/>
        <v>14.772727272727273</v>
      </c>
      <c r="G69" s="1799"/>
      <c r="H69" s="1969">
        <f t="shared" ref="H69:H129" si="3">E69/8</f>
        <v>97.5</v>
      </c>
      <c r="I69" s="1969">
        <f t="shared" si="2"/>
        <v>0</v>
      </c>
    </row>
    <row r="70" spans="1:9" x14ac:dyDescent="0.2">
      <c r="A70" s="712"/>
      <c r="B70" s="713" t="s">
        <v>803</v>
      </c>
      <c r="C70" s="713" t="s">
        <v>448</v>
      </c>
      <c r="D70" s="471"/>
      <c r="E70" s="1799">
        <f>'WP1'!E179</f>
        <v>120</v>
      </c>
      <c r="F70" s="1800">
        <f t="shared" ref="F70:F129" si="4">E70/5280*100</f>
        <v>2.2727272727272729</v>
      </c>
      <c r="G70" s="1799"/>
      <c r="H70" s="1969">
        <f t="shared" si="3"/>
        <v>15</v>
      </c>
      <c r="I70" s="1969">
        <f t="shared" si="2"/>
        <v>0</v>
      </c>
    </row>
    <row r="71" spans="1:9" x14ac:dyDescent="0.2">
      <c r="A71" s="712"/>
      <c r="B71" s="713" t="s">
        <v>804</v>
      </c>
      <c r="C71" s="713" t="s">
        <v>449</v>
      </c>
      <c r="D71" s="470"/>
      <c r="E71" s="1799"/>
      <c r="F71" s="1800">
        <f t="shared" si="4"/>
        <v>0</v>
      </c>
      <c r="G71" s="1799"/>
      <c r="H71" s="1969">
        <f t="shared" si="3"/>
        <v>0</v>
      </c>
      <c r="I71" s="1969">
        <f t="shared" si="2"/>
        <v>0</v>
      </c>
    </row>
    <row r="72" spans="1:9" x14ac:dyDescent="0.2">
      <c r="A72" s="712"/>
      <c r="B72" s="713" t="s">
        <v>254</v>
      </c>
      <c r="C72" s="713" t="s">
        <v>450</v>
      </c>
      <c r="D72" s="470"/>
      <c r="E72" s="1799"/>
      <c r="F72" s="1800">
        <f t="shared" si="4"/>
        <v>0</v>
      </c>
      <c r="G72" s="1799">
        <f>SUM(E68:E72)</f>
        <v>2432</v>
      </c>
      <c r="H72" s="1969">
        <f t="shared" si="3"/>
        <v>0</v>
      </c>
      <c r="I72" s="1969">
        <f t="shared" si="2"/>
        <v>304</v>
      </c>
    </row>
    <row r="73" spans="1:9" x14ac:dyDescent="0.2">
      <c r="A73" s="355" t="s">
        <v>396</v>
      </c>
      <c r="B73" s="343" t="s">
        <v>255</v>
      </c>
      <c r="C73" s="355" t="s">
        <v>451</v>
      </c>
      <c r="D73" s="472"/>
      <c r="E73" s="490">
        <f>'WP1'!E183+'WP2'!E129+'WP3'!E151+'WP4'!E110+'WP5'!E156+'WP6'!E113</f>
        <v>1332</v>
      </c>
      <c r="F73" s="491">
        <f t="shared" si="4"/>
        <v>25.227272727272727</v>
      </c>
      <c r="G73" s="490"/>
      <c r="H73" s="1951">
        <f t="shared" si="3"/>
        <v>166.5</v>
      </c>
      <c r="I73" s="1951">
        <f t="shared" ref="I73:I129" si="5">G73/8</f>
        <v>0</v>
      </c>
    </row>
    <row r="74" spans="1:9" x14ac:dyDescent="0.2">
      <c r="A74" s="508"/>
      <c r="B74" s="343" t="s">
        <v>455</v>
      </c>
      <c r="C74" s="414" t="s">
        <v>452</v>
      </c>
      <c r="D74" s="196"/>
      <c r="E74" s="490">
        <f>'WP3'!E156</f>
        <v>240</v>
      </c>
      <c r="F74" s="491">
        <f t="shared" si="4"/>
        <v>4.5454545454545459</v>
      </c>
      <c r="G74" s="1957"/>
      <c r="H74" s="1951">
        <f t="shared" si="3"/>
        <v>30</v>
      </c>
      <c r="I74" s="1951">
        <f t="shared" si="5"/>
        <v>0</v>
      </c>
    </row>
    <row r="75" spans="1:9" x14ac:dyDescent="0.2">
      <c r="A75" s="191"/>
      <c r="B75" s="343" t="s">
        <v>456</v>
      </c>
      <c r="C75" s="355" t="s">
        <v>453</v>
      </c>
      <c r="D75" s="472"/>
      <c r="E75" s="490">
        <f>'WP4'!E116</f>
        <v>340</v>
      </c>
      <c r="F75" s="491">
        <f t="shared" si="4"/>
        <v>6.4393939393939394</v>
      </c>
      <c r="G75" s="490"/>
      <c r="H75" s="1951">
        <f t="shared" si="3"/>
        <v>42.5</v>
      </c>
      <c r="I75" s="1951">
        <f t="shared" si="5"/>
        <v>0</v>
      </c>
    </row>
    <row r="76" spans="1:9" x14ac:dyDescent="0.2">
      <c r="A76" s="191"/>
      <c r="B76" s="343" t="s">
        <v>256</v>
      </c>
      <c r="C76" s="191" t="s">
        <v>454</v>
      </c>
      <c r="D76" s="196"/>
      <c r="E76" s="490">
        <f>'WP1'!E185</f>
        <v>80</v>
      </c>
      <c r="F76" s="491">
        <f t="shared" si="4"/>
        <v>1.5151515151515151</v>
      </c>
      <c r="G76" s="490">
        <f>SUM(E73:E76)</f>
        <v>1992</v>
      </c>
      <c r="H76" s="1951">
        <f t="shared" si="3"/>
        <v>10</v>
      </c>
      <c r="I76" s="1951">
        <f t="shared" si="5"/>
        <v>249</v>
      </c>
    </row>
    <row r="77" spans="1:9" ht="15" x14ac:dyDescent="0.25">
      <c r="A77" s="407" t="s">
        <v>397</v>
      </c>
      <c r="B77" s="407" t="s">
        <v>257</v>
      </c>
      <c r="C77" s="2035" t="s">
        <v>909</v>
      </c>
      <c r="D77" s="196"/>
      <c r="E77" s="506">
        <f>'WP1'!E187+'WP6'!E116</f>
        <v>232</v>
      </c>
      <c r="F77" s="507">
        <f t="shared" si="4"/>
        <v>4.3939393939393936</v>
      </c>
      <c r="G77" s="506"/>
      <c r="H77" s="1949">
        <f t="shared" si="3"/>
        <v>29</v>
      </c>
      <c r="I77" s="1949">
        <f t="shared" si="5"/>
        <v>0</v>
      </c>
    </row>
    <row r="78" spans="1:9" ht="15" x14ac:dyDescent="0.25">
      <c r="A78" s="408"/>
      <c r="B78" s="407" t="s">
        <v>258</v>
      </c>
      <c r="C78" s="2035" t="s">
        <v>910</v>
      </c>
      <c r="D78" s="474"/>
      <c r="E78" s="506">
        <f>'WP4'!E120+'WP5'!E159</f>
        <v>544</v>
      </c>
      <c r="F78" s="507">
        <f t="shared" si="4"/>
        <v>10.303030303030303</v>
      </c>
      <c r="G78" s="506"/>
      <c r="H78" s="1949">
        <f t="shared" si="3"/>
        <v>68</v>
      </c>
      <c r="I78" s="1949">
        <f t="shared" si="5"/>
        <v>0</v>
      </c>
    </row>
    <row r="79" spans="1:9" ht="15" x14ac:dyDescent="0.25">
      <c r="A79" s="408"/>
      <c r="B79" s="407" t="s">
        <v>916</v>
      </c>
      <c r="C79" s="2035" t="s">
        <v>911</v>
      </c>
      <c r="D79" s="474"/>
      <c r="E79" s="506">
        <f>'WP1'!E189</f>
        <v>80</v>
      </c>
      <c r="F79" s="507">
        <f t="shared" si="4"/>
        <v>1.5151515151515151</v>
      </c>
      <c r="G79" s="506"/>
      <c r="H79" s="1949">
        <f t="shared" si="3"/>
        <v>10</v>
      </c>
      <c r="I79" s="1949"/>
    </row>
    <row r="80" spans="1:9" ht="15" x14ac:dyDescent="0.25">
      <c r="A80" s="408"/>
      <c r="B80" s="407" t="s">
        <v>915</v>
      </c>
      <c r="C80" s="2035" t="s">
        <v>912</v>
      </c>
      <c r="D80" s="473"/>
      <c r="E80" s="506"/>
      <c r="F80" s="507">
        <f t="shared" si="4"/>
        <v>0</v>
      </c>
      <c r="G80" s="506"/>
      <c r="H80" s="1949">
        <f t="shared" si="3"/>
        <v>0</v>
      </c>
      <c r="I80" s="1949">
        <f t="shared" si="5"/>
        <v>0</v>
      </c>
    </row>
    <row r="81" spans="1:9" ht="15" x14ac:dyDescent="0.25">
      <c r="A81" s="408"/>
      <c r="B81" s="407" t="s">
        <v>914</v>
      </c>
      <c r="C81" s="2035" t="s">
        <v>913</v>
      </c>
      <c r="D81" s="474"/>
      <c r="E81" s="506">
        <f>'WP2'!E132+'WP3'!E159+'WP5'!E162</f>
        <v>960</v>
      </c>
      <c r="F81" s="507">
        <f t="shared" si="4"/>
        <v>18.181818181818183</v>
      </c>
      <c r="G81" s="506">
        <f>SUM(E77:E81)</f>
        <v>1816</v>
      </c>
      <c r="H81" s="1949">
        <f t="shared" si="3"/>
        <v>120</v>
      </c>
      <c r="I81" s="1949">
        <f t="shared" si="5"/>
        <v>227</v>
      </c>
    </row>
    <row r="82" spans="1:9" x14ac:dyDescent="0.2">
      <c r="A82" s="719" t="s">
        <v>398</v>
      </c>
      <c r="B82" s="719" t="s">
        <v>259</v>
      </c>
      <c r="C82" s="720" t="s">
        <v>794</v>
      </c>
      <c r="D82" s="473"/>
      <c r="E82" s="1801">
        <f>'WP1'!E191+'WP2'!E135+'WP3'!E163+'WP4'!E123+'WP5'!E166+'WP6'!E119</f>
        <v>1912</v>
      </c>
      <c r="F82" s="1802">
        <f t="shared" si="4"/>
        <v>36.212121212121211</v>
      </c>
      <c r="G82" s="1801"/>
      <c r="H82" s="1970">
        <f t="shared" si="3"/>
        <v>239</v>
      </c>
      <c r="I82" s="1970">
        <f t="shared" si="5"/>
        <v>0</v>
      </c>
    </row>
    <row r="83" spans="1:9" x14ac:dyDescent="0.2">
      <c r="A83" s="718"/>
      <c r="B83" s="719" t="s">
        <v>260</v>
      </c>
      <c r="C83" s="724"/>
      <c r="D83" s="473"/>
      <c r="E83" s="1801"/>
      <c r="F83" s="1802">
        <f t="shared" si="4"/>
        <v>0</v>
      </c>
      <c r="G83" s="1801"/>
      <c r="H83" s="1970">
        <f t="shared" si="3"/>
        <v>0</v>
      </c>
      <c r="I83" s="1970">
        <f t="shared" si="5"/>
        <v>0</v>
      </c>
    </row>
    <row r="84" spans="1:9" x14ac:dyDescent="0.2">
      <c r="A84" s="718"/>
      <c r="B84" s="719" t="s">
        <v>261</v>
      </c>
      <c r="C84" s="724" t="s">
        <v>795</v>
      </c>
      <c r="E84" s="1801">
        <f>'WP1'!E193+'WP2'!E143+'WP3'!E168+'WP4'!E129</f>
        <v>940</v>
      </c>
      <c r="F84" s="1802">
        <f t="shared" si="4"/>
        <v>17.803030303030305</v>
      </c>
      <c r="G84" s="1801"/>
      <c r="H84" s="1970">
        <f t="shared" si="3"/>
        <v>117.5</v>
      </c>
      <c r="I84" s="1970">
        <f t="shared" si="5"/>
        <v>0</v>
      </c>
    </row>
    <row r="85" spans="1:9" x14ac:dyDescent="0.2">
      <c r="A85" s="718"/>
      <c r="B85" s="719" t="s">
        <v>262</v>
      </c>
      <c r="C85" s="724"/>
      <c r="E85" s="1801"/>
      <c r="F85" s="1802">
        <f t="shared" si="4"/>
        <v>0</v>
      </c>
      <c r="G85" s="1801">
        <f>SUM(E82:E85)</f>
        <v>2852</v>
      </c>
      <c r="H85" s="1970">
        <f t="shared" si="3"/>
        <v>0</v>
      </c>
      <c r="I85" s="1970">
        <f t="shared" si="5"/>
        <v>356.5</v>
      </c>
    </row>
    <row r="86" spans="1:9" x14ac:dyDescent="0.2">
      <c r="A86" s="409" t="s">
        <v>399</v>
      </c>
      <c r="B86" s="409" t="s">
        <v>263</v>
      </c>
      <c r="C86" s="409"/>
      <c r="E86" s="480">
        <f>'WP1'!E195+'WP2'!E148+'WP3'!E171+'WP4'!E133+'WP5'!E169+'WP6'!E122</f>
        <v>1372</v>
      </c>
      <c r="F86" s="481">
        <f t="shared" si="4"/>
        <v>25.984848484848484</v>
      </c>
      <c r="G86" s="480"/>
      <c r="H86" s="1971">
        <f t="shared" si="3"/>
        <v>171.5</v>
      </c>
      <c r="I86" s="1971">
        <f t="shared" si="5"/>
        <v>0</v>
      </c>
    </row>
    <row r="87" spans="1:9" x14ac:dyDescent="0.2">
      <c r="A87" s="410"/>
      <c r="B87" s="409" t="s">
        <v>264</v>
      </c>
      <c r="C87" s="410"/>
      <c r="E87" s="480"/>
      <c r="F87" s="481">
        <f t="shared" si="4"/>
        <v>0</v>
      </c>
      <c r="G87" s="480"/>
      <c r="H87" s="1971">
        <f t="shared" si="3"/>
        <v>0</v>
      </c>
      <c r="I87" s="1971">
        <f t="shared" si="5"/>
        <v>0</v>
      </c>
    </row>
    <row r="88" spans="1:9" x14ac:dyDescent="0.2">
      <c r="A88" s="410"/>
      <c r="B88" s="409" t="s">
        <v>265</v>
      </c>
      <c r="C88" s="410"/>
      <c r="E88" s="480">
        <f>'WP3'!E176+'WP4'!E139</f>
        <v>580</v>
      </c>
      <c r="F88" s="481">
        <f t="shared" si="4"/>
        <v>10.984848484848484</v>
      </c>
      <c r="G88" s="480"/>
      <c r="H88" s="1971">
        <f t="shared" si="3"/>
        <v>72.5</v>
      </c>
      <c r="I88" s="1971">
        <f t="shared" si="5"/>
        <v>0</v>
      </c>
    </row>
    <row r="89" spans="1:9" x14ac:dyDescent="0.2">
      <c r="A89" s="410"/>
      <c r="B89" s="409" t="s">
        <v>266</v>
      </c>
      <c r="C89" s="410"/>
      <c r="E89" s="480">
        <f>'WP1'!E197</f>
        <v>80</v>
      </c>
      <c r="F89" s="481">
        <f t="shared" si="4"/>
        <v>1.5151515151515151</v>
      </c>
      <c r="G89" s="480">
        <f>SUM(E86:E89)</f>
        <v>2032</v>
      </c>
      <c r="H89" s="1971">
        <f t="shared" si="3"/>
        <v>10</v>
      </c>
      <c r="I89" s="1971">
        <f t="shared" si="5"/>
        <v>254</v>
      </c>
    </row>
    <row r="90" spans="1:9" x14ac:dyDescent="0.2">
      <c r="A90" s="728" t="s">
        <v>400</v>
      </c>
      <c r="B90" s="728" t="s">
        <v>267</v>
      </c>
      <c r="C90" s="728" t="s">
        <v>797</v>
      </c>
      <c r="E90" s="1803">
        <f>'WP1'!E199+'WP2'!E151+'WP3'!E179+'WP4'!E143+'WP5'!E172+'WP6'!E125</f>
        <v>936</v>
      </c>
      <c r="F90" s="1804">
        <f t="shared" si="4"/>
        <v>17.727272727272727</v>
      </c>
      <c r="G90" s="1803"/>
      <c r="H90" s="1972">
        <f t="shared" si="3"/>
        <v>117</v>
      </c>
      <c r="I90" s="1972">
        <f t="shared" si="5"/>
        <v>0</v>
      </c>
    </row>
    <row r="91" spans="1:9" x14ac:dyDescent="0.2">
      <c r="A91" s="727"/>
      <c r="B91" s="728" t="s">
        <v>268</v>
      </c>
      <c r="C91" s="727"/>
      <c r="E91" s="1803"/>
      <c r="F91" s="1804">
        <f t="shared" si="4"/>
        <v>0</v>
      </c>
      <c r="G91" s="1803"/>
      <c r="H91" s="1972">
        <f t="shared" si="3"/>
        <v>0</v>
      </c>
      <c r="I91" s="1972">
        <f t="shared" si="5"/>
        <v>0</v>
      </c>
    </row>
    <row r="92" spans="1:9" x14ac:dyDescent="0.2">
      <c r="A92" s="727"/>
      <c r="B92" s="728" t="s">
        <v>269</v>
      </c>
      <c r="C92" s="727"/>
      <c r="E92" s="1803"/>
      <c r="F92" s="1804">
        <f t="shared" si="4"/>
        <v>0</v>
      </c>
      <c r="G92" s="1803"/>
      <c r="H92" s="1972">
        <f t="shared" si="3"/>
        <v>0</v>
      </c>
      <c r="I92" s="1972">
        <f t="shared" si="5"/>
        <v>0</v>
      </c>
    </row>
    <row r="93" spans="1:9" x14ac:dyDescent="0.2">
      <c r="A93" s="727"/>
      <c r="B93" s="728" t="s">
        <v>270</v>
      </c>
      <c r="C93" s="727" t="s">
        <v>796</v>
      </c>
      <c r="E93" s="1803">
        <f>'WP1'!E201+'WP5'!E175</f>
        <v>800</v>
      </c>
      <c r="F93" s="1804">
        <f t="shared" si="4"/>
        <v>15.151515151515152</v>
      </c>
      <c r="G93" s="1803">
        <f>SUM(E90:E93)</f>
        <v>1736</v>
      </c>
      <c r="H93" s="1972">
        <f t="shared" si="3"/>
        <v>100</v>
      </c>
      <c r="I93" s="1972">
        <f t="shared" si="5"/>
        <v>217</v>
      </c>
    </row>
    <row r="94" spans="1:9" x14ac:dyDescent="0.2">
      <c r="A94" s="733" t="s">
        <v>947</v>
      </c>
      <c r="B94" s="733" t="s">
        <v>271</v>
      </c>
      <c r="C94" s="2062" t="s">
        <v>958</v>
      </c>
      <c r="E94" s="1805">
        <f>'WP1'!E203+'WP2'!E154+'WP3'!E182+'WP4'!E146+'WP5'!E179+'WP6'!E128</f>
        <v>852</v>
      </c>
      <c r="F94" s="1806">
        <f t="shared" si="4"/>
        <v>16.136363636363637</v>
      </c>
      <c r="G94" s="1805"/>
      <c r="H94" s="1973">
        <f t="shared" si="3"/>
        <v>106.5</v>
      </c>
      <c r="I94" s="1973">
        <f t="shared" si="5"/>
        <v>0</v>
      </c>
    </row>
    <row r="95" spans="1:9" x14ac:dyDescent="0.2">
      <c r="A95" s="739"/>
      <c r="B95" s="733" t="s">
        <v>272</v>
      </c>
      <c r="C95" s="734"/>
      <c r="E95" s="1805"/>
      <c r="F95" s="1806">
        <f t="shared" si="4"/>
        <v>0</v>
      </c>
      <c r="G95" s="1805"/>
      <c r="H95" s="1973">
        <f t="shared" si="3"/>
        <v>0</v>
      </c>
      <c r="I95" s="1973">
        <f t="shared" si="5"/>
        <v>0</v>
      </c>
    </row>
    <row r="96" spans="1:9" x14ac:dyDescent="0.2">
      <c r="A96" s="739"/>
      <c r="B96" s="733" t="s">
        <v>273</v>
      </c>
      <c r="C96" s="734"/>
      <c r="E96" s="1805"/>
      <c r="F96" s="1806">
        <f t="shared" si="4"/>
        <v>0</v>
      </c>
      <c r="G96" s="1805"/>
      <c r="H96" s="1973">
        <f t="shared" si="3"/>
        <v>0</v>
      </c>
      <c r="I96" s="1973">
        <f t="shared" si="5"/>
        <v>0</v>
      </c>
    </row>
    <row r="97" spans="1:9" x14ac:dyDescent="0.2">
      <c r="A97" s="739"/>
      <c r="B97" s="733" t="s">
        <v>274</v>
      </c>
      <c r="C97" s="734"/>
      <c r="E97" s="1805"/>
      <c r="F97" s="1806">
        <f t="shared" si="4"/>
        <v>0</v>
      </c>
      <c r="G97" s="1805">
        <f>SUM(E94:E97)</f>
        <v>852</v>
      </c>
      <c r="H97" s="1973">
        <f t="shared" si="3"/>
        <v>0</v>
      </c>
      <c r="I97" s="1973">
        <f t="shared" si="5"/>
        <v>106.5</v>
      </c>
    </row>
    <row r="98" spans="1:9" x14ac:dyDescent="0.2">
      <c r="A98" s="740" t="s">
        <v>401</v>
      </c>
      <c r="B98" s="740" t="s">
        <v>275</v>
      </c>
      <c r="C98" s="740" t="s">
        <v>457</v>
      </c>
      <c r="E98" s="1807">
        <f>'WP1'!E205+'WP2'!E157+'WP3'!E187+'WP4'!E149+'WP5'!E183+'WP6'!E131</f>
        <v>1372</v>
      </c>
      <c r="F98" s="1808">
        <f t="shared" si="4"/>
        <v>25.984848484848484</v>
      </c>
      <c r="G98" s="1807"/>
      <c r="H98" s="1974">
        <f t="shared" si="3"/>
        <v>171.5</v>
      </c>
      <c r="I98" s="1974">
        <f t="shared" si="5"/>
        <v>0</v>
      </c>
    </row>
    <row r="99" spans="1:9" x14ac:dyDescent="0.2">
      <c r="A99" s="745"/>
      <c r="B99" s="740" t="s">
        <v>276</v>
      </c>
      <c r="C99" s="745"/>
      <c r="E99" s="1807"/>
      <c r="F99" s="1808">
        <f t="shared" si="4"/>
        <v>0</v>
      </c>
      <c r="G99" s="1807"/>
      <c r="H99" s="1974">
        <f t="shared" si="3"/>
        <v>0</v>
      </c>
      <c r="I99" s="1974">
        <f t="shared" si="5"/>
        <v>0</v>
      </c>
    </row>
    <row r="100" spans="1:9" x14ac:dyDescent="0.2">
      <c r="A100" s="745"/>
      <c r="B100" s="740" t="s">
        <v>277</v>
      </c>
      <c r="C100" s="740" t="s">
        <v>459</v>
      </c>
      <c r="E100" s="1807">
        <f>'WP3'!E192+'WP4'!E155</f>
        <v>580</v>
      </c>
      <c r="F100" s="1808">
        <f t="shared" si="4"/>
        <v>10.984848484848484</v>
      </c>
      <c r="G100" s="1807"/>
      <c r="H100" s="1974">
        <f t="shared" si="3"/>
        <v>72.5</v>
      </c>
      <c r="I100" s="1974">
        <f t="shared" si="5"/>
        <v>0</v>
      </c>
    </row>
    <row r="101" spans="1:9" x14ac:dyDescent="0.2">
      <c r="A101" s="745"/>
      <c r="B101" s="740" t="s">
        <v>278</v>
      </c>
      <c r="C101" s="745" t="s">
        <v>458</v>
      </c>
      <c r="E101" s="1807">
        <f>'WP1'!E207</f>
        <v>80</v>
      </c>
      <c r="F101" s="1808">
        <f t="shared" si="4"/>
        <v>1.5151515151515151</v>
      </c>
      <c r="G101" s="1807">
        <f>SUM(E98:E101)</f>
        <v>2032</v>
      </c>
      <c r="H101" s="1974">
        <f t="shared" si="3"/>
        <v>10</v>
      </c>
      <c r="I101" s="1974">
        <f t="shared" si="5"/>
        <v>254</v>
      </c>
    </row>
    <row r="102" spans="1:9" x14ac:dyDescent="0.2">
      <c r="A102" s="414" t="s">
        <v>403</v>
      </c>
      <c r="B102" s="414" t="s">
        <v>279</v>
      </c>
      <c r="C102" s="415" t="s">
        <v>790</v>
      </c>
      <c r="E102" s="490">
        <f>'WP1'!E209+'WP2'!E160+'WP3'!E195+'WP6'!E134</f>
        <v>392</v>
      </c>
      <c r="F102" s="491">
        <f t="shared" si="4"/>
        <v>7.4242424242424248</v>
      </c>
      <c r="G102" s="490"/>
      <c r="H102" s="1975">
        <f t="shared" si="3"/>
        <v>49</v>
      </c>
      <c r="I102" s="1975">
        <f t="shared" si="5"/>
        <v>0</v>
      </c>
    </row>
    <row r="103" spans="1:9" x14ac:dyDescent="0.2">
      <c r="A103" s="415"/>
      <c r="B103" s="414" t="s">
        <v>280</v>
      </c>
      <c r="C103" s="415" t="s">
        <v>791</v>
      </c>
      <c r="E103" s="490">
        <f>'WP4'!E159+'WP5'!E186</f>
        <v>544</v>
      </c>
      <c r="F103" s="491">
        <f t="shared" si="4"/>
        <v>10.303030303030303</v>
      </c>
      <c r="G103" s="490"/>
      <c r="H103" s="1975">
        <f t="shared" si="3"/>
        <v>68</v>
      </c>
      <c r="I103" s="1975">
        <f t="shared" si="5"/>
        <v>0</v>
      </c>
    </row>
    <row r="104" spans="1:9" x14ac:dyDescent="0.2">
      <c r="A104" s="415"/>
      <c r="B104" s="414" t="s">
        <v>281</v>
      </c>
      <c r="C104" s="415" t="s">
        <v>792</v>
      </c>
      <c r="E104" s="490">
        <f>'WP5'!E189</f>
        <v>720</v>
      </c>
      <c r="F104" s="491">
        <f t="shared" si="4"/>
        <v>13.636363636363635</v>
      </c>
      <c r="G104" s="490"/>
      <c r="H104" s="1975">
        <f t="shared" si="3"/>
        <v>90</v>
      </c>
      <c r="I104" s="1975">
        <f t="shared" si="5"/>
        <v>0</v>
      </c>
    </row>
    <row r="105" spans="1:9" x14ac:dyDescent="0.2">
      <c r="A105" s="415"/>
      <c r="B105" s="414" t="s">
        <v>282</v>
      </c>
      <c r="C105" s="415" t="s">
        <v>793</v>
      </c>
      <c r="E105" s="490">
        <f>'WP1'!E211</f>
        <v>80</v>
      </c>
      <c r="F105" s="491">
        <f t="shared" si="4"/>
        <v>1.5151515151515151</v>
      </c>
      <c r="G105" s="490">
        <f>SUM(E102:E105)</f>
        <v>1736</v>
      </c>
      <c r="H105" s="1975">
        <f t="shared" si="3"/>
        <v>10</v>
      </c>
      <c r="I105" s="1975">
        <f t="shared" si="5"/>
        <v>217</v>
      </c>
    </row>
    <row r="106" spans="1:9" x14ac:dyDescent="0.2">
      <c r="A106" s="420" t="s">
        <v>946</v>
      </c>
      <c r="B106" s="420" t="s">
        <v>283</v>
      </c>
      <c r="C106" s="2063" t="s">
        <v>961</v>
      </c>
      <c r="E106" s="1976">
        <f>'WP1'!E213+'WP3'!E198</f>
        <v>232</v>
      </c>
      <c r="F106" s="1977">
        <f t="shared" si="4"/>
        <v>4.3939393939393936</v>
      </c>
      <c r="G106" s="1976"/>
      <c r="H106" s="1978">
        <f t="shared" si="3"/>
        <v>29</v>
      </c>
      <c r="I106" s="1978">
        <f t="shared" si="5"/>
        <v>0</v>
      </c>
    </row>
    <row r="107" spans="1:9" x14ac:dyDescent="0.2">
      <c r="A107" s="421"/>
      <c r="B107" s="420" t="s">
        <v>284</v>
      </c>
      <c r="C107" s="2063" t="s">
        <v>962</v>
      </c>
      <c r="E107" s="1976">
        <f>'WP2'!E163+'WP6'!E137</f>
        <v>160</v>
      </c>
      <c r="F107" s="1977">
        <f t="shared" si="4"/>
        <v>3.0303030303030303</v>
      </c>
      <c r="G107" s="1976"/>
      <c r="H107" s="1978">
        <f t="shared" si="3"/>
        <v>20</v>
      </c>
      <c r="I107" s="1978">
        <f t="shared" si="5"/>
        <v>0</v>
      </c>
    </row>
    <row r="108" spans="1:9" x14ac:dyDescent="0.2">
      <c r="A108" s="421"/>
      <c r="B108" s="420" t="s">
        <v>285</v>
      </c>
      <c r="C108" s="2065" t="s">
        <v>963</v>
      </c>
      <c r="E108" s="1976">
        <f>'WP4'!E162+'WP5'!E193</f>
        <v>544</v>
      </c>
      <c r="F108" s="1977">
        <f t="shared" si="4"/>
        <v>10.303030303030303</v>
      </c>
      <c r="G108" s="1976"/>
      <c r="H108" s="1978">
        <f t="shared" si="3"/>
        <v>68</v>
      </c>
      <c r="I108" s="1978">
        <f t="shared" si="5"/>
        <v>0</v>
      </c>
    </row>
    <row r="109" spans="1:9" x14ac:dyDescent="0.2">
      <c r="A109" s="421"/>
      <c r="B109" s="420" t="s">
        <v>286</v>
      </c>
      <c r="C109" s="2065" t="s">
        <v>964</v>
      </c>
      <c r="E109" s="1976">
        <f>'WP1'!E215+'WP5'!E196</f>
        <v>800</v>
      </c>
      <c r="F109" s="1977">
        <f t="shared" si="4"/>
        <v>15.151515151515152</v>
      </c>
      <c r="G109" s="1976">
        <f>SUM(E106:E109)</f>
        <v>1736</v>
      </c>
      <c r="H109" s="1978">
        <f t="shared" si="3"/>
        <v>100</v>
      </c>
      <c r="I109" s="1978">
        <f t="shared" si="5"/>
        <v>217</v>
      </c>
    </row>
    <row r="110" spans="1:9" x14ac:dyDescent="0.2">
      <c r="A110" s="2061" t="s">
        <v>948</v>
      </c>
      <c r="B110" s="425" t="s">
        <v>287</v>
      </c>
      <c r="C110" s="426" t="s">
        <v>956</v>
      </c>
      <c r="E110" s="482">
        <f>'WP1'!E217+'WP2'!E166+'WP3'!E201+'WP4'!E165+'WP5'!E200+'WP6'!E140</f>
        <v>768</v>
      </c>
      <c r="F110" s="483">
        <f t="shared" si="4"/>
        <v>14.545454545454545</v>
      </c>
      <c r="G110" s="482"/>
      <c r="H110" s="1979">
        <f t="shared" si="3"/>
        <v>96</v>
      </c>
      <c r="I110" s="1979">
        <f t="shared" si="5"/>
        <v>0</v>
      </c>
    </row>
    <row r="111" spans="1:9" x14ac:dyDescent="0.2">
      <c r="A111" s="424"/>
      <c r="B111" s="425" t="s">
        <v>288</v>
      </c>
      <c r="C111" s="431"/>
      <c r="E111" s="482"/>
      <c r="F111" s="483">
        <f t="shared" si="4"/>
        <v>0</v>
      </c>
      <c r="G111" s="482"/>
      <c r="H111" s="1979">
        <f t="shared" si="3"/>
        <v>0</v>
      </c>
      <c r="I111" s="1979">
        <f t="shared" si="5"/>
        <v>0</v>
      </c>
    </row>
    <row r="112" spans="1:9" x14ac:dyDescent="0.2">
      <c r="A112" s="424"/>
      <c r="B112" s="425" t="s">
        <v>289</v>
      </c>
      <c r="C112" s="431" t="s">
        <v>957</v>
      </c>
      <c r="E112" s="482">
        <f>'WP3'!E204</f>
        <v>104</v>
      </c>
      <c r="F112" s="483">
        <f t="shared" si="4"/>
        <v>1.9696969696969695</v>
      </c>
      <c r="G112" s="482"/>
      <c r="H112" s="1979">
        <f t="shared" si="3"/>
        <v>13</v>
      </c>
      <c r="I112" s="1979">
        <f t="shared" si="5"/>
        <v>0</v>
      </c>
    </row>
    <row r="113" spans="1:9" x14ac:dyDescent="0.2">
      <c r="A113" s="424"/>
      <c r="B113" s="425" t="s">
        <v>290</v>
      </c>
      <c r="C113" s="424"/>
      <c r="E113" s="482"/>
      <c r="F113" s="483">
        <f t="shared" si="4"/>
        <v>0</v>
      </c>
      <c r="G113" s="482">
        <f>SUM(E110:E113)</f>
        <v>872</v>
      </c>
      <c r="H113" s="1979">
        <f t="shared" si="3"/>
        <v>0</v>
      </c>
      <c r="I113" s="1979">
        <f t="shared" si="5"/>
        <v>109</v>
      </c>
    </row>
    <row r="114" spans="1:9" x14ac:dyDescent="0.2">
      <c r="A114" s="2224" t="s">
        <v>404</v>
      </c>
      <c r="B114" s="407" t="s">
        <v>291</v>
      </c>
      <c r="C114" s="2225" t="s">
        <v>959</v>
      </c>
      <c r="D114" s="2226"/>
      <c r="E114" s="506">
        <f>'WP1'!E219+'WP2'!E169+'WP3'!E207+'WP5'!E204+'WP6'!E143</f>
        <v>856</v>
      </c>
      <c r="F114" s="507">
        <f t="shared" si="4"/>
        <v>16.212121212121211</v>
      </c>
      <c r="G114" s="506"/>
      <c r="H114" s="1949">
        <f t="shared" si="3"/>
        <v>107</v>
      </c>
      <c r="I114" s="1949">
        <f t="shared" si="5"/>
        <v>0</v>
      </c>
    </row>
    <row r="115" spans="1:9" x14ac:dyDescent="0.2">
      <c r="A115" s="2225"/>
      <c r="B115" s="407" t="s">
        <v>292</v>
      </c>
      <c r="C115" s="2225"/>
      <c r="D115" s="2226"/>
      <c r="E115" s="506"/>
      <c r="F115" s="507">
        <f t="shared" si="4"/>
        <v>0</v>
      </c>
      <c r="G115" s="506"/>
      <c r="H115" s="1949">
        <f t="shared" si="3"/>
        <v>0</v>
      </c>
      <c r="I115" s="1949">
        <f t="shared" si="5"/>
        <v>0</v>
      </c>
    </row>
    <row r="116" spans="1:9" x14ac:dyDescent="0.2">
      <c r="A116" s="2225"/>
      <c r="B116" s="407" t="s">
        <v>293</v>
      </c>
      <c r="C116" s="2225" t="s">
        <v>960</v>
      </c>
      <c r="D116" s="2226"/>
      <c r="E116" s="506">
        <f>'WP1'!E221+'WP4'!E168+'WP5'!E207</f>
        <v>880</v>
      </c>
      <c r="F116" s="507">
        <f t="shared" si="4"/>
        <v>16.666666666666664</v>
      </c>
      <c r="G116" s="506"/>
      <c r="H116" s="1949">
        <f t="shared" si="3"/>
        <v>110</v>
      </c>
      <c r="I116" s="1949">
        <f t="shared" si="5"/>
        <v>0</v>
      </c>
    </row>
    <row r="117" spans="1:9" x14ac:dyDescent="0.2">
      <c r="A117" s="2225"/>
      <c r="B117" s="407" t="s">
        <v>294</v>
      </c>
      <c r="C117" s="2225"/>
      <c r="D117" s="2226"/>
      <c r="E117" s="506"/>
      <c r="F117" s="507">
        <f t="shared" si="4"/>
        <v>0</v>
      </c>
      <c r="G117" s="506">
        <f>SUM(E114:E117)</f>
        <v>1736</v>
      </c>
      <c r="H117" s="1949">
        <f t="shared" si="3"/>
        <v>0</v>
      </c>
      <c r="I117" s="1949">
        <f t="shared" si="5"/>
        <v>217</v>
      </c>
    </row>
    <row r="118" spans="1:9" x14ac:dyDescent="0.2">
      <c r="A118" s="747" t="s">
        <v>405</v>
      </c>
      <c r="B118" s="747" t="s">
        <v>295</v>
      </c>
      <c r="C118" s="748"/>
      <c r="E118" s="488"/>
      <c r="F118" s="489">
        <f t="shared" si="4"/>
        <v>0</v>
      </c>
      <c r="G118" s="488"/>
      <c r="H118" s="1956">
        <f t="shared" si="3"/>
        <v>0</v>
      </c>
      <c r="I118" s="1956">
        <f t="shared" si="5"/>
        <v>0</v>
      </c>
    </row>
    <row r="119" spans="1:9" x14ac:dyDescent="0.2">
      <c r="A119" s="748"/>
      <c r="B119" s="747" t="s">
        <v>296</v>
      </c>
      <c r="C119" s="748"/>
      <c r="E119" s="488"/>
      <c r="F119" s="489">
        <f t="shared" si="4"/>
        <v>0</v>
      </c>
      <c r="G119" s="488"/>
      <c r="H119" s="1956">
        <f t="shared" si="3"/>
        <v>0</v>
      </c>
      <c r="I119" s="1956">
        <f t="shared" si="5"/>
        <v>0</v>
      </c>
    </row>
    <row r="120" spans="1:9" x14ac:dyDescent="0.2">
      <c r="A120" s="748"/>
      <c r="B120" s="747" t="s">
        <v>297</v>
      </c>
      <c r="C120" s="748"/>
      <c r="E120" s="488"/>
      <c r="F120" s="489">
        <f t="shared" si="4"/>
        <v>0</v>
      </c>
      <c r="G120" s="488"/>
      <c r="H120" s="1956">
        <f t="shared" si="3"/>
        <v>0</v>
      </c>
      <c r="I120" s="1956">
        <f t="shared" si="5"/>
        <v>0</v>
      </c>
    </row>
    <row r="121" spans="1:9" x14ac:dyDescent="0.2">
      <c r="A121" s="748"/>
      <c r="B121" s="747" t="s">
        <v>298</v>
      </c>
      <c r="C121" s="748"/>
      <c r="E121" s="488"/>
      <c r="F121" s="489">
        <f t="shared" si="4"/>
        <v>0</v>
      </c>
      <c r="G121" s="488">
        <f>SUM(E118:E121)</f>
        <v>0</v>
      </c>
      <c r="H121" s="1956">
        <f t="shared" si="3"/>
        <v>0</v>
      </c>
      <c r="I121" s="1956">
        <f t="shared" si="5"/>
        <v>0</v>
      </c>
    </row>
    <row r="122" spans="1:9" x14ac:dyDescent="0.2">
      <c r="A122" s="440" t="s">
        <v>406</v>
      </c>
      <c r="B122" s="432" t="s">
        <v>299</v>
      </c>
      <c r="C122" s="434"/>
      <c r="E122" s="509"/>
      <c r="F122" s="510">
        <f t="shared" si="4"/>
        <v>0</v>
      </c>
      <c r="G122" s="509"/>
      <c r="H122" s="1980">
        <f t="shared" si="3"/>
        <v>0</v>
      </c>
      <c r="I122" s="1980">
        <f t="shared" si="5"/>
        <v>0</v>
      </c>
    </row>
    <row r="123" spans="1:9" x14ac:dyDescent="0.2">
      <c r="A123" s="433"/>
      <c r="B123" s="432" t="s">
        <v>300</v>
      </c>
      <c r="C123" s="434"/>
      <c r="E123" s="509"/>
      <c r="F123" s="510">
        <f t="shared" si="4"/>
        <v>0</v>
      </c>
      <c r="G123" s="509"/>
      <c r="H123" s="1980">
        <f t="shared" si="3"/>
        <v>0</v>
      </c>
      <c r="I123" s="1980">
        <f t="shared" si="5"/>
        <v>0</v>
      </c>
    </row>
    <row r="124" spans="1:9" x14ac:dyDescent="0.2">
      <c r="A124" s="433"/>
      <c r="B124" s="432" t="s">
        <v>301</v>
      </c>
      <c r="C124" s="434"/>
      <c r="E124" s="509"/>
      <c r="F124" s="510">
        <f t="shared" si="4"/>
        <v>0</v>
      </c>
      <c r="G124" s="509"/>
      <c r="H124" s="1980">
        <f t="shared" si="3"/>
        <v>0</v>
      </c>
      <c r="I124" s="1980">
        <f t="shared" si="5"/>
        <v>0</v>
      </c>
    </row>
    <row r="125" spans="1:9" x14ac:dyDescent="0.2">
      <c r="A125" s="435"/>
      <c r="B125" s="432" t="s">
        <v>302</v>
      </c>
      <c r="C125" s="434"/>
      <c r="E125" s="509"/>
      <c r="F125" s="510">
        <f t="shared" si="4"/>
        <v>0</v>
      </c>
      <c r="G125" s="509">
        <f>SUM(E122:E125)</f>
        <v>0</v>
      </c>
      <c r="H125" s="1980">
        <f t="shared" si="3"/>
        <v>0</v>
      </c>
      <c r="I125" s="1980">
        <f t="shared" si="5"/>
        <v>0</v>
      </c>
    </row>
    <row r="126" spans="1:9" x14ac:dyDescent="0.2">
      <c r="A126" s="749" t="s">
        <v>205</v>
      </c>
      <c r="B126" s="749" t="s">
        <v>303</v>
      </c>
      <c r="C126" s="750"/>
      <c r="E126" s="1981"/>
      <c r="F126" s="1982">
        <f t="shared" si="4"/>
        <v>0</v>
      </c>
      <c r="G126" s="1981"/>
      <c r="H126" s="1983">
        <f t="shared" si="3"/>
        <v>0</v>
      </c>
      <c r="I126" s="1983">
        <f t="shared" si="5"/>
        <v>0</v>
      </c>
    </row>
    <row r="127" spans="1:9" x14ac:dyDescent="0.2">
      <c r="A127" s="750"/>
      <c r="B127" s="749" t="s">
        <v>304</v>
      </c>
      <c r="C127" s="750"/>
      <c r="E127" s="1981"/>
      <c r="F127" s="1982">
        <f t="shared" si="4"/>
        <v>0</v>
      </c>
      <c r="G127" s="1981"/>
      <c r="H127" s="1983">
        <f t="shared" si="3"/>
        <v>0</v>
      </c>
      <c r="I127" s="1983">
        <f t="shared" si="5"/>
        <v>0</v>
      </c>
    </row>
    <row r="128" spans="1:9" x14ac:dyDescent="0.2">
      <c r="A128" s="750"/>
      <c r="B128" s="749" t="s">
        <v>305</v>
      </c>
      <c r="C128" s="750"/>
      <c r="E128" s="1981"/>
      <c r="F128" s="1982">
        <f t="shared" si="4"/>
        <v>0</v>
      </c>
      <c r="G128" s="1981"/>
      <c r="H128" s="1983">
        <f t="shared" si="3"/>
        <v>0</v>
      </c>
      <c r="I128" s="1983">
        <f t="shared" si="5"/>
        <v>0</v>
      </c>
    </row>
    <row r="129" spans="1:9" ht="13.5" thickBot="1" x14ac:dyDescent="0.25">
      <c r="A129" s="2021"/>
      <c r="B129" s="2022" t="s">
        <v>306</v>
      </c>
      <c r="C129" s="2021"/>
      <c r="E129" s="2023"/>
      <c r="F129" s="2024">
        <f t="shared" si="4"/>
        <v>0</v>
      </c>
      <c r="G129" s="2023">
        <f>SUM(E126:E129)</f>
        <v>0</v>
      </c>
      <c r="H129" s="2025">
        <f t="shared" si="3"/>
        <v>0</v>
      </c>
      <c r="I129" s="2025">
        <f t="shared" si="5"/>
        <v>0</v>
      </c>
    </row>
    <row r="130" spans="1:9" ht="13.5" thickBot="1" x14ac:dyDescent="0.25">
      <c r="A130" s="2026" t="s">
        <v>889</v>
      </c>
      <c r="B130" s="2027"/>
      <c r="C130" s="2027"/>
      <c r="D130" s="2027"/>
      <c r="E130" s="2028"/>
      <c r="F130" s="2029"/>
      <c r="G130" s="2028">
        <f>SUM(G8:G129)</f>
        <v>81588</v>
      </c>
      <c r="H130" s="2027"/>
      <c r="I130" s="2030">
        <f>SUM(I8:I129)</f>
        <v>10198.5</v>
      </c>
    </row>
  </sheetData>
  <sheetProtection password="A72F" sheet="1" objects="1" scenarios="1"/>
  <pageMargins left="0.5" right="0.45" top="0.36" bottom="1" header="0.32"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btnSetSummary4_Click">
                <anchor moveWithCells="1" sizeWithCells="1">
                  <from>
                    <xdr:col>3</xdr:col>
                    <xdr:colOff>0</xdr:colOff>
                    <xdr:row>0</xdr:row>
                    <xdr:rowOff>38100</xdr:rowOff>
                  </from>
                  <to>
                    <xdr:col>4</xdr:col>
                    <xdr:colOff>257175</xdr:colOff>
                    <xdr:row>1</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J32" sqref="J32"/>
    </sheetView>
  </sheetViews>
  <sheetFormatPr defaultColWidth="9.140625" defaultRowHeight="12.75" x14ac:dyDescent="0.2"/>
  <cols>
    <col min="1" max="256" width="11.42578125" customWidth="1"/>
  </cols>
  <sheetData/>
  <dataValidations count="1">
    <dataValidation type="list" allowBlank="1" showInputMessage="1" showErrorMessage="1" error="This name is not cecognized" sqref="A1">
      <formula1>partners_list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9.140625" defaultRowHeight="12.75" x14ac:dyDescent="0.2"/>
  <cols>
    <col min="1" max="16384" width="9.140625" style="443"/>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1"/>
  <sheetViews>
    <sheetView topLeftCell="A4" workbookViewId="0">
      <selection activeCell="C31" sqref="C31"/>
    </sheetView>
  </sheetViews>
  <sheetFormatPr defaultColWidth="9.140625" defaultRowHeight="12.75" x14ac:dyDescent="0.2"/>
  <cols>
    <col min="1" max="1" width="20" style="443" bestFit="1" customWidth="1"/>
    <col min="2" max="256" width="9.140625" style="443"/>
    <col min="257" max="257" width="20" style="443" bestFit="1" customWidth="1"/>
    <col min="258" max="512" width="9.140625" style="443"/>
    <col min="513" max="513" width="20" style="443" bestFit="1" customWidth="1"/>
    <col min="514" max="768" width="9.140625" style="443"/>
    <col min="769" max="769" width="20" style="443" bestFit="1" customWidth="1"/>
    <col min="770" max="1024" width="9.140625" style="443"/>
    <col min="1025" max="1025" width="20" style="443" bestFit="1" customWidth="1"/>
    <col min="1026" max="1280" width="9.140625" style="443"/>
    <col min="1281" max="1281" width="20" style="443" bestFit="1" customWidth="1"/>
    <col min="1282" max="1536" width="9.140625" style="443"/>
    <col min="1537" max="1537" width="20" style="443" bestFit="1" customWidth="1"/>
    <col min="1538" max="1792" width="9.140625" style="443"/>
    <col min="1793" max="1793" width="20" style="443" bestFit="1" customWidth="1"/>
    <col min="1794" max="2048" width="9.140625" style="443"/>
    <col min="2049" max="2049" width="20" style="443" bestFit="1" customWidth="1"/>
    <col min="2050" max="2304" width="9.140625" style="443"/>
    <col min="2305" max="2305" width="20" style="443" bestFit="1" customWidth="1"/>
    <col min="2306" max="2560" width="9.140625" style="443"/>
    <col min="2561" max="2561" width="20" style="443" bestFit="1" customWidth="1"/>
    <col min="2562" max="2816" width="9.140625" style="443"/>
    <col min="2817" max="2817" width="20" style="443" bestFit="1" customWidth="1"/>
    <col min="2818" max="3072" width="9.140625" style="443"/>
    <col min="3073" max="3073" width="20" style="443" bestFit="1" customWidth="1"/>
    <col min="3074" max="3328" width="9.140625" style="443"/>
    <col min="3329" max="3329" width="20" style="443" bestFit="1" customWidth="1"/>
    <col min="3330" max="3584" width="9.140625" style="443"/>
    <col min="3585" max="3585" width="20" style="443" bestFit="1" customWidth="1"/>
    <col min="3586" max="3840" width="9.140625" style="443"/>
    <col min="3841" max="3841" width="20" style="443" bestFit="1" customWidth="1"/>
    <col min="3842" max="4096" width="9.140625" style="443"/>
    <col min="4097" max="4097" width="20" style="443" bestFit="1" customWidth="1"/>
    <col min="4098" max="4352" width="9.140625" style="443"/>
    <col min="4353" max="4353" width="20" style="443" bestFit="1" customWidth="1"/>
    <col min="4354" max="4608" width="9.140625" style="443"/>
    <col min="4609" max="4609" width="20" style="443" bestFit="1" customWidth="1"/>
    <col min="4610" max="4864" width="9.140625" style="443"/>
    <col min="4865" max="4865" width="20" style="443" bestFit="1" customWidth="1"/>
    <col min="4866" max="5120" width="9.140625" style="443"/>
    <col min="5121" max="5121" width="20" style="443" bestFit="1" customWidth="1"/>
    <col min="5122" max="5376" width="9.140625" style="443"/>
    <col min="5377" max="5377" width="20" style="443" bestFit="1" customWidth="1"/>
    <col min="5378" max="5632" width="9.140625" style="443"/>
    <col min="5633" max="5633" width="20" style="443" bestFit="1" customWidth="1"/>
    <col min="5634" max="5888" width="9.140625" style="443"/>
    <col min="5889" max="5889" width="20" style="443" bestFit="1" customWidth="1"/>
    <col min="5890" max="6144" width="9.140625" style="443"/>
    <col min="6145" max="6145" width="20" style="443" bestFit="1" customWidth="1"/>
    <col min="6146" max="6400" width="9.140625" style="443"/>
    <col min="6401" max="6401" width="20" style="443" bestFit="1" customWidth="1"/>
    <col min="6402" max="6656" width="9.140625" style="443"/>
    <col min="6657" max="6657" width="20" style="443" bestFit="1" customWidth="1"/>
    <col min="6658" max="6912" width="9.140625" style="443"/>
    <col min="6913" max="6913" width="20" style="443" bestFit="1" customWidth="1"/>
    <col min="6914" max="7168" width="9.140625" style="443"/>
    <col min="7169" max="7169" width="20" style="443" bestFit="1" customWidth="1"/>
    <col min="7170" max="7424" width="9.140625" style="443"/>
    <col min="7425" max="7425" width="20" style="443" bestFit="1" customWidth="1"/>
    <col min="7426" max="7680" width="9.140625" style="443"/>
    <col min="7681" max="7681" width="20" style="443" bestFit="1" customWidth="1"/>
    <col min="7682" max="7936" width="9.140625" style="443"/>
    <col min="7937" max="7937" width="20" style="443" bestFit="1" customWidth="1"/>
    <col min="7938" max="8192" width="9.140625" style="443"/>
    <col min="8193" max="8193" width="20" style="443" bestFit="1" customWidth="1"/>
    <col min="8194" max="8448" width="9.140625" style="443"/>
    <col min="8449" max="8449" width="20" style="443" bestFit="1" customWidth="1"/>
    <col min="8450" max="8704" width="9.140625" style="443"/>
    <col min="8705" max="8705" width="20" style="443" bestFit="1" customWidth="1"/>
    <col min="8706" max="8960" width="9.140625" style="443"/>
    <col min="8961" max="8961" width="20" style="443" bestFit="1" customWidth="1"/>
    <col min="8962" max="9216" width="9.140625" style="443"/>
    <col min="9217" max="9217" width="20" style="443" bestFit="1" customWidth="1"/>
    <col min="9218" max="9472" width="9.140625" style="443"/>
    <col min="9473" max="9473" width="20" style="443" bestFit="1" customWidth="1"/>
    <col min="9474" max="9728" width="9.140625" style="443"/>
    <col min="9729" max="9729" width="20" style="443" bestFit="1" customWidth="1"/>
    <col min="9730" max="9984" width="9.140625" style="443"/>
    <col min="9985" max="9985" width="20" style="443" bestFit="1" customWidth="1"/>
    <col min="9986" max="10240" width="9.140625" style="443"/>
    <col min="10241" max="10241" width="20" style="443" bestFit="1" customWidth="1"/>
    <col min="10242" max="10496" width="9.140625" style="443"/>
    <col min="10497" max="10497" width="20" style="443" bestFit="1" customWidth="1"/>
    <col min="10498" max="10752" width="9.140625" style="443"/>
    <col min="10753" max="10753" width="20" style="443" bestFit="1" customWidth="1"/>
    <col min="10754" max="11008" width="9.140625" style="443"/>
    <col min="11009" max="11009" width="20" style="443" bestFit="1" customWidth="1"/>
    <col min="11010" max="11264" width="9.140625" style="443"/>
    <col min="11265" max="11265" width="20" style="443" bestFit="1" customWidth="1"/>
    <col min="11266" max="11520" width="9.140625" style="443"/>
    <col min="11521" max="11521" width="20" style="443" bestFit="1" customWidth="1"/>
    <col min="11522" max="11776" width="9.140625" style="443"/>
    <col min="11777" max="11777" width="20" style="443" bestFit="1" customWidth="1"/>
    <col min="11778" max="12032" width="9.140625" style="443"/>
    <col min="12033" max="12033" width="20" style="443" bestFit="1" customWidth="1"/>
    <col min="12034" max="12288" width="9.140625" style="443"/>
    <col min="12289" max="12289" width="20" style="443" bestFit="1" customWidth="1"/>
    <col min="12290" max="12544" width="9.140625" style="443"/>
    <col min="12545" max="12545" width="20" style="443" bestFit="1" customWidth="1"/>
    <col min="12546" max="12800" width="9.140625" style="443"/>
    <col min="12801" max="12801" width="20" style="443" bestFit="1" customWidth="1"/>
    <col min="12802" max="13056" width="9.140625" style="443"/>
    <col min="13057" max="13057" width="20" style="443" bestFit="1" customWidth="1"/>
    <col min="13058" max="13312" width="9.140625" style="443"/>
    <col min="13313" max="13313" width="20" style="443" bestFit="1" customWidth="1"/>
    <col min="13314" max="13568" width="9.140625" style="443"/>
    <col min="13569" max="13569" width="20" style="443" bestFit="1" customWidth="1"/>
    <col min="13570" max="13824" width="9.140625" style="443"/>
    <col min="13825" max="13825" width="20" style="443" bestFit="1" customWidth="1"/>
    <col min="13826" max="14080" width="9.140625" style="443"/>
    <col min="14081" max="14081" width="20" style="443" bestFit="1" customWidth="1"/>
    <col min="14082" max="14336" width="9.140625" style="443"/>
    <col min="14337" max="14337" width="20" style="443" bestFit="1" customWidth="1"/>
    <col min="14338" max="14592" width="9.140625" style="443"/>
    <col min="14593" max="14593" width="20" style="443" bestFit="1" customWidth="1"/>
    <col min="14594" max="14848" width="9.140625" style="443"/>
    <col min="14849" max="14849" width="20" style="443" bestFit="1" customWidth="1"/>
    <col min="14850" max="15104" width="9.140625" style="443"/>
    <col min="15105" max="15105" width="20" style="443" bestFit="1" customWidth="1"/>
    <col min="15106" max="15360" width="9.140625" style="443"/>
    <col min="15361" max="15361" width="20" style="443" bestFit="1" customWidth="1"/>
    <col min="15362" max="15616" width="9.140625" style="443"/>
    <col min="15617" max="15617" width="20" style="443" bestFit="1" customWidth="1"/>
    <col min="15618" max="15872" width="9.140625" style="443"/>
    <col min="15873" max="15873" width="20" style="443" bestFit="1" customWidth="1"/>
    <col min="15874" max="16128" width="9.140625" style="443"/>
    <col min="16129" max="16129" width="20" style="443" bestFit="1" customWidth="1"/>
    <col min="16130" max="16384" width="9.140625" style="443"/>
  </cols>
  <sheetData>
    <row r="1" spans="1:1" x14ac:dyDescent="0.2">
      <c r="A1" s="442" t="s">
        <v>202</v>
      </c>
    </row>
    <row r="2" spans="1:1" x14ac:dyDescent="0.2">
      <c r="A2" s="443" t="s">
        <v>107</v>
      </c>
    </row>
    <row r="3" spans="1:1" x14ac:dyDescent="0.2">
      <c r="A3" s="443" t="s">
        <v>203</v>
      </c>
    </row>
    <row r="4" spans="1:1" x14ac:dyDescent="0.2">
      <c r="A4" s="443" t="s">
        <v>204</v>
      </c>
    </row>
    <row r="5" spans="1:1" x14ac:dyDescent="0.2">
      <c r="A5" s="443" t="s">
        <v>308</v>
      </c>
    </row>
    <row r="6" spans="1:1" x14ac:dyDescent="0.2">
      <c r="A6" s="443" t="s">
        <v>309</v>
      </c>
    </row>
    <row r="7" spans="1:1" x14ac:dyDescent="0.2">
      <c r="A7" s="443" t="s">
        <v>310</v>
      </c>
    </row>
    <row r="8" spans="1:1" x14ac:dyDescent="0.2">
      <c r="A8" s="443" t="s">
        <v>311</v>
      </c>
    </row>
    <row r="9" spans="1:1" x14ac:dyDescent="0.2">
      <c r="A9" s="443" t="s">
        <v>407</v>
      </c>
    </row>
    <row r="10" spans="1:1" x14ac:dyDescent="0.2">
      <c r="A10" s="443" t="s">
        <v>408</v>
      </c>
    </row>
    <row r="11" spans="1:1" x14ac:dyDescent="0.2">
      <c r="A11" s="443" t="s">
        <v>409</v>
      </c>
    </row>
    <row r="12" spans="1:1" x14ac:dyDescent="0.2">
      <c r="A12" s="443" t="s">
        <v>410</v>
      </c>
    </row>
    <row r="13" spans="1:1" x14ac:dyDescent="0.2">
      <c r="A13" s="443" t="s">
        <v>411</v>
      </c>
    </row>
    <row r="14" spans="1:1" x14ac:dyDescent="0.2">
      <c r="A14" s="443" t="s">
        <v>412</v>
      </c>
    </row>
    <row r="15" spans="1:1" x14ac:dyDescent="0.2">
      <c r="A15" s="443" t="s">
        <v>413</v>
      </c>
    </row>
    <row r="16" spans="1:1" x14ac:dyDescent="0.2">
      <c r="A16" s="443" t="s">
        <v>414</v>
      </c>
    </row>
    <row r="17" spans="1:1" x14ac:dyDescent="0.2">
      <c r="A17" s="443" t="s">
        <v>415</v>
      </c>
    </row>
    <row r="18" spans="1:1" x14ac:dyDescent="0.2">
      <c r="A18" s="443" t="s">
        <v>416</v>
      </c>
    </row>
    <row r="19" spans="1:1" x14ac:dyDescent="0.2">
      <c r="A19" s="443" t="s">
        <v>417</v>
      </c>
    </row>
    <row r="20" spans="1:1" x14ac:dyDescent="0.2">
      <c r="A20" s="443" t="s">
        <v>418</v>
      </c>
    </row>
    <row r="21" spans="1:1" x14ac:dyDescent="0.2">
      <c r="A21" s="443" t="s">
        <v>419</v>
      </c>
    </row>
    <row r="22" spans="1:1" x14ac:dyDescent="0.2">
      <c r="A22" s="443" t="s">
        <v>420</v>
      </c>
    </row>
    <row r="23" spans="1:1" x14ac:dyDescent="0.2">
      <c r="A23" s="443" t="s">
        <v>949</v>
      </c>
    </row>
    <row r="24" spans="1:1" x14ac:dyDescent="0.2">
      <c r="A24" s="443" t="s">
        <v>421</v>
      </c>
    </row>
    <row r="25" spans="1:1" x14ac:dyDescent="0.2">
      <c r="A25" s="443" t="s">
        <v>422</v>
      </c>
    </row>
    <row r="26" spans="1:1" x14ac:dyDescent="0.2">
      <c r="A26" s="443" t="s">
        <v>950</v>
      </c>
    </row>
    <row r="27" spans="1:1" x14ac:dyDescent="0.2">
      <c r="A27" s="443" t="s">
        <v>951</v>
      </c>
    </row>
    <row r="28" spans="1:1" x14ac:dyDescent="0.2">
      <c r="A28" s="443" t="s">
        <v>952</v>
      </c>
    </row>
    <row r="29" spans="1:1" x14ac:dyDescent="0.2">
      <c r="A29" s="443" t="s">
        <v>423</v>
      </c>
    </row>
    <row r="30" spans="1:1" x14ac:dyDescent="0.2">
      <c r="A30" s="443" t="s">
        <v>424</v>
      </c>
    </row>
    <row r="31" spans="1:1" x14ac:dyDescent="0.2">
      <c r="A31" s="443" t="s">
        <v>206</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M116"/>
  <sheetViews>
    <sheetView tabSelected="1" zoomScale="115" zoomScaleNormal="115" workbookViewId="0">
      <selection activeCell="D3" sqref="D3"/>
    </sheetView>
  </sheetViews>
  <sheetFormatPr defaultColWidth="9.140625" defaultRowHeight="12.75" x14ac:dyDescent="0.2"/>
  <cols>
    <col min="1" max="1" width="5.42578125" style="105" customWidth="1"/>
    <col min="2" max="2" width="15.85546875" style="105" customWidth="1"/>
    <col min="3" max="3" width="23" style="105" customWidth="1"/>
    <col min="4" max="4" width="21.7109375" style="105" customWidth="1"/>
    <col min="5" max="5" width="12.28515625" style="109" customWidth="1"/>
    <col min="6" max="6" width="10.7109375" style="105" customWidth="1"/>
    <col min="7" max="7" width="9.85546875" style="105" customWidth="1"/>
    <col min="8" max="8" width="9.28515625" style="156" bestFit="1" customWidth="1"/>
    <col min="9" max="9" width="11.42578125" style="2458" customWidth="1"/>
    <col min="10" max="254" width="11.42578125" customWidth="1"/>
  </cols>
  <sheetData>
    <row r="1" spans="1:13" ht="18" x14ac:dyDescent="0.25">
      <c r="A1" s="38"/>
      <c r="B1" s="35" t="s">
        <v>28</v>
      </c>
      <c r="C1" s="35"/>
      <c r="M1" s="67" t="s">
        <v>334</v>
      </c>
    </row>
    <row r="2" spans="1:13" s="49" customFormat="1" ht="37.5" customHeight="1" x14ac:dyDescent="0.2">
      <c r="A2" s="48"/>
      <c r="B2" s="48" t="s">
        <v>0</v>
      </c>
      <c r="C2" s="48" t="s">
        <v>29</v>
      </c>
      <c r="D2" s="48" t="s">
        <v>157</v>
      </c>
      <c r="E2" s="158" t="s">
        <v>30</v>
      </c>
      <c r="F2" s="48" t="s">
        <v>312</v>
      </c>
      <c r="G2" s="48" t="s">
        <v>31</v>
      </c>
      <c r="H2" s="157" t="s">
        <v>33</v>
      </c>
      <c r="I2" s="2506"/>
      <c r="J2" s="342" t="s">
        <v>149</v>
      </c>
    </row>
    <row r="3" spans="1:13" ht="14.1" customHeight="1" x14ac:dyDescent="0.2">
      <c r="A3" s="344" t="s">
        <v>63</v>
      </c>
      <c r="B3" s="344" t="s">
        <v>47</v>
      </c>
      <c r="C3" s="345" t="s">
        <v>150</v>
      </c>
      <c r="D3" s="345" t="s">
        <v>158</v>
      </c>
      <c r="E3" s="346">
        <v>46000</v>
      </c>
      <c r="F3" s="347">
        <f>E3/220</f>
        <v>209.09090909090909</v>
      </c>
      <c r="G3" s="348">
        <f>F3/8</f>
        <v>26.136363636363637</v>
      </c>
      <c r="H3" s="349">
        <v>26</v>
      </c>
      <c r="I3" s="2507"/>
    </row>
    <row r="4" spans="1:13" ht="14.1" customHeight="1" x14ac:dyDescent="0.2">
      <c r="A4" s="344"/>
      <c r="B4" s="344" t="s">
        <v>48</v>
      </c>
      <c r="C4" s="345" t="s">
        <v>155</v>
      </c>
      <c r="D4" s="345" t="s">
        <v>100</v>
      </c>
      <c r="E4" s="346">
        <v>51000</v>
      </c>
      <c r="F4" s="347">
        <f>E4/220</f>
        <v>231.81818181818181</v>
      </c>
      <c r="G4" s="348">
        <f>F4/8</f>
        <v>28.977272727272727</v>
      </c>
      <c r="H4" s="349">
        <v>29</v>
      </c>
    </row>
    <row r="5" spans="1:13" ht="14.1" customHeight="1" x14ac:dyDescent="0.2">
      <c r="A5" s="344"/>
      <c r="B5" s="344"/>
      <c r="C5" s="345" t="s">
        <v>156</v>
      </c>
      <c r="D5" s="345" t="s">
        <v>98</v>
      </c>
      <c r="E5" s="346"/>
      <c r="F5" s="350">
        <v>480</v>
      </c>
      <c r="G5" s="348">
        <f>F5/8</f>
        <v>60</v>
      </c>
      <c r="H5" s="349">
        <v>60</v>
      </c>
      <c r="I5" s="2507"/>
    </row>
    <row r="6" spans="1:13" ht="14.1" customHeight="1" x14ac:dyDescent="0.2">
      <c r="A6" s="344"/>
      <c r="B6" s="344"/>
      <c r="C6" s="345" t="s">
        <v>160</v>
      </c>
      <c r="D6" s="345" t="s">
        <v>161</v>
      </c>
      <c r="E6" s="346">
        <v>45000</v>
      </c>
      <c r="F6" s="347">
        <f>E6/220</f>
        <v>204.54545454545453</v>
      </c>
      <c r="G6" s="348">
        <f>F6/8</f>
        <v>25.568181818181817</v>
      </c>
      <c r="H6" s="349">
        <v>26</v>
      </c>
      <c r="J6" s="441"/>
      <c r="L6" s="436"/>
    </row>
    <row r="7" spans="1:13" ht="14.1" customHeight="1" x14ac:dyDescent="0.2">
      <c r="A7" s="344"/>
      <c r="B7" s="344"/>
      <c r="C7" s="345" t="s">
        <v>159</v>
      </c>
      <c r="D7" s="345" t="s">
        <v>162</v>
      </c>
      <c r="E7" s="351"/>
      <c r="F7" s="352">
        <v>420</v>
      </c>
      <c r="G7" s="348">
        <f>F7/8</f>
        <v>52.5</v>
      </c>
      <c r="H7" s="353">
        <v>52</v>
      </c>
      <c r="I7" s="2507"/>
      <c r="J7" s="441"/>
      <c r="L7" s="436"/>
    </row>
    <row r="8" spans="1:13" ht="14.1" customHeight="1" x14ac:dyDescent="0.2">
      <c r="A8" s="356" t="s">
        <v>51</v>
      </c>
      <c r="B8" s="357" t="s">
        <v>175</v>
      </c>
      <c r="C8" s="357" t="s">
        <v>151</v>
      </c>
      <c r="D8" s="357" t="s">
        <v>178</v>
      </c>
      <c r="E8" s="358">
        <v>51000</v>
      </c>
      <c r="F8" s="359">
        <f t="shared" ref="F8:F15" si="0">E8/220</f>
        <v>231.81818181818181</v>
      </c>
      <c r="G8" s="360">
        <f t="shared" ref="G8:G15" si="1">F8/8</f>
        <v>28.977272727272727</v>
      </c>
      <c r="H8" s="361">
        <v>29</v>
      </c>
      <c r="I8" s="2507"/>
      <c r="L8" s="436"/>
    </row>
    <row r="9" spans="1:13" ht="14.1" customHeight="1" x14ac:dyDescent="0.2">
      <c r="A9" s="356"/>
      <c r="B9" s="356"/>
      <c r="C9" s="357" t="s">
        <v>152</v>
      </c>
      <c r="D9" s="357" t="s">
        <v>179</v>
      </c>
      <c r="E9" s="358">
        <v>51000</v>
      </c>
      <c r="F9" s="359">
        <f t="shared" si="0"/>
        <v>231.81818181818181</v>
      </c>
      <c r="G9" s="360">
        <f t="shared" si="1"/>
        <v>28.977272727272727</v>
      </c>
      <c r="H9" s="361">
        <v>29</v>
      </c>
      <c r="L9" s="436"/>
    </row>
    <row r="10" spans="1:13" ht="14.1" customHeight="1" x14ac:dyDescent="0.2">
      <c r="A10" s="356"/>
      <c r="B10" s="356"/>
      <c r="C10" s="357" t="s">
        <v>153</v>
      </c>
      <c r="D10" s="357"/>
      <c r="E10" s="358">
        <v>36000</v>
      </c>
      <c r="F10" s="359">
        <f t="shared" si="0"/>
        <v>163.63636363636363</v>
      </c>
      <c r="G10" s="360">
        <f t="shared" si="1"/>
        <v>20.454545454545453</v>
      </c>
      <c r="H10" s="361">
        <v>20</v>
      </c>
      <c r="L10" s="436"/>
    </row>
    <row r="11" spans="1:13" ht="14.1" customHeight="1" x14ac:dyDescent="0.2">
      <c r="A11" s="356"/>
      <c r="B11" s="356"/>
      <c r="C11" s="357" t="s">
        <v>154</v>
      </c>
      <c r="D11" s="357" t="s">
        <v>389</v>
      </c>
      <c r="E11" s="358">
        <v>36000</v>
      </c>
      <c r="F11" s="359">
        <f t="shared" si="0"/>
        <v>163.63636363636363</v>
      </c>
      <c r="G11" s="360">
        <f t="shared" si="1"/>
        <v>20.454545454545453</v>
      </c>
      <c r="H11" s="361">
        <v>20</v>
      </c>
      <c r="I11" s="2508"/>
      <c r="L11" s="436"/>
    </row>
    <row r="12" spans="1:13" ht="14.1" customHeight="1" x14ac:dyDescent="0.2">
      <c r="A12" s="362" t="s">
        <v>52</v>
      </c>
      <c r="B12" s="363" t="s">
        <v>176</v>
      </c>
      <c r="C12" s="363" t="s">
        <v>183</v>
      </c>
      <c r="D12" s="363" t="s">
        <v>182</v>
      </c>
      <c r="E12" s="364">
        <v>48000</v>
      </c>
      <c r="F12" s="365">
        <f t="shared" si="0"/>
        <v>218.18181818181819</v>
      </c>
      <c r="G12" s="366">
        <f t="shared" si="1"/>
        <v>27.272727272727273</v>
      </c>
      <c r="H12" s="367">
        <v>27</v>
      </c>
      <c r="I12" s="2507"/>
      <c r="L12" s="436"/>
    </row>
    <row r="13" spans="1:13" ht="14.1" customHeight="1" x14ac:dyDescent="0.2">
      <c r="A13" s="362"/>
      <c r="B13" s="362"/>
      <c r="C13" s="363" t="s">
        <v>184</v>
      </c>
      <c r="D13" s="363" t="s">
        <v>181</v>
      </c>
      <c r="E13" s="364">
        <v>94000</v>
      </c>
      <c r="F13" s="365">
        <f t="shared" si="0"/>
        <v>427.27272727272725</v>
      </c>
      <c r="G13" s="366">
        <f t="shared" si="1"/>
        <v>53.409090909090907</v>
      </c>
      <c r="H13" s="367">
        <v>53</v>
      </c>
      <c r="L13" s="436"/>
    </row>
    <row r="14" spans="1:13" ht="14.1" customHeight="1" x14ac:dyDescent="0.2">
      <c r="A14" s="362"/>
      <c r="B14" s="362"/>
      <c r="C14" s="363" t="s">
        <v>185</v>
      </c>
      <c r="D14" s="363" t="s">
        <v>313</v>
      </c>
      <c r="E14" s="364">
        <v>44000</v>
      </c>
      <c r="F14" s="365">
        <f t="shared" si="0"/>
        <v>200</v>
      </c>
      <c r="G14" s="366">
        <f t="shared" si="1"/>
        <v>25</v>
      </c>
      <c r="H14" s="367">
        <v>25</v>
      </c>
      <c r="I14" s="2508"/>
      <c r="L14" s="436"/>
    </row>
    <row r="15" spans="1:13" ht="14.1" customHeight="1" x14ac:dyDescent="0.2">
      <c r="A15" s="362"/>
      <c r="B15" s="362"/>
      <c r="C15" s="363" t="s">
        <v>186</v>
      </c>
      <c r="D15" s="363" t="s">
        <v>180</v>
      </c>
      <c r="E15" s="364">
        <v>36000</v>
      </c>
      <c r="F15" s="365">
        <f t="shared" si="0"/>
        <v>163.63636363636363</v>
      </c>
      <c r="G15" s="366">
        <f t="shared" si="1"/>
        <v>20.454545454545453</v>
      </c>
      <c r="H15" s="367">
        <v>20</v>
      </c>
      <c r="L15" s="436"/>
    </row>
    <row r="16" spans="1:13" ht="14.1" customHeight="1" x14ac:dyDescent="0.2">
      <c r="A16" s="582" t="s">
        <v>53</v>
      </c>
      <c r="B16" s="583" t="s">
        <v>177</v>
      </c>
      <c r="C16" s="583" t="s">
        <v>187</v>
      </c>
      <c r="D16" s="583" t="s">
        <v>817</v>
      </c>
      <c r="E16" s="584">
        <v>105000</v>
      </c>
      <c r="F16" s="585">
        <f>E16/211</f>
        <v>497.63033175355451</v>
      </c>
      <c r="G16" s="586">
        <f>F16/8</f>
        <v>62.203791469194314</v>
      </c>
      <c r="H16" s="587">
        <v>62</v>
      </c>
      <c r="I16" s="2057"/>
      <c r="L16" s="436"/>
    </row>
    <row r="17" spans="1:12" ht="14.1" customHeight="1" x14ac:dyDescent="0.2">
      <c r="A17" s="582"/>
      <c r="B17" s="582"/>
      <c r="C17" s="583" t="s">
        <v>819</v>
      </c>
      <c r="D17" s="583" t="s">
        <v>821</v>
      </c>
      <c r="E17" s="584">
        <v>60000</v>
      </c>
      <c r="F17" s="585">
        <f>E17/210</f>
        <v>285.71428571428572</v>
      </c>
      <c r="G17" s="586">
        <f>F17/8</f>
        <v>35.714285714285715</v>
      </c>
      <c r="H17" s="587">
        <v>36</v>
      </c>
      <c r="I17" s="2057"/>
      <c r="L17" s="436"/>
    </row>
    <row r="18" spans="1:12" ht="14.1" customHeight="1" x14ac:dyDescent="0.2">
      <c r="A18" s="582"/>
      <c r="B18" s="582"/>
      <c r="C18" s="583" t="s">
        <v>820</v>
      </c>
      <c r="D18" s="583" t="s">
        <v>818</v>
      </c>
      <c r="E18" s="584">
        <v>65000</v>
      </c>
      <c r="F18" s="585">
        <f>E18/210</f>
        <v>309.52380952380952</v>
      </c>
      <c r="G18" s="586">
        <f>F18/8</f>
        <v>38.69047619047619</v>
      </c>
      <c r="H18" s="587">
        <v>39</v>
      </c>
      <c r="I18" s="2057"/>
      <c r="L18" s="436"/>
    </row>
    <row r="19" spans="1:12" ht="14.1" customHeight="1" x14ac:dyDescent="0.2">
      <c r="A19" s="582"/>
      <c r="B19" s="582"/>
      <c r="C19" s="583" t="s">
        <v>188</v>
      </c>
      <c r="D19" s="583" t="s">
        <v>822</v>
      </c>
      <c r="E19" s="584">
        <v>0</v>
      </c>
      <c r="F19" s="585">
        <v>0</v>
      </c>
      <c r="G19" s="586">
        <v>16</v>
      </c>
      <c r="H19" s="587">
        <v>16</v>
      </c>
      <c r="I19" s="2459"/>
      <c r="J19" s="97"/>
      <c r="L19" s="436"/>
    </row>
    <row r="20" spans="1:12" ht="14.1" customHeight="1" x14ac:dyDescent="0.2">
      <c r="A20" s="368" t="s">
        <v>54</v>
      </c>
      <c r="B20" s="369" t="s">
        <v>307</v>
      </c>
      <c r="C20" s="369" t="s">
        <v>189</v>
      </c>
      <c r="D20" s="369" t="s">
        <v>823</v>
      </c>
      <c r="E20" s="370">
        <v>68000</v>
      </c>
      <c r="F20" s="371">
        <f>E20/210</f>
        <v>323.8095238095238</v>
      </c>
      <c r="G20" s="372">
        <f>F20/8</f>
        <v>40.476190476190474</v>
      </c>
      <c r="H20" s="373">
        <v>40</v>
      </c>
      <c r="I20" s="2057"/>
      <c r="L20" s="436"/>
    </row>
    <row r="21" spans="1:12" ht="14.1" customHeight="1" x14ac:dyDescent="0.2">
      <c r="A21" s="374"/>
      <c r="B21" s="374"/>
      <c r="C21" s="369" t="s">
        <v>315</v>
      </c>
      <c r="D21" s="437" t="s">
        <v>319</v>
      </c>
      <c r="E21" s="370"/>
      <c r="F21" s="371">
        <f>E21/210</f>
        <v>0</v>
      </c>
      <c r="G21" s="372">
        <v>75</v>
      </c>
      <c r="H21" s="375">
        <v>75</v>
      </c>
      <c r="I21" s="2057"/>
      <c r="L21" s="436"/>
    </row>
    <row r="22" spans="1:12" ht="14.1" customHeight="1" x14ac:dyDescent="0.2">
      <c r="A22" s="374"/>
      <c r="B22" s="374"/>
      <c r="C22" s="369" t="s">
        <v>824</v>
      </c>
      <c r="D22" s="437" t="s">
        <v>317</v>
      </c>
      <c r="E22" s="370">
        <v>63000</v>
      </c>
      <c r="F22" s="371">
        <f>E22/210</f>
        <v>300</v>
      </c>
      <c r="G22" s="372">
        <f>F22/8</f>
        <v>37.5</v>
      </c>
      <c r="H22" s="375">
        <v>38</v>
      </c>
      <c r="L22" s="436"/>
    </row>
    <row r="23" spans="1:12" ht="14.1" customHeight="1" x14ac:dyDescent="0.2">
      <c r="A23" s="374"/>
      <c r="B23" s="374"/>
      <c r="C23" s="369" t="s">
        <v>825</v>
      </c>
      <c r="D23" s="437" t="s">
        <v>318</v>
      </c>
      <c r="E23" s="370">
        <v>61000</v>
      </c>
      <c r="F23" s="371">
        <f>E23/210</f>
        <v>290.47619047619048</v>
      </c>
      <c r="G23" s="372">
        <f>F23/8</f>
        <v>36.30952380952381</v>
      </c>
      <c r="H23" s="375">
        <v>36</v>
      </c>
      <c r="L23" s="436"/>
    </row>
    <row r="24" spans="1:12" ht="14.1" customHeight="1" x14ac:dyDescent="0.2">
      <c r="A24" s="374"/>
      <c r="B24" s="374"/>
      <c r="C24" s="369" t="s">
        <v>826</v>
      </c>
      <c r="D24" s="437" t="s">
        <v>320</v>
      </c>
      <c r="E24" s="370">
        <v>73000</v>
      </c>
      <c r="F24" s="371">
        <f>E24/210</f>
        <v>347.61904761904759</v>
      </c>
      <c r="G24" s="372">
        <f>F24/8</f>
        <v>43.452380952380949</v>
      </c>
      <c r="H24" s="375">
        <v>43</v>
      </c>
      <c r="L24" s="436"/>
    </row>
    <row r="25" spans="1:12" ht="14.1" customHeight="1" x14ac:dyDescent="0.2">
      <c r="A25" s="377" t="s">
        <v>55</v>
      </c>
      <c r="B25" s="377" t="s">
        <v>105</v>
      </c>
      <c r="C25" s="377" t="s">
        <v>217</v>
      </c>
      <c r="D25" s="377" t="s">
        <v>106</v>
      </c>
      <c r="E25" s="378">
        <v>71000</v>
      </c>
      <c r="F25" s="379">
        <f t="shared" ref="F25:F56" si="2">E25/220</f>
        <v>322.72727272727275</v>
      </c>
      <c r="G25" s="380">
        <f t="shared" ref="G25:G37" si="3">F25/8</f>
        <v>40.340909090909093</v>
      </c>
      <c r="H25" s="381">
        <v>40</v>
      </c>
      <c r="I25" s="2509"/>
      <c r="J25" s="212"/>
      <c r="L25" s="436"/>
    </row>
    <row r="26" spans="1:12" ht="14.1" customHeight="1" x14ac:dyDescent="0.2">
      <c r="A26" s="376"/>
      <c r="B26" s="376"/>
      <c r="C26" s="377" t="s">
        <v>218</v>
      </c>
      <c r="D26" s="377" t="s">
        <v>321</v>
      </c>
      <c r="E26" s="378">
        <v>78000</v>
      </c>
      <c r="F26" s="379">
        <f t="shared" si="2"/>
        <v>354.54545454545456</v>
      </c>
      <c r="G26" s="380">
        <f t="shared" si="3"/>
        <v>44.31818181818182</v>
      </c>
      <c r="H26" s="381">
        <v>44</v>
      </c>
      <c r="L26" s="436"/>
    </row>
    <row r="27" spans="1:12" ht="14.1" customHeight="1" x14ac:dyDescent="0.2">
      <c r="A27" s="376"/>
      <c r="B27" s="376"/>
      <c r="C27" s="377" t="s">
        <v>219</v>
      </c>
      <c r="D27" s="377" t="s">
        <v>813</v>
      </c>
      <c r="E27" s="378">
        <v>56000</v>
      </c>
      <c r="F27" s="379">
        <f t="shared" si="2"/>
        <v>254.54545454545453</v>
      </c>
      <c r="G27" s="380">
        <f t="shared" si="3"/>
        <v>31.818181818181817</v>
      </c>
      <c r="H27" s="381">
        <v>32</v>
      </c>
      <c r="I27" s="2507"/>
      <c r="L27" s="436"/>
    </row>
    <row r="28" spans="1:12" ht="14.1" customHeight="1" x14ac:dyDescent="0.2">
      <c r="A28" s="376"/>
      <c r="B28" s="376"/>
      <c r="C28" s="377" t="s">
        <v>220</v>
      </c>
      <c r="D28" s="377" t="s">
        <v>814</v>
      </c>
      <c r="E28" s="378">
        <v>20000</v>
      </c>
      <c r="F28" s="379">
        <f t="shared" si="2"/>
        <v>90.909090909090907</v>
      </c>
      <c r="G28" s="380">
        <f t="shared" si="3"/>
        <v>11.363636363636363</v>
      </c>
      <c r="H28" s="381">
        <v>11</v>
      </c>
      <c r="I28" s="2057"/>
      <c r="L28" s="436"/>
    </row>
    <row r="29" spans="1:12" ht="14.1" customHeight="1" x14ac:dyDescent="0.2">
      <c r="A29" s="383" t="s">
        <v>56</v>
      </c>
      <c r="B29" s="383" t="s">
        <v>66</v>
      </c>
      <c r="C29" s="383" t="s">
        <v>213</v>
      </c>
      <c r="D29" s="383" t="s">
        <v>99</v>
      </c>
      <c r="E29" s="384">
        <v>26000</v>
      </c>
      <c r="F29" s="385">
        <f t="shared" si="2"/>
        <v>118.18181818181819</v>
      </c>
      <c r="G29" s="386">
        <f t="shared" si="3"/>
        <v>14.772727272727273</v>
      </c>
      <c r="H29" s="387">
        <v>15</v>
      </c>
      <c r="I29" s="2507"/>
      <c r="L29" s="436"/>
    </row>
    <row r="30" spans="1:12" ht="14.1" customHeight="1" x14ac:dyDescent="0.2">
      <c r="A30" s="382"/>
      <c r="B30" s="382"/>
      <c r="C30" s="383" t="s">
        <v>214</v>
      </c>
      <c r="D30" s="383" t="s">
        <v>322</v>
      </c>
      <c r="E30" s="384">
        <v>40000</v>
      </c>
      <c r="F30" s="385">
        <f t="shared" si="2"/>
        <v>181.81818181818181</v>
      </c>
      <c r="G30" s="386">
        <f t="shared" si="3"/>
        <v>22.727272727272727</v>
      </c>
      <c r="H30" s="387">
        <v>23</v>
      </c>
      <c r="L30" s="436"/>
    </row>
    <row r="31" spans="1:12" ht="14.1" customHeight="1" x14ac:dyDescent="0.2">
      <c r="A31" s="382"/>
      <c r="B31" s="382"/>
      <c r="C31" s="383" t="s">
        <v>815</v>
      </c>
      <c r="D31" s="383" t="s">
        <v>190</v>
      </c>
      <c r="E31" s="384">
        <v>20000</v>
      </c>
      <c r="F31" s="385">
        <f t="shared" si="2"/>
        <v>90.909090909090907</v>
      </c>
      <c r="G31" s="386">
        <f t="shared" si="3"/>
        <v>11.363636363636363</v>
      </c>
      <c r="H31" s="387">
        <v>11</v>
      </c>
      <c r="L31" s="436"/>
    </row>
    <row r="32" spans="1:12" ht="14.1" customHeight="1" x14ac:dyDescent="0.2">
      <c r="A32" s="382"/>
      <c r="B32" s="382"/>
      <c r="C32" s="383" t="s">
        <v>816</v>
      </c>
      <c r="D32" s="383" t="s">
        <v>323</v>
      </c>
      <c r="E32" s="384">
        <v>20000</v>
      </c>
      <c r="F32" s="385">
        <f t="shared" si="2"/>
        <v>90.909090909090907</v>
      </c>
      <c r="G32" s="386">
        <f t="shared" si="3"/>
        <v>11.363636363636363</v>
      </c>
      <c r="H32" s="387">
        <v>11</v>
      </c>
      <c r="L32" s="436"/>
    </row>
    <row r="33" spans="1:12" ht="14.1" customHeight="1" x14ac:dyDescent="0.2">
      <c r="A33" s="382"/>
      <c r="B33" s="382"/>
      <c r="C33" s="383" t="s">
        <v>216</v>
      </c>
      <c r="D33" s="383" t="s">
        <v>191</v>
      </c>
      <c r="E33" s="384">
        <v>12000</v>
      </c>
      <c r="F33" s="385">
        <f t="shared" si="2"/>
        <v>54.545454545454547</v>
      </c>
      <c r="G33" s="386">
        <f t="shared" si="3"/>
        <v>6.8181818181818183</v>
      </c>
      <c r="H33" s="387">
        <v>7</v>
      </c>
      <c r="L33" s="436"/>
    </row>
    <row r="34" spans="1:12" ht="14.1" customHeight="1" x14ac:dyDescent="0.2">
      <c r="A34" s="388" t="s">
        <v>57</v>
      </c>
      <c r="B34" s="389" t="s">
        <v>392</v>
      </c>
      <c r="C34" s="389" t="s">
        <v>221</v>
      </c>
      <c r="D34" s="438" t="s">
        <v>425</v>
      </c>
      <c r="E34" s="390">
        <v>25800</v>
      </c>
      <c r="F34" s="391">
        <f t="shared" si="2"/>
        <v>117.27272727272727</v>
      </c>
      <c r="G34" s="392">
        <f t="shared" si="3"/>
        <v>14.659090909090908</v>
      </c>
      <c r="H34" s="393">
        <v>15</v>
      </c>
      <c r="I34" s="2507"/>
      <c r="L34" s="436"/>
    </row>
    <row r="35" spans="1:12" ht="14.1" customHeight="1" x14ac:dyDescent="0.2">
      <c r="A35" s="388"/>
      <c r="B35" s="388"/>
      <c r="C35" s="389" t="s">
        <v>222</v>
      </c>
      <c r="D35" s="438" t="s">
        <v>812</v>
      </c>
      <c r="E35" s="390">
        <v>27000</v>
      </c>
      <c r="F35" s="391">
        <f t="shared" si="2"/>
        <v>122.72727272727273</v>
      </c>
      <c r="G35" s="392">
        <f t="shared" si="3"/>
        <v>15.340909090909092</v>
      </c>
      <c r="H35" s="393">
        <v>15</v>
      </c>
      <c r="L35" s="436"/>
    </row>
    <row r="36" spans="1:12" ht="14.1" customHeight="1" x14ac:dyDescent="0.2">
      <c r="A36" s="388"/>
      <c r="B36" s="388"/>
      <c r="C36" s="389" t="s">
        <v>223</v>
      </c>
      <c r="D36" s="438" t="s">
        <v>888</v>
      </c>
      <c r="E36" s="390">
        <v>21000</v>
      </c>
      <c r="F36" s="391">
        <f t="shared" si="2"/>
        <v>95.454545454545453</v>
      </c>
      <c r="G36" s="392">
        <f t="shared" si="3"/>
        <v>11.931818181818182</v>
      </c>
      <c r="H36" s="393">
        <v>12</v>
      </c>
      <c r="I36" s="2057"/>
      <c r="L36" s="436"/>
    </row>
    <row r="37" spans="1:12" ht="14.1" customHeight="1" x14ac:dyDescent="0.2">
      <c r="A37" s="388"/>
      <c r="B37" s="388"/>
      <c r="C37" s="389" t="s">
        <v>224</v>
      </c>
      <c r="D37" s="438" t="s">
        <v>426</v>
      </c>
      <c r="E37" s="390">
        <v>21000</v>
      </c>
      <c r="F37" s="391">
        <f t="shared" si="2"/>
        <v>95.454545454545453</v>
      </c>
      <c r="G37" s="392">
        <f t="shared" si="3"/>
        <v>11.931818181818182</v>
      </c>
      <c r="H37" s="393">
        <v>12</v>
      </c>
      <c r="L37" s="436"/>
    </row>
    <row r="38" spans="1:12" ht="14.1" customHeight="1" x14ac:dyDescent="0.2">
      <c r="A38" s="394" t="s">
        <v>58</v>
      </c>
      <c r="B38" s="395" t="s">
        <v>194</v>
      </c>
      <c r="C38" s="395" t="s">
        <v>225</v>
      </c>
      <c r="D38" s="395" t="s">
        <v>195</v>
      </c>
      <c r="E38" s="396">
        <v>20000</v>
      </c>
      <c r="F38" s="397">
        <f t="shared" si="2"/>
        <v>90.909090909090907</v>
      </c>
      <c r="G38" s="398">
        <f t="shared" ref="G38:G46" si="4">F38/8</f>
        <v>11.363636363636363</v>
      </c>
      <c r="H38" s="399">
        <v>11</v>
      </c>
      <c r="I38" s="2507"/>
      <c r="L38" s="436"/>
    </row>
    <row r="39" spans="1:12" ht="14.1" customHeight="1" x14ac:dyDescent="0.2">
      <c r="A39" s="394"/>
      <c r="B39" s="394"/>
      <c r="C39" s="395" t="s">
        <v>226</v>
      </c>
      <c r="D39" s="395" t="s">
        <v>196</v>
      </c>
      <c r="E39" s="400">
        <v>32000</v>
      </c>
      <c r="F39" s="397">
        <f t="shared" si="2"/>
        <v>145.45454545454547</v>
      </c>
      <c r="G39" s="398">
        <f t="shared" si="4"/>
        <v>18.181818181818183</v>
      </c>
      <c r="H39" s="399">
        <v>18</v>
      </c>
      <c r="L39" s="436"/>
    </row>
    <row r="40" spans="1:12" ht="14.1" customHeight="1" x14ac:dyDescent="0.2">
      <c r="A40" s="394"/>
      <c r="B40" s="394"/>
      <c r="C40" s="395" t="s">
        <v>227</v>
      </c>
      <c r="D40" s="395" t="s">
        <v>427</v>
      </c>
      <c r="E40" s="400">
        <v>24500</v>
      </c>
      <c r="F40" s="397">
        <f t="shared" si="2"/>
        <v>111.36363636363636</v>
      </c>
      <c r="G40" s="398">
        <f t="shared" si="4"/>
        <v>13.920454545454545</v>
      </c>
      <c r="H40" s="399">
        <v>14</v>
      </c>
      <c r="I40" s="2507"/>
      <c r="L40" s="436"/>
    </row>
    <row r="41" spans="1:12" ht="14.1" customHeight="1" x14ac:dyDescent="0.2">
      <c r="A41" s="394"/>
      <c r="B41" s="394"/>
      <c r="C41" s="395" t="s">
        <v>228</v>
      </c>
      <c r="D41" s="395" t="s">
        <v>199</v>
      </c>
      <c r="E41" s="400">
        <v>16000</v>
      </c>
      <c r="F41" s="397">
        <f t="shared" si="2"/>
        <v>72.727272727272734</v>
      </c>
      <c r="G41" s="398">
        <f t="shared" si="4"/>
        <v>9.0909090909090917</v>
      </c>
      <c r="H41" s="399">
        <v>9</v>
      </c>
      <c r="L41" s="436"/>
    </row>
    <row r="42" spans="1:12" ht="14.1" customHeight="1" x14ac:dyDescent="0.2">
      <c r="A42" s="685" t="s">
        <v>64</v>
      </c>
      <c r="B42" s="686" t="s">
        <v>393</v>
      </c>
      <c r="C42" s="686" t="s">
        <v>229</v>
      </c>
      <c r="D42" s="686" t="s">
        <v>429</v>
      </c>
      <c r="E42" s="687">
        <v>43000</v>
      </c>
      <c r="F42" s="688">
        <f t="shared" si="2"/>
        <v>195.45454545454547</v>
      </c>
      <c r="G42" s="689">
        <f t="shared" si="4"/>
        <v>24.431818181818183</v>
      </c>
      <c r="H42" s="690">
        <v>24</v>
      </c>
      <c r="I42" s="2507"/>
      <c r="L42" s="436"/>
    </row>
    <row r="43" spans="1:12" ht="14.1" customHeight="1" x14ac:dyDescent="0.2">
      <c r="A43" s="685"/>
      <c r="B43" s="685"/>
      <c r="C43" s="686" t="s">
        <v>230</v>
      </c>
      <c r="D43" s="686" t="s">
        <v>428</v>
      </c>
      <c r="E43" s="687">
        <v>40000</v>
      </c>
      <c r="F43" s="688">
        <f t="shared" si="2"/>
        <v>181.81818181818181</v>
      </c>
      <c r="G43" s="689">
        <f t="shared" si="4"/>
        <v>22.727272727272727</v>
      </c>
      <c r="H43" s="690">
        <v>23</v>
      </c>
      <c r="I43" s="2507"/>
      <c r="L43" s="436"/>
    </row>
    <row r="44" spans="1:12" ht="14.1" customHeight="1" x14ac:dyDescent="0.2">
      <c r="A44" s="685"/>
      <c r="B44" s="685"/>
      <c r="C44" s="686" t="s">
        <v>801</v>
      </c>
      <c r="D44" s="686" t="s">
        <v>430</v>
      </c>
      <c r="E44" s="687">
        <v>30000</v>
      </c>
      <c r="F44" s="688">
        <f t="shared" si="2"/>
        <v>136.36363636363637</v>
      </c>
      <c r="G44" s="689">
        <f t="shared" si="4"/>
        <v>17.045454545454547</v>
      </c>
      <c r="H44" s="690">
        <v>17</v>
      </c>
      <c r="L44" s="436"/>
    </row>
    <row r="45" spans="1:12" ht="14.1" customHeight="1" x14ac:dyDescent="0.2">
      <c r="A45" s="685"/>
      <c r="B45" s="685"/>
      <c r="C45" s="686" t="s">
        <v>802</v>
      </c>
      <c r="D45" s="686" t="s">
        <v>431</v>
      </c>
      <c r="E45" s="687">
        <v>18000</v>
      </c>
      <c r="F45" s="688">
        <f t="shared" si="2"/>
        <v>81.818181818181813</v>
      </c>
      <c r="G45" s="689">
        <f t="shared" si="4"/>
        <v>10.227272727272727</v>
      </c>
      <c r="H45" s="690">
        <v>10</v>
      </c>
      <c r="I45" s="2507"/>
      <c r="L45" s="436"/>
    </row>
    <row r="46" spans="1:12" ht="14.1" customHeight="1" x14ac:dyDescent="0.2">
      <c r="A46" s="685"/>
      <c r="B46" s="685"/>
      <c r="C46" s="686" t="s">
        <v>231</v>
      </c>
      <c r="D46" s="686" t="s">
        <v>432</v>
      </c>
      <c r="E46" s="687">
        <v>17000</v>
      </c>
      <c r="F46" s="688">
        <f t="shared" si="2"/>
        <v>77.272727272727266</v>
      </c>
      <c r="G46" s="689">
        <f t="shared" si="4"/>
        <v>9.6590909090909083</v>
      </c>
      <c r="H46" s="690">
        <v>10</v>
      </c>
      <c r="L46" s="436"/>
    </row>
    <row r="47" spans="1:12" ht="14.1" customHeight="1" x14ac:dyDescent="0.2">
      <c r="A47" s="401" t="s">
        <v>60</v>
      </c>
      <c r="B47" s="402" t="s">
        <v>394</v>
      </c>
      <c r="C47" s="402" t="s">
        <v>232</v>
      </c>
      <c r="D47" s="402" t="s">
        <v>433</v>
      </c>
      <c r="E47" s="403">
        <v>20000</v>
      </c>
      <c r="F47" s="404">
        <f t="shared" si="2"/>
        <v>90.909090909090907</v>
      </c>
      <c r="G47" s="405">
        <f>F47/8</f>
        <v>11.363636363636363</v>
      </c>
      <c r="H47" s="406">
        <v>11</v>
      </c>
      <c r="I47" s="2507"/>
    </row>
    <row r="48" spans="1:12" ht="14.1" customHeight="1" x14ac:dyDescent="0.2">
      <c r="A48" s="401"/>
      <c r="B48" s="401"/>
      <c r="C48" s="402" t="s">
        <v>233</v>
      </c>
      <c r="D48" s="402" t="s">
        <v>434</v>
      </c>
      <c r="E48" s="403">
        <v>37000</v>
      </c>
      <c r="F48" s="404">
        <f t="shared" si="2"/>
        <v>168.18181818181819</v>
      </c>
      <c r="G48" s="405">
        <f>F48/8</f>
        <v>21.022727272727273</v>
      </c>
      <c r="H48" s="406">
        <v>21</v>
      </c>
    </row>
    <row r="49" spans="1:11" x14ac:dyDescent="0.2">
      <c r="A49" s="401"/>
      <c r="B49" s="401"/>
      <c r="C49" s="402" t="s">
        <v>234</v>
      </c>
      <c r="D49" s="402" t="s">
        <v>435</v>
      </c>
      <c r="E49" s="403">
        <v>28000</v>
      </c>
      <c r="F49" s="404">
        <f t="shared" si="2"/>
        <v>127.27272727272727</v>
      </c>
      <c r="G49" s="405">
        <f>F49/8</f>
        <v>15.909090909090908</v>
      </c>
      <c r="H49" s="406">
        <v>16</v>
      </c>
      <c r="I49" s="2507"/>
    </row>
    <row r="50" spans="1:11" x14ac:dyDescent="0.2">
      <c r="A50" s="401"/>
      <c r="B50" s="401"/>
      <c r="C50" s="402" t="s">
        <v>235</v>
      </c>
      <c r="D50" s="402" t="s">
        <v>436</v>
      </c>
      <c r="E50" s="403">
        <v>20000</v>
      </c>
      <c r="F50" s="404">
        <f t="shared" si="2"/>
        <v>90.909090909090907</v>
      </c>
      <c r="G50" s="405">
        <f>F50/8</f>
        <v>11.363636363636363</v>
      </c>
      <c r="H50" s="406">
        <v>11</v>
      </c>
    </row>
    <row r="51" spans="1:11" ht="25.5" x14ac:dyDescent="0.2">
      <c r="A51" s="691" t="s">
        <v>62</v>
      </c>
      <c r="B51" s="691" t="s">
        <v>198</v>
      </c>
      <c r="C51" s="692" t="s">
        <v>240</v>
      </c>
      <c r="D51" s="693" t="s">
        <v>437</v>
      </c>
      <c r="E51" s="694">
        <v>35000</v>
      </c>
      <c r="F51" s="695">
        <f t="shared" si="2"/>
        <v>159.09090909090909</v>
      </c>
      <c r="G51" s="696">
        <f t="shared" ref="G51:G58" si="5">F51/8</f>
        <v>19.886363636363637</v>
      </c>
      <c r="H51" s="2512">
        <v>20</v>
      </c>
      <c r="I51" s="2057"/>
    </row>
    <row r="52" spans="1:11" x14ac:dyDescent="0.2">
      <c r="A52" s="691"/>
      <c r="B52" s="691"/>
      <c r="C52" s="692" t="s">
        <v>241</v>
      </c>
      <c r="D52" s="697"/>
      <c r="E52" s="694">
        <v>0</v>
      </c>
      <c r="F52" s="695">
        <f t="shared" si="2"/>
        <v>0</v>
      </c>
      <c r="G52" s="696">
        <f t="shared" si="5"/>
        <v>0</v>
      </c>
      <c r="H52" s="2512">
        <v>0</v>
      </c>
    </row>
    <row r="53" spans="1:11" ht="12.75" customHeight="1" x14ac:dyDescent="0.2">
      <c r="A53" s="691"/>
      <c r="B53" s="691"/>
      <c r="C53" s="692" t="s">
        <v>242</v>
      </c>
      <c r="D53" s="698" t="s">
        <v>439</v>
      </c>
      <c r="E53" s="694">
        <v>32000</v>
      </c>
      <c r="F53" s="695">
        <f t="shared" si="2"/>
        <v>145.45454545454547</v>
      </c>
      <c r="G53" s="696">
        <f t="shared" si="5"/>
        <v>18.181818181818183</v>
      </c>
      <c r="H53" s="2512">
        <v>18</v>
      </c>
      <c r="I53" s="2507"/>
    </row>
    <row r="54" spans="1:11" ht="13.5" customHeight="1" x14ac:dyDescent="0.2">
      <c r="A54" s="691"/>
      <c r="B54" s="691"/>
      <c r="C54" s="692" t="s">
        <v>243</v>
      </c>
      <c r="D54" s="691" t="s">
        <v>438</v>
      </c>
      <c r="E54" s="694">
        <v>32000</v>
      </c>
      <c r="F54" s="695">
        <f t="shared" si="2"/>
        <v>145.45454545454547</v>
      </c>
      <c r="G54" s="696">
        <f t="shared" si="5"/>
        <v>18.181818181818183</v>
      </c>
      <c r="H54" s="2512">
        <v>18</v>
      </c>
      <c r="I54" s="2507"/>
    </row>
    <row r="55" spans="1:11" x14ac:dyDescent="0.2">
      <c r="A55" s="699" t="s">
        <v>65</v>
      </c>
      <c r="B55" s="699" t="s">
        <v>402</v>
      </c>
      <c r="C55" s="700" t="s">
        <v>236</v>
      </c>
      <c r="D55" s="699" t="s">
        <v>441</v>
      </c>
      <c r="E55" s="701">
        <v>36800</v>
      </c>
      <c r="F55" s="702">
        <f t="shared" si="2"/>
        <v>167.27272727272728</v>
      </c>
      <c r="G55" s="703">
        <f t="shared" si="5"/>
        <v>20.90909090909091</v>
      </c>
      <c r="H55" s="704">
        <v>21</v>
      </c>
      <c r="I55" s="2507"/>
    </row>
    <row r="56" spans="1:11" x14ac:dyDescent="0.2">
      <c r="A56" s="699"/>
      <c r="B56" s="699"/>
      <c r="C56" s="700" t="s">
        <v>237</v>
      </c>
      <c r="D56" s="699" t="s">
        <v>440</v>
      </c>
      <c r="E56" s="701">
        <v>35000</v>
      </c>
      <c r="F56" s="702">
        <f t="shared" si="2"/>
        <v>159.09090909090909</v>
      </c>
      <c r="G56" s="703">
        <f t="shared" si="5"/>
        <v>19.886363636363637</v>
      </c>
      <c r="H56" s="704">
        <v>20</v>
      </c>
    </row>
    <row r="57" spans="1:11" x14ac:dyDescent="0.2">
      <c r="A57" s="699"/>
      <c r="B57" s="699"/>
      <c r="C57" s="700" t="s">
        <v>238</v>
      </c>
      <c r="D57" s="699"/>
      <c r="E57" s="701">
        <v>0</v>
      </c>
      <c r="F57" s="702">
        <f t="shared" ref="F57:F84" si="6">E57/220</f>
        <v>0</v>
      </c>
      <c r="G57" s="703">
        <f t="shared" si="5"/>
        <v>0</v>
      </c>
      <c r="H57" s="704">
        <v>0</v>
      </c>
    </row>
    <row r="58" spans="1:11" x14ac:dyDescent="0.2">
      <c r="A58" s="699"/>
      <c r="B58" s="699"/>
      <c r="C58" s="700" t="s">
        <v>239</v>
      </c>
      <c r="D58" s="699"/>
      <c r="E58" s="701">
        <v>0</v>
      </c>
      <c r="F58" s="702">
        <f t="shared" si="6"/>
        <v>0</v>
      </c>
      <c r="G58" s="703">
        <f t="shared" si="5"/>
        <v>0</v>
      </c>
      <c r="H58" s="704">
        <v>0</v>
      </c>
    </row>
    <row r="59" spans="1:11" x14ac:dyDescent="0.2">
      <c r="A59" s="705" t="s">
        <v>67</v>
      </c>
      <c r="B59" s="706" t="s">
        <v>395</v>
      </c>
      <c r="C59" s="706" t="s">
        <v>244</v>
      </c>
      <c r="D59" s="706" t="s">
        <v>442</v>
      </c>
      <c r="E59" s="707">
        <v>44000</v>
      </c>
      <c r="F59" s="708">
        <f t="shared" si="6"/>
        <v>200</v>
      </c>
      <c r="G59" s="709">
        <f t="shared" ref="G59:G66" si="7">F59/7.5</f>
        <v>26.666666666666668</v>
      </c>
      <c r="H59" s="710">
        <v>27</v>
      </c>
      <c r="I59" s="2507"/>
      <c r="J59" s="67"/>
    </row>
    <row r="60" spans="1:11" x14ac:dyDescent="0.2">
      <c r="A60" s="705"/>
      <c r="B60" s="705"/>
      <c r="C60" s="706" t="s">
        <v>245</v>
      </c>
      <c r="D60" s="705"/>
      <c r="E60" s="707">
        <v>0</v>
      </c>
      <c r="F60" s="708">
        <f t="shared" si="6"/>
        <v>0</v>
      </c>
      <c r="G60" s="709">
        <f t="shared" si="7"/>
        <v>0</v>
      </c>
      <c r="H60" s="710">
        <v>0</v>
      </c>
    </row>
    <row r="61" spans="1:11" x14ac:dyDescent="0.2">
      <c r="A61" s="705"/>
      <c r="B61" s="705"/>
      <c r="C61" s="706" t="s">
        <v>246</v>
      </c>
      <c r="D61" s="706" t="s">
        <v>443</v>
      </c>
      <c r="E61" s="707">
        <v>44000</v>
      </c>
      <c r="F61" s="708">
        <f t="shared" si="6"/>
        <v>200</v>
      </c>
      <c r="G61" s="709">
        <f t="shared" si="7"/>
        <v>26.666666666666668</v>
      </c>
      <c r="H61" s="710">
        <v>27</v>
      </c>
      <c r="I61" s="2507"/>
      <c r="J61" s="72"/>
      <c r="K61" s="72"/>
    </row>
    <row r="62" spans="1:11" x14ac:dyDescent="0.2">
      <c r="A62" s="705"/>
      <c r="B62" s="705"/>
      <c r="C62" s="706" t="s">
        <v>247</v>
      </c>
      <c r="D62" s="706" t="s">
        <v>444</v>
      </c>
      <c r="E62" s="707">
        <v>30000</v>
      </c>
      <c r="F62" s="708">
        <f t="shared" si="6"/>
        <v>136.36363636363637</v>
      </c>
      <c r="G62" s="709">
        <f t="shared" si="7"/>
        <v>18.181818181818183</v>
      </c>
      <c r="H62" s="710">
        <v>18</v>
      </c>
      <c r="I62" s="2507"/>
      <c r="J62" s="72"/>
      <c r="K62" s="72"/>
    </row>
    <row r="63" spans="1:11" x14ac:dyDescent="0.2">
      <c r="A63" s="203" t="s">
        <v>110</v>
      </c>
      <c r="B63" s="439" t="s">
        <v>193</v>
      </c>
      <c r="C63" s="354" t="s">
        <v>248</v>
      </c>
      <c r="D63" s="681" t="s">
        <v>192</v>
      </c>
      <c r="E63" s="206">
        <v>31000</v>
      </c>
      <c r="F63" s="207">
        <f t="shared" si="6"/>
        <v>140.90909090909091</v>
      </c>
      <c r="G63" s="208">
        <f t="shared" si="7"/>
        <v>18.787878787878789</v>
      </c>
      <c r="H63" s="209">
        <v>19</v>
      </c>
      <c r="I63" s="2507"/>
      <c r="J63" s="72"/>
      <c r="K63" s="72"/>
    </row>
    <row r="64" spans="1:11" x14ac:dyDescent="0.2">
      <c r="A64" s="203"/>
      <c r="B64" s="711"/>
      <c r="C64" s="354" t="s">
        <v>249</v>
      </c>
      <c r="D64" s="681" t="s">
        <v>445</v>
      </c>
      <c r="E64" s="206">
        <v>37000</v>
      </c>
      <c r="F64" s="207">
        <f t="shared" si="6"/>
        <v>168.18181818181819</v>
      </c>
      <c r="G64" s="208">
        <f t="shared" si="7"/>
        <v>22.424242424242426</v>
      </c>
      <c r="H64" s="209">
        <v>22</v>
      </c>
      <c r="J64" s="72"/>
      <c r="K64" s="72"/>
    </row>
    <row r="65" spans="1:11" x14ac:dyDescent="0.2">
      <c r="A65" s="203"/>
      <c r="B65" s="204"/>
      <c r="C65" s="354" t="s">
        <v>250</v>
      </c>
      <c r="D65" s="681"/>
      <c r="E65" s="206">
        <v>0</v>
      </c>
      <c r="F65" s="207">
        <f t="shared" si="6"/>
        <v>0</v>
      </c>
      <c r="G65" s="208">
        <f t="shared" si="7"/>
        <v>0</v>
      </c>
      <c r="H65" s="209">
        <v>0</v>
      </c>
      <c r="J65" s="72"/>
      <c r="K65" s="72"/>
    </row>
    <row r="66" spans="1:11" x14ac:dyDescent="0.2">
      <c r="A66" s="203"/>
      <c r="B66" s="203"/>
      <c r="C66" s="354" t="s">
        <v>251</v>
      </c>
      <c r="D66" s="205"/>
      <c r="E66" s="206">
        <v>0</v>
      </c>
      <c r="F66" s="207">
        <f t="shared" si="6"/>
        <v>0</v>
      </c>
      <c r="G66" s="208">
        <f t="shared" si="7"/>
        <v>0</v>
      </c>
      <c r="H66" s="209">
        <v>0</v>
      </c>
      <c r="J66" s="72"/>
      <c r="K66" s="72"/>
    </row>
    <row r="67" spans="1:11" s="72" customFormat="1" x14ac:dyDescent="0.2">
      <c r="A67" s="713" t="s">
        <v>163</v>
      </c>
      <c r="B67" s="713" t="s">
        <v>197</v>
      </c>
      <c r="C67" s="713" t="s">
        <v>252</v>
      </c>
      <c r="D67" s="713" t="s">
        <v>446</v>
      </c>
      <c r="E67" s="714">
        <v>35000</v>
      </c>
      <c r="F67" s="715">
        <f t="shared" si="6"/>
        <v>159.09090909090909</v>
      </c>
      <c r="G67" s="716">
        <f t="shared" ref="G67:G75" si="8">F67/8</f>
        <v>19.886363636363637</v>
      </c>
      <c r="H67" s="717">
        <v>20</v>
      </c>
      <c r="I67" s="2467"/>
    </row>
    <row r="68" spans="1:11" s="72" customFormat="1" x14ac:dyDescent="0.2">
      <c r="A68" s="712"/>
      <c r="B68" s="712"/>
      <c r="C68" s="713" t="s">
        <v>253</v>
      </c>
      <c r="D68" s="713" t="s">
        <v>447</v>
      </c>
      <c r="E68" s="714">
        <v>42000</v>
      </c>
      <c r="F68" s="715">
        <f t="shared" si="6"/>
        <v>190.90909090909091</v>
      </c>
      <c r="G68" s="716">
        <f t="shared" si="8"/>
        <v>23.863636363636363</v>
      </c>
      <c r="H68" s="717">
        <v>24</v>
      </c>
      <c r="I68" s="2467"/>
    </row>
    <row r="69" spans="1:11" s="72" customFormat="1" x14ac:dyDescent="0.2">
      <c r="A69" s="712"/>
      <c r="B69" s="712"/>
      <c r="C69" s="713" t="s">
        <v>803</v>
      </c>
      <c r="D69" s="713" t="s">
        <v>448</v>
      </c>
      <c r="E69" s="714">
        <v>31000</v>
      </c>
      <c r="F69" s="715">
        <f t="shared" si="6"/>
        <v>140.90909090909091</v>
      </c>
      <c r="G69" s="716">
        <f t="shared" si="8"/>
        <v>17.613636363636363</v>
      </c>
      <c r="H69" s="717">
        <v>18</v>
      </c>
      <c r="I69" s="2510"/>
    </row>
    <row r="70" spans="1:11" s="72" customFormat="1" x14ac:dyDescent="0.2">
      <c r="A70" s="712"/>
      <c r="B70" s="712"/>
      <c r="C70" s="713" t="s">
        <v>804</v>
      </c>
      <c r="D70" s="713" t="s">
        <v>449</v>
      </c>
      <c r="E70" s="714">
        <v>29000</v>
      </c>
      <c r="F70" s="715">
        <f t="shared" si="6"/>
        <v>131.81818181818181</v>
      </c>
      <c r="G70" s="716">
        <f t="shared" si="8"/>
        <v>16.477272727272727</v>
      </c>
      <c r="H70" s="717">
        <v>16</v>
      </c>
      <c r="I70" s="2467"/>
    </row>
    <row r="71" spans="1:11" s="72" customFormat="1" x14ac:dyDescent="0.2">
      <c r="A71" s="712"/>
      <c r="B71" s="712"/>
      <c r="C71" s="713" t="s">
        <v>254</v>
      </c>
      <c r="D71" s="713" t="s">
        <v>450</v>
      </c>
      <c r="E71" s="714">
        <v>23000</v>
      </c>
      <c r="F71" s="715">
        <f t="shared" si="6"/>
        <v>104.54545454545455</v>
      </c>
      <c r="G71" s="716">
        <f t="shared" si="8"/>
        <v>13.068181818181818</v>
      </c>
      <c r="H71" s="717">
        <v>13</v>
      </c>
      <c r="I71" s="2467"/>
    </row>
    <row r="72" spans="1:11" s="72" customFormat="1" x14ac:dyDescent="0.2">
      <c r="A72" s="355" t="s">
        <v>164</v>
      </c>
      <c r="B72" s="355" t="s">
        <v>396</v>
      </c>
      <c r="C72" s="343" t="s">
        <v>255</v>
      </c>
      <c r="D72" s="355" t="s">
        <v>451</v>
      </c>
      <c r="E72" s="192">
        <v>42000</v>
      </c>
      <c r="F72" s="193">
        <f t="shared" si="6"/>
        <v>190.90909090909091</v>
      </c>
      <c r="G72" s="194">
        <f t="shared" si="8"/>
        <v>23.863636363636363</v>
      </c>
      <c r="H72" s="195">
        <v>24</v>
      </c>
      <c r="I72" s="2510"/>
    </row>
    <row r="73" spans="1:11" s="72" customFormat="1" x14ac:dyDescent="0.2">
      <c r="A73" s="191"/>
      <c r="B73" s="508"/>
      <c r="C73" s="343" t="s">
        <v>455</v>
      </c>
      <c r="D73" s="355" t="s">
        <v>452</v>
      </c>
      <c r="E73" s="192">
        <v>12000</v>
      </c>
      <c r="F73" s="193">
        <f t="shared" si="6"/>
        <v>54.545454545454547</v>
      </c>
      <c r="G73" s="194">
        <f t="shared" si="8"/>
        <v>6.8181818181818183</v>
      </c>
      <c r="H73" s="195">
        <v>7</v>
      </c>
      <c r="I73" s="2467"/>
    </row>
    <row r="74" spans="1:11" s="72" customFormat="1" x14ac:dyDescent="0.2">
      <c r="A74" s="191"/>
      <c r="B74" s="191"/>
      <c r="C74" s="343" t="s">
        <v>456</v>
      </c>
      <c r="D74" s="355" t="s">
        <v>453</v>
      </c>
      <c r="E74" s="192">
        <v>12000</v>
      </c>
      <c r="F74" s="193">
        <f t="shared" si="6"/>
        <v>54.545454545454547</v>
      </c>
      <c r="G74" s="194">
        <f t="shared" si="8"/>
        <v>6.8181818181818183</v>
      </c>
      <c r="H74" s="195">
        <v>7</v>
      </c>
      <c r="I74" s="2467"/>
    </row>
    <row r="75" spans="1:11" s="72" customFormat="1" x14ac:dyDescent="0.2">
      <c r="A75" s="191"/>
      <c r="B75" s="191"/>
      <c r="C75" s="343" t="s">
        <v>256</v>
      </c>
      <c r="D75" s="191" t="s">
        <v>454</v>
      </c>
      <c r="E75" s="192">
        <v>14000</v>
      </c>
      <c r="F75" s="193">
        <f t="shared" si="6"/>
        <v>63.636363636363633</v>
      </c>
      <c r="G75" s="194">
        <f t="shared" si="8"/>
        <v>7.9545454545454541</v>
      </c>
      <c r="H75" s="195">
        <v>8</v>
      </c>
      <c r="I75" s="2510"/>
    </row>
    <row r="76" spans="1:11" s="72" customFormat="1" x14ac:dyDescent="0.2">
      <c r="A76" s="407" t="s">
        <v>165</v>
      </c>
      <c r="B76" s="407" t="s">
        <v>397</v>
      </c>
      <c r="C76" s="2036" t="s">
        <v>257</v>
      </c>
      <c r="D76" s="2036" t="s">
        <v>909</v>
      </c>
      <c r="E76" s="2040">
        <v>22500</v>
      </c>
      <c r="F76" s="2037">
        <f t="shared" si="6"/>
        <v>102.27272727272727</v>
      </c>
      <c r="G76" s="2038">
        <f>F76/8</f>
        <v>12.784090909090908</v>
      </c>
      <c r="H76" s="2039">
        <v>13</v>
      </c>
      <c r="I76" s="2467"/>
      <c r="J76"/>
      <c r="K76"/>
    </row>
    <row r="77" spans="1:11" s="72" customFormat="1" x14ac:dyDescent="0.2">
      <c r="A77" s="408"/>
      <c r="B77" s="408"/>
      <c r="C77" s="2036" t="s">
        <v>258</v>
      </c>
      <c r="D77" s="2036" t="s">
        <v>910</v>
      </c>
      <c r="E77" s="2040">
        <v>22500</v>
      </c>
      <c r="F77" s="2037">
        <f t="shared" si="6"/>
        <v>102.27272727272727</v>
      </c>
      <c r="G77" s="2038">
        <f>F77/8</f>
        <v>12.784090909090908</v>
      </c>
      <c r="H77" s="2039">
        <v>13</v>
      </c>
      <c r="I77" s="2467"/>
      <c r="J77"/>
      <c r="K77"/>
    </row>
    <row r="78" spans="1:11" s="72" customFormat="1" x14ac:dyDescent="0.2">
      <c r="A78" s="408"/>
      <c r="B78" s="408"/>
      <c r="C78" s="2036" t="s">
        <v>916</v>
      </c>
      <c r="D78" s="2036" t="s">
        <v>911</v>
      </c>
      <c r="E78" s="2040">
        <v>16000</v>
      </c>
      <c r="F78" s="2037">
        <f t="shared" si="6"/>
        <v>72.727272727272734</v>
      </c>
      <c r="G78" s="2038">
        <f>F78/8</f>
        <v>9.0909090909090917</v>
      </c>
      <c r="H78" s="2039">
        <v>9</v>
      </c>
      <c r="I78" s="2467"/>
      <c r="J78"/>
      <c r="K78"/>
    </row>
    <row r="79" spans="1:11" s="72" customFormat="1" x14ac:dyDescent="0.2">
      <c r="A79" s="408"/>
      <c r="B79" s="408"/>
      <c r="C79" s="2036" t="s">
        <v>915</v>
      </c>
      <c r="D79" s="2036" t="s">
        <v>912</v>
      </c>
      <c r="E79" s="2040">
        <v>12000</v>
      </c>
      <c r="F79" s="2037">
        <f t="shared" si="6"/>
        <v>54.545454545454547</v>
      </c>
      <c r="G79" s="2038">
        <f>F79/8</f>
        <v>6.8181818181818183</v>
      </c>
      <c r="H79" s="2039">
        <v>7</v>
      </c>
      <c r="I79" s="2467"/>
      <c r="J79"/>
      <c r="K79"/>
    </row>
    <row r="80" spans="1:11" s="72" customFormat="1" x14ac:dyDescent="0.2">
      <c r="A80" s="408"/>
      <c r="B80" s="408"/>
      <c r="C80" s="2036" t="s">
        <v>914</v>
      </c>
      <c r="D80" s="2036" t="s">
        <v>913</v>
      </c>
      <c r="E80" s="2040">
        <v>16000</v>
      </c>
      <c r="F80" s="2037">
        <f t="shared" si="6"/>
        <v>72.727272727272734</v>
      </c>
      <c r="G80" s="2038">
        <f>F80/8</f>
        <v>9.0909090909090917</v>
      </c>
      <c r="H80" s="2039">
        <v>9</v>
      </c>
      <c r="I80" s="2467"/>
      <c r="J80"/>
      <c r="K80"/>
    </row>
    <row r="81" spans="1:11" s="72" customFormat="1" x14ac:dyDescent="0.2">
      <c r="A81" s="719" t="s">
        <v>166</v>
      </c>
      <c r="B81" s="719" t="s">
        <v>398</v>
      </c>
      <c r="C81" s="719" t="s">
        <v>259</v>
      </c>
      <c r="D81" s="720" t="s">
        <v>794</v>
      </c>
      <c r="E81" s="721">
        <v>58000</v>
      </c>
      <c r="F81" s="722">
        <f t="shared" si="6"/>
        <v>263.63636363636363</v>
      </c>
      <c r="G81" s="723">
        <f t="shared" ref="G81:G98" si="9">F81/8</f>
        <v>32.954545454545453</v>
      </c>
      <c r="H81" s="2513">
        <v>33</v>
      </c>
      <c r="I81" s="2511"/>
      <c r="J81"/>
      <c r="K81"/>
    </row>
    <row r="82" spans="1:11" s="72" customFormat="1" x14ac:dyDescent="0.2">
      <c r="A82" s="718"/>
      <c r="B82" s="718"/>
      <c r="C82" s="719" t="s">
        <v>260</v>
      </c>
      <c r="D82" s="724"/>
      <c r="E82" s="721">
        <v>0</v>
      </c>
      <c r="F82" s="722">
        <f t="shared" si="6"/>
        <v>0</v>
      </c>
      <c r="G82" s="725">
        <f t="shared" si="9"/>
        <v>0</v>
      </c>
      <c r="H82" s="726">
        <v>0</v>
      </c>
      <c r="I82" s="2467"/>
      <c r="J82"/>
      <c r="K82"/>
    </row>
    <row r="83" spans="1:11" s="72" customFormat="1" x14ac:dyDescent="0.2">
      <c r="A83" s="718"/>
      <c r="B83" s="718"/>
      <c r="C83" s="719" t="s">
        <v>261</v>
      </c>
      <c r="D83" s="724" t="s">
        <v>795</v>
      </c>
      <c r="E83" s="721">
        <v>40000</v>
      </c>
      <c r="F83" s="722">
        <f t="shared" si="6"/>
        <v>181.81818181818181</v>
      </c>
      <c r="G83" s="725">
        <f t="shared" si="9"/>
        <v>22.727272727272727</v>
      </c>
      <c r="H83" s="726">
        <v>23</v>
      </c>
      <c r="I83" s="2467"/>
      <c r="J83"/>
      <c r="K83"/>
    </row>
    <row r="84" spans="1:11" s="72" customFormat="1" x14ac:dyDescent="0.2">
      <c r="A84" s="718"/>
      <c r="B84" s="718"/>
      <c r="C84" s="719" t="s">
        <v>262</v>
      </c>
      <c r="D84" s="724"/>
      <c r="E84" s="721">
        <v>0</v>
      </c>
      <c r="F84" s="722">
        <f t="shared" si="6"/>
        <v>0</v>
      </c>
      <c r="G84" s="725">
        <f t="shared" si="9"/>
        <v>0</v>
      </c>
      <c r="H84" s="726">
        <v>0</v>
      </c>
      <c r="I84" s="2467"/>
      <c r="J84"/>
      <c r="K84"/>
    </row>
    <row r="85" spans="1:11" s="72" customFormat="1" x14ac:dyDescent="0.2">
      <c r="A85" s="409" t="s">
        <v>167</v>
      </c>
      <c r="B85" s="409" t="s">
        <v>399</v>
      </c>
      <c r="C85" s="409" t="s">
        <v>263</v>
      </c>
      <c r="D85" s="409"/>
      <c r="E85" s="411"/>
      <c r="F85" s="412">
        <v>144</v>
      </c>
      <c r="G85" s="413">
        <f t="shared" si="9"/>
        <v>18</v>
      </c>
      <c r="H85" s="2514">
        <v>18</v>
      </c>
      <c r="I85" s="2511"/>
      <c r="J85"/>
      <c r="K85"/>
    </row>
    <row r="86" spans="1:11" s="72" customFormat="1" x14ac:dyDescent="0.2">
      <c r="A86" s="410"/>
      <c r="B86" s="410"/>
      <c r="C86" s="409" t="s">
        <v>264</v>
      </c>
      <c r="D86" s="410"/>
      <c r="E86" s="411"/>
      <c r="F86" s="412">
        <v>208</v>
      </c>
      <c r="G86" s="413">
        <f t="shared" si="9"/>
        <v>26</v>
      </c>
      <c r="H86" s="2514">
        <v>26</v>
      </c>
      <c r="I86" s="2511"/>
      <c r="J86"/>
      <c r="K86"/>
    </row>
    <row r="87" spans="1:11" s="72" customFormat="1" x14ac:dyDescent="0.2">
      <c r="A87" s="410"/>
      <c r="B87" s="410"/>
      <c r="C87" s="409" t="s">
        <v>265</v>
      </c>
      <c r="D87" s="410"/>
      <c r="E87" s="411"/>
      <c r="F87" s="412">
        <v>165</v>
      </c>
      <c r="G87" s="413">
        <f t="shared" si="9"/>
        <v>20.625</v>
      </c>
      <c r="H87" s="2514">
        <v>21</v>
      </c>
      <c r="I87" s="2511"/>
      <c r="J87"/>
      <c r="K87"/>
    </row>
    <row r="88" spans="1:11" s="72" customFormat="1" x14ac:dyDescent="0.2">
      <c r="A88" s="410"/>
      <c r="B88" s="410"/>
      <c r="C88" s="409" t="s">
        <v>266</v>
      </c>
      <c r="D88" s="410"/>
      <c r="E88" s="411"/>
      <c r="F88" s="412">
        <v>104</v>
      </c>
      <c r="G88" s="413">
        <f t="shared" si="9"/>
        <v>13</v>
      </c>
      <c r="H88" s="2514">
        <v>13</v>
      </c>
      <c r="I88" s="2511"/>
      <c r="J88"/>
      <c r="K88"/>
    </row>
    <row r="89" spans="1:11" s="72" customFormat="1" x14ac:dyDescent="0.2">
      <c r="A89" s="728" t="s">
        <v>168</v>
      </c>
      <c r="B89" s="728" t="s">
        <v>400</v>
      </c>
      <c r="C89" s="728" t="s">
        <v>267</v>
      </c>
      <c r="D89" s="728" t="s">
        <v>797</v>
      </c>
      <c r="E89" s="729">
        <v>31000</v>
      </c>
      <c r="F89" s="730">
        <f t="shared" ref="F89:F96" si="10">E89/220</f>
        <v>140.90909090909091</v>
      </c>
      <c r="G89" s="731">
        <f t="shared" si="9"/>
        <v>17.613636363636363</v>
      </c>
      <c r="H89" s="732">
        <v>18</v>
      </c>
      <c r="I89" s="2510"/>
      <c r="J89"/>
      <c r="K89"/>
    </row>
    <row r="90" spans="1:11" s="72" customFormat="1" x14ac:dyDescent="0.2">
      <c r="A90" s="727"/>
      <c r="B90" s="727"/>
      <c r="C90" s="728" t="s">
        <v>268</v>
      </c>
      <c r="D90" s="727"/>
      <c r="E90" s="729">
        <v>0</v>
      </c>
      <c r="F90" s="730">
        <f t="shared" si="10"/>
        <v>0</v>
      </c>
      <c r="G90" s="731">
        <f t="shared" si="9"/>
        <v>0</v>
      </c>
      <c r="H90" s="732">
        <v>0</v>
      </c>
      <c r="I90" s="2467"/>
      <c r="J90"/>
      <c r="K90"/>
    </row>
    <row r="91" spans="1:11" s="72" customFormat="1" x14ac:dyDescent="0.2">
      <c r="A91" s="727"/>
      <c r="B91" s="727"/>
      <c r="C91" s="728" t="s">
        <v>269</v>
      </c>
      <c r="D91" s="727"/>
      <c r="E91" s="729">
        <v>0</v>
      </c>
      <c r="F91" s="730">
        <f t="shared" si="10"/>
        <v>0</v>
      </c>
      <c r="G91" s="731">
        <f t="shared" si="9"/>
        <v>0</v>
      </c>
      <c r="H91" s="732">
        <v>0</v>
      </c>
      <c r="I91" s="2467"/>
      <c r="J91"/>
      <c r="K91"/>
    </row>
    <row r="92" spans="1:11" s="72" customFormat="1" x14ac:dyDescent="0.2">
      <c r="A92" s="727"/>
      <c r="B92" s="727"/>
      <c r="C92" s="728" t="s">
        <v>270</v>
      </c>
      <c r="D92" s="727" t="s">
        <v>796</v>
      </c>
      <c r="E92" s="729">
        <v>17000</v>
      </c>
      <c r="F92" s="730">
        <f t="shared" si="10"/>
        <v>77.272727272727266</v>
      </c>
      <c r="G92" s="731">
        <f t="shared" si="9"/>
        <v>9.6590909090909083</v>
      </c>
      <c r="H92" s="732">
        <v>10</v>
      </c>
      <c r="I92" s="2467"/>
      <c r="J92"/>
      <c r="K92"/>
    </row>
    <row r="93" spans="1:11" s="72" customFormat="1" x14ac:dyDescent="0.2">
      <c r="A93" s="733" t="s">
        <v>169</v>
      </c>
      <c r="B93" s="733" t="s">
        <v>947</v>
      </c>
      <c r="C93" s="733" t="s">
        <v>271</v>
      </c>
      <c r="D93" s="2062" t="s">
        <v>958</v>
      </c>
      <c r="E93" s="735">
        <v>86000</v>
      </c>
      <c r="F93" s="736">
        <f t="shared" si="10"/>
        <v>390.90909090909093</v>
      </c>
      <c r="G93" s="737">
        <f>F93/7.5</f>
        <v>52.121212121212125</v>
      </c>
      <c r="H93" s="738">
        <v>52</v>
      </c>
      <c r="I93" s="2511"/>
      <c r="J93"/>
      <c r="K93"/>
    </row>
    <row r="94" spans="1:11" s="72" customFormat="1" x14ac:dyDescent="0.2">
      <c r="A94" s="739"/>
      <c r="B94" s="739"/>
      <c r="C94" s="733" t="s">
        <v>272</v>
      </c>
      <c r="D94" s="734"/>
      <c r="E94" s="735">
        <v>0</v>
      </c>
      <c r="F94" s="736">
        <f t="shared" si="10"/>
        <v>0</v>
      </c>
      <c r="G94" s="737">
        <f t="shared" si="9"/>
        <v>0</v>
      </c>
      <c r="H94" s="738">
        <v>0</v>
      </c>
      <c r="I94" s="2467"/>
    </row>
    <row r="95" spans="1:11" s="72" customFormat="1" x14ac:dyDescent="0.2">
      <c r="A95" s="739"/>
      <c r="B95" s="739"/>
      <c r="C95" s="733" t="s">
        <v>273</v>
      </c>
      <c r="D95" s="734"/>
      <c r="E95" s="735">
        <v>0</v>
      </c>
      <c r="F95" s="736">
        <f t="shared" si="10"/>
        <v>0</v>
      </c>
      <c r="G95" s="737">
        <f t="shared" si="9"/>
        <v>0</v>
      </c>
      <c r="H95" s="738">
        <v>0</v>
      </c>
      <c r="I95" s="2467"/>
    </row>
    <row r="96" spans="1:11" s="72" customFormat="1" x14ac:dyDescent="0.2">
      <c r="A96" s="739"/>
      <c r="B96" s="739"/>
      <c r="C96" s="733" t="s">
        <v>274</v>
      </c>
      <c r="D96" s="734"/>
      <c r="E96" s="735">
        <v>0</v>
      </c>
      <c r="F96" s="736">
        <f t="shared" si="10"/>
        <v>0</v>
      </c>
      <c r="G96" s="737">
        <f t="shared" si="9"/>
        <v>0</v>
      </c>
      <c r="H96" s="738">
        <v>0</v>
      </c>
      <c r="I96" s="2467"/>
    </row>
    <row r="97" spans="1:9" s="72" customFormat="1" x14ac:dyDescent="0.2">
      <c r="A97" s="740" t="s">
        <v>170</v>
      </c>
      <c r="B97" s="740" t="s">
        <v>401</v>
      </c>
      <c r="C97" s="740" t="s">
        <v>275</v>
      </c>
      <c r="D97" s="740" t="s">
        <v>457</v>
      </c>
      <c r="E97" s="741"/>
      <c r="F97" s="742"/>
      <c r="G97" s="743">
        <v>25</v>
      </c>
      <c r="H97" s="744">
        <v>25</v>
      </c>
      <c r="I97" s="2510"/>
    </row>
    <row r="98" spans="1:9" s="72" customFormat="1" ht="12.75" customHeight="1" x14ac:dyDescent="0.2">
      <c r="A98" s="745"/>
      <c r="B98" s="745"/>
      <c r="C98" s="740" t="s">
        <v>276</v>
      </c>
      <c r="D98" s="745"/>
      <c r="E98" s="746"/>
      <c r="F98" s="742"/>
      <c r="G98" s="743">
        <f t="shared" si="9"/>
        <v>0</v>
      </c>
      <c r="H98" s="744">
        <v>0</v>
      </c>
      <c r="I98" s="2467"/>
    </row>
    <row r="99" spans="1:9" s="72" customFormat="1" ht="13.5" customHeight="1" x14ac:dyDescent="0.2">
      <c r="A99" s="745"/>
      <c r="B99" s="745"/>
      <c r="C99" s="740" t="s">
        <v>277</v>
      </c>
      <c r="D99" s="740" t="s">
        <v>459</v>
      </c>
      <c r="E99" s="746"/>
      <c r="F99" s="742"/>
      <c r="G99" s="743">
        <v>25</v>
      </c>
      <c r="H99" s="744">
        <v>25</v>
      </c>
      <c r="I99" s="2510"/>
    </row>
    <row r="100" spans="1:9" s="72" customFormat="1" x14ac:dyDescent="0.2">
      <c r="A100" s="745"/>
      <c r="B100" s="745"/>
      <c r="C100" s="740" t="s">
        <v>278</v>
      </c>
      <c r="D100" s="745" t="s">
        <v>458</v>
      </c>
      <c r="E100" s="746"/>
      <c r="F100" s="742"/>
      <c r="G100" s="743">
        <v>25</v>
      </c>
      <c r="H100" s="744">
        <v>25</v>
      </c>
      <c r="I100" s="2510"/>
    </row>
    <row r="101" spans="1:9" s="72" customFormat="1" x14ac:dyDescent="0.2">
      <c r="A101" s="414" t="s">
        <v>171</v>
      </c>
      <c r="B101" s="414" t="s">
        <v>403</v>
      </c>
      <c r="C101" s="414" t="s">
        <v>279</v>
      </c>
      <c r="D101" s="415" t="s">
        <v>790</v>
      </c>
      <c r="E101" s="416"/>
      <c r="F101" s="417"/>
      <c r="G101" s="418">
        <v>17</v>
      </c>
      <c r="H101" s="419">
        <v>17</v>
      </c>
      <c r="I101" s="2511"/>
    </row>
    <row r="102" spans="1:9" s="72" customFormat="1" x14ac:dyDescent="0.2">
      <c r="A102" s="415"/>
      <c r="B102" s="415"/>
      <c r="C102" s="414" t="s">
        <v>280</v>
      </c>
      <c r="D102" s="415" t="s">
        <v>791</v>
      </c>
      <c r="E102" s="416"/>
      <c r="F102" s="417"/>
      <c r="G102" s="418">
        <v>15</v>
      </c>
      <c r="H102" s="419">
        <v>15</v>
      </c>
      <c r="I102" s="2511"/>
    </row>
    <row r="103" spans="1:9" x14ac:dyDescent="0.2">
      <c r="A103" s="415"/>
      <c r="B103" s="415"/>
      <c r="C103" s="414" t="s">
        <v>281</v>
      </c>
      <c r="D103" s="415" t="s">
        <v>792</v>
      </c>
      <c r="E103" s="416"/>
      <c r="F103" s="417"/>
      <c r="G103" s="418">
        <v>15</v>
      </c>
      <c r="H103" s="419">
        <v>15</v>
      </c>
      <c r="I103" s="2511"/>
    </row>
    <row r="104" spans="1:9" x14ac:dyDescent="0.2">
      <c r="A104" s="415"/>
      <c r="B104" s="415"/>
      <c r="C104" s="414" t="s">
        <v>282</v>
      </c>
      <c r="D104" s="415" t="s">
        <v>793</v>
      </c>
      <c r="E104" s="416"/>
      <c r="F104" s="417"/>
      <c r="G104" s="418">
        <v>12</v>
      </c>
      <c r="H104" s="419">
        <v>12</v>
      </c>
      <c r="I104" s="2511"/>
    </row>
    <row r="105" spans="1:9" x14ac:dyDescent="0.2">
      <c r="A105" s="420" t="s">
        <v>172</v>
      </c>
      <c r="B105" s="420" t="s">
        <v>946</v>
      </c>
      <c r="C105" s="420" t="s">
        <v>283</v>
      </c>
      <c r="D105" s="2063" t="s">
        <v>961</v>
      </c>
      <c r="E105" s="2064"/>
      <c r="F105" s="422">
        <f>E105/220</f>
        <v>0</v>
      </c>
      <c r="G105" s="423">
        <f>F105/8</f>
        <v>0</v>
      </c>
      <c r="H105" s="2515">
        <v>0</v>
      </c>
      <c r="I105" s="2057"/>
    </row>
    <row r="106" spans="1:9" x14ac:dyDescent="0.2">
      <c r="A106" s="421"/>
      <c r="B106" s="421"/>
      <c r="C106" s="420" t="s">
        <v>284</v>
      </c>
      <c r="D106" s="2063" t="s">
        <v>962</v>
      </c>
      <c r="E106" s="2064"/>
      <c r="F106" s="422">
        <f t="shared" ref="F106:F108" si="11">E106/220</f>
        <v>0</v>
      </c>
      <c r="G106" s="423">
        <f t="shared" ref="G106:G108" si="12">F106/8</f>
        <v>0</v>
      </c>
      <c r="H106" s="2515"/>
    </row>
    <row r="107" spans="1:9" x14ac:dyDescent="0.2">
      <c r="A107" s="421"/>
      <c r="B107" s="421"/>
      <c r="C107" s="420" t="s">
        <v>285</v>
      </c>
      <c r="D107" s="2065" t="s">
        <v>963</v>
      </c>
      <c r="E107" s="2064"/>
      <c r="F107" s="422">
        <f t="shared" si="11"/>
        <v>0</v>
      </c>
      <c r="G107" s="423">
        <f t="shared" si="12"/>
        <v>0</v>
      </c>
      <c r="H107" s="2515"/>
    </row>
    <row r="108" spans="1:9" x14ac:dyDescent="0.2">
      <c r="A108" s="421"/>
      <c r="B108" s="421"/>
      <c r="C108" s="420" t="s">
        <v>286</v>
      </c>
      <c r="D108" s="2065" t="s">
        <v>964</v>
      </c>
      <c r="E108" s="2064"/>
      <c r="F108" s="422">
        <f t="shared" si="11"/>
        <v>0</v>
      </c>
      <c r="G108" s="423">
        <f t="shared" si="12"/>
        <v>0</v>
      </c>
      <c r="H108" s="2515"/>
    </row>
    <row r="109" spans="1:9" x14ac:dyDescent="0.2">
      <c r="A109" s="424" t="s">
        <v>173</v>
      </c>
      <c r="B109" s="2061" t="s">
        <v>948</v>
      </c>
      <c r="C109" s="425" t="s">
        <v>287</v>
      </c>
      <c r="D109" s="426" t="s">
        <v>956</v>
      </c>
      <c r="E109" s="427">
        <v>92000</v>
      </c>
      <c r="F109" s="428">
        <f t="shared" ref="F109:F115" si="13">E109/201</f>
        <v>457.71144278606965</v>
      </c>
      <c r="G109" s="429">
        <f t="shared" ref="G109:G115" si="14">F109/8</f>
        <v>57.213930348258707</v>
      </c>
      <c r="H109" s="430">
        <v>57</v>
      </c>
      <c r="I109" s="2057"/>
    </row>
    <row r="110" spans="1:9" x14ac:dyDescent="0.2">
      <c r="A110" s="424"/>
      <c r="B110" s="424"/>
      <c r="C110" s="425" t="s">
        <v>288</v>
      </c>
      <c r="D110" s="431"/>
      <c r="E110" s="427"/>
      <c r="F110" s="428"/>
      <c r="G110" s="429"/>
      <c r="H110" s="430">
        <v>0</v>
      </c>
    </row>
    <row r="111" spans="1:9" x14ac:dyDescent="0.2">
      <c r="A111" s="424"/>
      <c r="B111" s="424"/>
      <c r="C111" s="425" t="s">
        <v>289</v>
      </c>
      <c r="D111" s="431" t="s">
        <v>957</v>
      </c>
      <c r="E111" s="427">
        <v>74000</v>
      </c>
      <c r="F111" s="428">
        <f t="shared" si="13"/>
        <v>368.15920398009951</v>
      </c>
      <c r="G111" s="429">
        <f t="shared" si="14"/>
        <v>46.019900497512438</v>
      </c>
      <c r="H111" s="430">
        <v>46</v>
      </c>
      <c r="I111" s="2057"/>
    </row>
    <row r="112" spans="1:9" x14ac:dyDescent="0.2">
      <c r="A112" s="424"/>
      <c r="B112" s="424"/>
      <c r="C112" s="425" t="s">
        <v>290</v>
      </c>
      <c r="D112" s="424"/>
      <c r="E112" s="427"/>
      <c r="F112" s="428"/>
      <c r="G112" s="429"/>
      <c r="H112" s="430">
        <v>0</v>
      </c>
    </row>
    <row r="113" spans="1:8" x14ac:dyDescent="0.2">
      <c r="A113" s="2075" t="s">
        <v>174</v>
      </c>
      <c r="B113" s="2076" t="s">
        <v>404</v>
      </c>
      <c r="C113" s="432" t="s">
        <v>291</v>
      </c>
      <c r="D113" s="2075" t="s">
        <v>959</v>
      </c>
      <c r="E113" s="2077">
        <v>25000</v>
      </c>
      <c r="F113" s="2078">
        <f t="shared" si="13"/>
        <v>124.37810945273633</v>
      </c>
      <c r="G113" s="2079">
        <f t="shared" si="14"/>
        <v>15.547263681592041</v>
      </c>
      <c r="H113" s="2080">
        <v>16</v>
      </c>
    </row>
    <row r="114" spans="1:8" x14ac:dyDescent="0.2">
      <c r="A114" s="2075"/>
      <c r="B114" s="2075"/>
      <c r="C114" s="432" t="s">
        <v>292</v>
      </c>
      <c r="D114" s="2075"/>
      <c r="E114" s="2077"/>
      <c r="F114" s="2078"/>
      <c r="G114" s="2079"/>
      <c r="H114" s="2080">
        <v>0</v>
      </c>
    </row>
    <row r="115" spans="1:8" x14ac:dyDescent="0.2">
      <c r="A115" s="2075"/>
      <c r="B115" s="2075"/>
      <c r="C115" s="432" t="s">
        <v>293</v>
      </c>
      <c r="D115" s="2075" t="s">
        <v>960</v>
      </c>
      <c r="E115" s="2077">
        <v>18000</v>
      </c>
      <c r="F115" s="2078">
        <f t="shared" si="13"/>
        <v>89.552238805970148</v>
      </c>
      <c r="G115" s="2079">
        <f t="shared" si="14"/>
        <v>11.194029850746269</v>
      </c>
      <c r="H115" s="2080">
        <v>11</v>
      </c>
    </row>
    <row r="116" spans="1:8" x14ac:dyDescent="0.2">
      <c r="A116" s="2075"/>
      <c r="B116" s="2075"/>
      <c r="C116" s="432" t="s">
        <v>294</v>
      </c>
      <c r="D116" s="2075"/>
      <c r="E116" s="2077"/>
      <c r="F116" s="2078"/>
      <c r="G116" s="2079"/>
      <c r="H116" s="2080">
        <v>0</v>
      </c>
    </row>
  </sheetData>
  <sheetProtection password="A72F" sheet="1" objects="1" scenarios="1"/>
  <phoneticPr fontId="11" type="noConversion"/>
  <pageMargins left="0.53" right="0.56000000000000005" top="0.6" bottom="0.54"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Generate_Partners_List">
                <anchor moveWithCells="1" sizeWithCells="1">
                  <from>
                    <xdr:col>10</xdr:col>
                    <xdr:colOff>76200</xdr:colOff>
                    <xdr:row>0</xdr:row>
                    <xdr:rowOff>123825</xdr:rowOff>
                  </from>
                  <to>
                    <xdr:col>11</xdr:col>
                    <xdr:colOff>714375</xdr:colOff>
                    <xdr:row>1</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I308"/>
  <sheetViews>
    <sheetView zoomScale="90" zoomScaleNormal="90" zoomScaleSheetLayoutView="90" workbookViewId="0">
      <selection activeCell="C26" sqref="C26"/>
    </sheetView>
  </sheetViews>
  <sheetFormatPr defaultColWidth="9.140625" defaultRowHeight="12.75" x14ac:dyDescent="0.2"/>
  <cols>
    <col min="1" max="1" width="12" style="74" customWidth="1"/>
    <col min="2" max="2" width="24.28515625" style="110" customWidth="1"/>
    <col min="3" max="3" width="60.7109375" style="215" customWidth="1"/>
    <col min="4" max="4" width="12.85546875" style="110" customWidth="1"/>
    <col min="5" max="5" width="13.5703125" style="111" customWidth="1"/>
    <col min="6" max="6" width="13.140625" style="111" customWidth="1"/>
    <col min="7" max="7" width="13.28515625" style="111" customWidth="1"/>
    <col min="8" max="8" width="15.140625" style="111" customWidth="1"/>
    <col min="9" max="9" width="23.7109375" style="2382" customWidth="1"/>
    <col min="10" max="256" width="11.42578125" customWidth="1"/>
  </cols>
  <sheetData>
    <row r="1" spans="1:9" s="67" customFormat="1" ht="20.25" x14ac:dyDescent="0.3">
      <c r="A1" s="328" t="s">
        <v>143</v>
      </c>
      <c r="B1" s="110"/>
      <c r="C1" s="215"/>
      <c r="D1" s="110"/>
      <c r="E1" s="111"/>
      <c r="F1" s="111"/>
      <c r="G1" s="111"/>
      <c r="H1" s="111"/>
      <c r="I1" s="2499"/>
    </row>
    <row r="2" spans="1:9" s="67" customFormat="1" ht="18" x14ac:dyDescent="0.25">
      <c r="A2" s="327" t="s">
        <v>22</v>
      </c>
      <c r="B2" s="110"/>
      <c r="C2" s="215"/>
      <c r="D2" s="110"/>
      <c r="E2" s="111"/>
      <c r="F2" s="111"/>
      <c r="G2" s="111"/>
      <c r="H2" s="111"/>
      <c r="I2" s="2499"/>
    </row>
    <row r="3" spans="1:9" x14ac:dyDescent="0.2">
      <c r="C3" s="215">
        <f>36*8</f>
        <v>288</v>
      </c>
    </row>
    <row r="4" spans="1:9" s="4" customFormat="1" x14ac:dyDescent="0.2">
      <c r="A4" s="75" t="s">
        <v>0</v>
      </c>
      <c r="B4" s="13" t="s">
        <v>1</v>
      </c>
      <c r="C4" s="216" t="s">
        <v>2</v>
      </c>
      <c r="D4" s="13" t="s">
        <v>3</v>
      </c>
      <c r="E4" s="20" t="s">
        <v>4</v>
      </c>
      <c r="F4" s="20" t="s">
        <v>7</v>
      </c>
      <c r="G4" s="20" t="s">
        <v>5</v>
      </c>
      <c r="H4" s="20" t="s">
        <v>6</v>
      </c>
      <c r="I4" s="2500"/>
    </row>
    <row r="5" spans="1:9" s="4" customFormat="1" x14ac:dyDescent="0.2">
      <c r="A5" s="76" t="s">
        <v>23</v>
      </c>
      <c r="B5" s="6"/>
      <c r="C5" s="217"/>
      <c r="D5" s="6"/>
      <c r="E5" s="21"/>
      <c r="F5" s="21"/>
      <c r="G5" s="21"/>
      <c r="H5" s="22">
        <f>SUM(G5:G5)</f>
        <v>0</v>
      </c>
      <c r="I5" s="2500"/>
    </row>
    <row r="6" spans="1:9" x14ac:dyDescent="0.2">
      <c r="A6" s="83" t="s">
        <v>107</v>
      </c>
      <c r="B6" s="121" t="s">
        <v>150</v>
      </c>
      <c r="C6" s="240" t="s">
        <v>329</v>
      </c>
      <c r="D6" s="241" t="s">
        <v>17</v>
      </c>
      <c r="E6" s="242">
        <f>SUM(E7:E14)</f>
        <v>2424</v>
      </c>
      <c r="F6" s="243">
        <f>salaries!H3</f>
        <v>26</v>
      </c>
      <c r="G6" s="242">
        <f>F6*E6</f>
        <v>63024</v>
      </c>
      <c r="H6" s="113"/>
    </row>
    <row r="7" spans="1:9" x14ac:dyDescent="0.2">
      <c r="A7" s="83"/>
      <c r="B7" s="124"/>
      <c r="C7" s="252" t="s">
        <v>344</v>
      </c>
      <c r="D7" s="251"/>
      <c r="E7" s="107">
        <v>80</v>
      </c>
      <c r="F7" s="115"/>
      <c r="G7" s="107"/>
      <c r="H7" s="115"/>
    </row>
    <row r="8" spans="1:9" x14ac:dyDescent="0.2">
      <c r="A8" s="83"/>
      <c r="B8" s="124"/>
      <c r="C8" s="252" t="s">
        <v>343</v>
      </c>
      <c r="D8" s="251"/>
      <c r="E8" s="107">
        <v>160</v>
      </c>
      <c r="F8" s="115"/>
      <c r="G8" s="107"/>
      <c r="H8" s="115"/>
    </row>
    <row r="9" spans="1:9" x14ac:dyDescent="0.2">
      <c r="A9" s="83"/>
      <c r="B9" s="124"/>
      <c r="C9" s="252" t="s">
        <v>348</v>
      </c>
      <c r="D9" s="251"/>
      <c r="E9" s="107">
        <v>40</v>
      </c>
      <c r="F9" s="115"/>
      <c r="G9" s="107"/>
      <c r="H9" s="115"/>
    </row>
    <row r="10" spans="1:9" x14ac:dyDescent="0.2">
      <c r="A10" s="83"/>
      <c r="B10" s="124"/>
      <c r="C10" s="252" t="s">
        <v>388</v>
      </c>
      <c r="D10" s="251"/>
      <c r="E10" s="107">
        <f>28*10</f>
        <v>280</v>
      </c>
      <c r="F10" s="115"/>
      <c r="G10" s="107"/>
      <c r="H10" s="115"/>
    </row>
    <row r="11" spans="1:9" x14ac:dyDescent="0.2">
      <c r="A11" s="83"/>
      <c r="B11" s="124"/>
      <c r="C11" s="252" t="s">
        <v>387</v>
      </c>
      <c r="D11" s="251"/>
      <c r="E11" s="107">
        <v>40</v>
      </c>
      <c r="F11" s="115"/>
      <c r="G11" s="107"/>
      <c r="H11" s="115"/>
    </row>
    <row r="12" spans="1:9" x14ac:dyDescent="0.2">
      <c r="A12" s="83"/>
      <c r="B12" s="124"/>
      <c r="C12" s="252" t="s">
        <v>382</v>
      </c>
      <c r="D12" s="251"/>
      <c r="E12" s="107">
        <f>4*36</f>
        <v>144</v>
      </c>
      <c r="F12" s="115"/>
      <c r="G12" s="107"/>
      <c r="H12" s="115"/>
    </row>
    <row r="13" spans="1:9" x14ac:dyDescent="0.2">
      <c r="A13" s="83"/>
      <c r="B13" s="124"/>
      <c r="C13" s="252" t="s">
        <v>576</v>
      </c>
      <c r="D13" s="251"/>
      <c r="E13" s="107">
        <f>3*80</f>
        <v>240</v>
      </c>
      <c r="F13" s="115"/>
      <c r="G13" s="107"/>
      <c r="H13" s="115"/>
      <c r="I13" s="2383"/>
    </row>
    <row r="14" spans="1:9" x14ac:dyDescent="0.2">
      <c r="A14" s="83"/>
      <c r="B14" s="124"/>
      <c r="C14" s="252" t="s">
        <v>345</v>
      </c>
      <c r="D14" s="251"/>
      <c r="E14" s="107">
        <f>40*36</f>
        <v>1440</v>
      </c>
      <c r="F14" s="115"/>
      <c r="G14" s="107"/>
      <c r="H14" s="115"/>
    </row>
    <row r="15" spans="1:9" x14ac:dyDescent="0.2">
      <c r="A15" s="83"/>
      <c r="B15" s="124" t="s">
        <v>159</v>
      </c>
      <c r="C15" s="240" t="s">
        <v>324</v>
      </c>
      <c r="D15" s="513" t="s">
        <v>17</v>
      </c>
      <c r="E15" s="511">
        <f>SUM(E16:E19)</f>
        <v>568</v>
      </c>
      <c r="F15" s="514">
        <f>salaries!H7</f>
        <v>52</v>
      </c>
      <c r="G15" s="511">
        <f>F15*E15</f>
        <v>29536</v>
      </c>
      <c r="H15" s="115"/>
    </row>
    <row r="16" spans="1:9" x14ac:dyDescent="0.2">
      <c r="A16" s="83"/>
      <c r="B16" s="124"/>
      <c r="C16" s="252" t="s">
        <v>346</v>
      </c>
      <c r="D16" s="251"/>
      <c r="E16" s="107">
        <v>80</v>
      </c>
      <c r="F16" s="115"/>
      <c r="G16" s="107"/>
      <c r="H16" s="115"/>
    </row>
    <row r="17" spans="1:9" x14ac:dyDescent="0.2">
      <c r="A17" s="83"/>
      <c r="B17" s="124"/>
      <c r="C17" s="252" t="s">
        <v>347</v>
      </c>
      <c r="D17" s="251"/>
      <c r="E17" s="107">
        <v>160</v>
      </c>
      <c r="F17" s="115"/>
      <c r="G17" s="107"/>
      <c r="H17" s="115"/>
    </row>
    <row r="18" spans="1:9" x14ac:dyDescent="0.2">
      <c r="A18" s="83"/>
      <c r="B18" s="124"/>
      <c r="C18" s="252" t="s">
        <v>348</v>
      </c>
      <c r="D18" s="251"/>
      <c r="E18" s="107">
        <v>40</v>
      </c>
      <c r="F18" s="115"/>
      <c r="G18" s="107"/>
      <c r="H18" s="115"/>
    </row>
    <row r="19" spans="1:9" ht="22.5" x14ac:dyDescent="0.2">
      <c r="A19" s="83"/>
      <c r="B19" s="124"/>
      <c r="C19" s="252" t="s">
        <v>385</v>
      </c>
      <c r="D19" s="251"/>
      <c r="E19" s="107">
        <f>8*36</f>
        <v>288</v>
      </c>
      <c r="F19" s="115"/>
      <c r="G19" s="107"/>
      <c r="H19" s="115"/>
    </row>
    <row r="20" spans="1:9" x14ac:dyDescent="0.2">
      <c r="A20" s="83"/>
      <c r="B20" s="124" t="s">
        <v>156</v>
      </c>
      <c r="C20" s="240" t="s">
        <v>329</v>
      </c>
      <c r="D20" s="513" t="s">
        <v>17</v>
      </c>
      <c r="E20" s="511">
        <f>SUM(E21:E22)</f>
        <v>440</v>
      </c>
      <c r="F20" s="514">
        <f>salaries!H5</f>
        <v>60</v>
      </c>
      <c r="G20" s="511">
        <f>F20*E20</f>
        <v>26400</v>
      </c>
      <c r="H20" s="115"/>
    </row>
    <row r="21" spans="1:9" x14ac:dyDescent="0.2">
      <c r="A21" s="83"/>
      <c r="B21" s="124"/>
      <c r="C21" s="252" t="s">
        <v>383</v>
      </c>
      <c r="D21" s="251"/>
      <c r="E21" s="107">
        <v>120</v>
      </c>
      <c r="F21" s="115"/>
      <c r="G21" s="107"/>
      <c r="H21" s="115"/>
      <c r="I21" s="2383"/>
    </row>
    <row r="22" spans="1:9" x14ac:dyDescent="0.2">
      <c r="A22" s="83"/>
      <c r="B22" s="124"/>
      <c r="C22" s="252" t="s">
        <v>349</v>
      </c>
      <c r="D22" s="251"/>
      <c r="E22" s="107">
        <v>320</v>
      </c>
      <c r="F22" s="115"/>
      <c r="G22" s="107"/>
      <c r="H22" s="115"/>
    </row>
    <row r="23" spans="1:9" x14ac:dyDescent="0.2">
      <c r="A23" s="83"/>
      <c r="B23" s="124" t="s">
        <v>160</v>
      </c>
      <c r="C23" s="240" t="s">
        <v>324</v>
      </c>
      <c r="D23" s="513" t="s">
        <v>17</v>
      </c>
      <c r="E23" s="511">
        <f>SUM(E24:E24)</f>
        <v>120</v>
      </c>
      <c r="F23" s="514">
        <f>salaries!H6</f>
        <v>26</v>
      </c>
      <c r="G23" s="511">
        <f>F23*E23</f>
        <v>3120</v>
      </c>
      <c r="H23" s="115"/>
    </row>
    <row r="24" spans="1:9" x14ac:dyDescent="0.2">
      <c r="A24" s="83"/>
      <c r="B24" s="124"/>
      <c r="C24" s="222" t="s">
        <v>384</v>
      </c>
      <c r="D24" s="251"/>
      <c r="E24" s="107">
        <v>120</v>
      </c>
      <c r="F24" s="115"/>
      <c r="G24" s="107"/>
      <c r="H24" s="115"/>
      <c r="I24" s="2383"/>
    </row>
    <row r="25" spans="1:9" x14ac:dyDescent="0.2">
      <c r="A25" s="83"/>
      <c r="B25" s="114" t="s">
        <v>155</v>
      </c>
      <c r="C25" s="240" t="s">
        <v>324</v>
      </c>
      <c r="D25" s="513" t="s">
        <v>17</v>
      </c>
      <c r="E25" s="511">
        <f>SUM(E26:E27)</f>
        <v>136</v>
      </c>
      <c r="F25" s="514">
        <f>salaries!H4</f>
        <v>29</v>
      </c>
      <c r="G25" s="511">
        <f>F25*E25</f>
        <v>3944</v>
      </c>
      <c r="H25" s="115"/>
    </row>
    <row r="26" spans="1:9" x14ac:dyDescent="0.2">
      <c r="A26" s="83"/>
      <c r="B26" s="114"/>
      <c r="C26" s="252" t="s">
        <v>350</v>
      </c>
      <c r="D26" s="251"/>
      <c r="E26" s="107">
        <v>40</v>
      </c>
      <c r="F26" s="115"/>
      <c r="G26" s="107"/>
      <c r="H26" s="115"/>
    </row>
    <row r="27" spans="1:9" x14ac:dyDescent="0.2">
      <c r="A27" s="83"/>
      <c r="B27" s="114"/>
      <c r="C27" s="222" t="s">
        <v>386</v>
      </c>
      <c r="D27" s="251"/>
      <c r="E27" s="107">
        <f>4*24</f>
        <v>96</v>
      </c>
      <c r="F27" s="115"/>
      <c r="G27" s="107"/>
      <c r="H27" s="115"/>
    </row>
    <row r="28" spans="1:9" x14ac:dyDescent="0.2">
      <c r="A28" s="519"/>
      <c r="B28" s="520"/>
      <c r="C28" s="521"/>
      <c r="D28" s="520"/>
      <c r="E28" s="522"/>
      <c r="F28" s="523"/>
      <c r="G28" s="522"/>
      <c r="H28" s="523">
        <f>SUM(G6:G28)</f>
        <v>126024</v>
      </c>
    </row>
    <row r="29" spans="1:9" x14ac:dyDescent="0.2">
      <c r="A29" s="532" t="s">
        <v>203</v>
      </c>
      <c r="B29" s="565" t="s">
        <v>151</v>
      </c>
      <c r="C29" s="566" t="s">
        <v>324</v>
      </c>
      <c r="D29" s="534" t="s">
        <v>17</v>
      </c>
      <c r="E29" s="535">
        <f>SUM(E30:E34)</f>
        <v>192</v>
      </c>
      <c r="F29" s="536">
        <f>salaries!H8</f>
        <v>29</v>
      </c>
      <c r="G29" s="535">
        <f>F29*E29</f>
        <v>5568</v>
      </c>
      <c r="H29" s="567"/>
    </row>
    <row r="30" spans="1:9" x14ac:dyDescent="0.2">
      <c r="A30" s="532"/>
      <c r="B30" s="565"/>
      <c r="C30" s="568" t="s">
        <v>352</v>
      </c>
      <c r="D30" s="565"/>
      <c r="E30" s="569">
        <v>16</v>
      </c>
      <c r="F30" s="567"/>
      <c r="G30" s="569"/>
      <c r="H30" s="567"/>
    </row>
    <row r="31" spans="1:9" x14ac:dyDescent="0.2">
      <c r="A31" s="532"/>
      <c r="B31" s="565"/>
      <c r="C31" s="570" t="s">
        <v>390</v>
      </c>
      <c r="D31" s="565"/>
      <c r="E31" s="569">
        <f>4*24</f>
        <v>96</v>
      </c>
      <c r="F31" s="567"/>
      <c r="G31" s="569"/>
      <c r="H31" s="567"/>
      <c r="I31" s="2383"/>
    </row>
    <row r="32" spans="1:9" x14ac:dyDescent="0.2">
      <c r="A32" s="532"/>
      <c r="B32" s="565"/>
      <c r="C32" s="568" t="s">
        <v>353</v>
      </c>
      <c r="D32" s="565"/>
      <c r="E32" s="569">
        <v>32</v>
      </c>
      <c r="F32" s="567"/>
      <c r="G32" s="569"/>
      <c r="H32" s="567"/>
    </row>
    <row r="33" spans="1:9" x14ac:dyDescent="0.2">
      <c r="A33" s="532"/>
      <c r="B33" s="565"/>
      <c r="C33" s="568" t="s">
        <v>354</v>
      </c>
      <c r="D33" s="565"/>
      <c r="E33" s="569">
        <v>40</v>
      </c>
      <c r="F33" s="567"/>
      <c r="G33" s="569"/>
      <c r="H33" s="567"/>
    </row>
    <row r="34" spans="1:9" x14ac:dyDescent="0.2">
      <c r="A34" s="532"/>
      <c r="B34" s="565"/>
      <c r="C34" s="568" t="s">
        <v>351</v>
      </c>
      <c r="D34" s="565"/>
      <c r="E34" s="569">
        <v>8</v>
      </c>
      <c r="F34" s="567"/>
      <c r="G34" s="569"/>
      <c r="H34" s="567"/>
    </row>
    <row r="35" spans="1:9" x14ac:dyDescent="0.2">
      <c r="A35" s="532"/>
      <c r="B35" s="565" t="s">
        <v>154</v>
      </c>
      <c r="C35" s="566" t="s">
        <v>324</v>
      </c>
      <c r="D35" s="534" t="s">
        <v>17</v>
      </c>
      <c r="E35" s="535">
        <f>SUM(E36:E38)</f>
        <v>96</v>
      </c>
      <c r="F35" s="536">
        <f>salaries!H11</f>
        <v>20</v>
      </c>
      <c r="G35" s="535">
        <f>F35*E35</f>
        <v>1920</v>
      </c>
      <c r="H35" s="536"/>
      <c r="I35" s="2471"/>
    </row>
    <row r="36" spans="1:9" x14ac:dyDescent="0.2">
      <c r="A36" s="532"/>
      <c r="B36" s="565"/>
      <c r="C36" s="568" t="s">
        <v>391</v>
      </c>
      <c r="D36" s="565"/>
      <c r="E36" s="569">
        <f>6*8</f>
        <v>48</v>
      </c>
      <c r="F36" s="567"/>
      <c r="G36" s="569"/>
      <c r="H36" s="567"/>
    </row>
    <row r="37" spans="1:9" x14ac:dyDescent="0.2">
      <c r="A37" s="532"/>
      <c r="B37" s="565"/>
      <c r="C37" s="568" t="s">
        <v>467</v>
      </c>
      <c r="D37" s="565"/>
      <c r="E37" s="569">
        <v>32</v>
      </c>
      <c r="F37" s="567"/>
      <c r="G37" s="569"/>
      <c r="H37" s="567"/>
    </row>
    <row r="38" spans="1:9" ht="22.5" x14ac:dyDescent="0.2">
      <c r="A38" s="571"/>
      <c r="B38" s="572"/>
      <c r="C38" s="573" t="s">
        <v>355</v>
      </c>
      <c r="D38" s="572"/>
      <c r="E38" s="574">
        <v>16</v>
      </c>
      <c r="F38" s="575"/>
      <c r="G38" s="574"/>
      <c r="H38" s="575">
        <f>SUM(G29:G38)</f>
        <v>7488</v>
      </c>
    </row>
    <row r="39" spans="1:9" x14ac:dyDescent="0.2">
      <c r="A39" s="557" t="s">
        <v>204</v>
      </c>
      <c r="B39" s="558" t="s">
        <v>183</v>
      </c>
      <c r="C39" s="559" t="s">
        <v>324</v>
      </c>
      <c r="D39" s="560" t="s">
        <v>17</v>
      </c>
      <c r="E39" s="561">
        <f>SUM(E40:E44)</f>
        <v>192</v>
      </c>
      <c r="F39" s="562">
        <f>salaries!H12</f>
        <v>27</v>
      </c>
      <c r="G39" s="561">
        <f>F39*E39</f>
        <v>5184</v>
      </c>
      <c r="H39" s="547"/>
    </row>
    <row r="40" spans="1:9" x14ac:dyDescent="0.2">
      <c r="A40" s="557"/>
      <c r="B40" s="558"/>
      <c r="C40" s="563" t="s">
        <v>352</v>
      </c>
      <c r="D40" s="558"/>
      <c r="E40" s="564">
        <v>16</v>
      </c>
      <c r="F40" s="547"/>
      <c r="G40" s="564"/>
      <c r="H40" s="547"/>
    </row>
    <row r="41" spans="1:9" x14ac:dyDescent="0.2">
      <c r="A41" s="557"/>
      <c r="B41" s="558"/>
      <c r="C41" s="576" t="s">
        <v>390</v>
      </c>
      <c r="D41" s="558"/>
      <c r="E41" s="564">
        <f>4*24</f>
        <v>96</v>
      </c>
      <c r="F41" s="547"/>
      <c r="G41" s="564"/>
      <c r="H41" s="547"/>
      <c r="I41" s="2383"/>
    </row>
    <row r="42" spans="1:9" x14ac:dyDescent="0.2">
      <c r="A42" s="557"/>
      <c r="B42" s="558"/>
      <c r="C42" s="563" t="s">
        <v>353</v>
      </c>
      <c r="D42" s="558"/>
      <c r="E42" s="564">
        <v>32</v>
      </c>
      <c r="F42" s="547"/>
      <c r="G42" s="564"/>
      <c r="H42" s="547"/>
    </row>
    <row r="43" spans="1:9" x14ac:dyDescent="0.2">
      <c r="A43" s="557"/>
      <c r="B43" s="558"/>
      <c r="C43" s="563" t="s">
        <v>354</v>
      </c>
      <c r="D43" s="558"/>
      <c r="E43" s="564">
        <v>40</v>
      </c>
      <c r="F43" s="547"/>
      <c r="G43" s="564"/>
      <c r="H43" s="547"/>
    </row>
    <row r="44" spans="1:9" x14ac:dyDescent="0.2">
      <c r="A44" s="557"/>
      <c r="B44" s="558"/>
      <c r="C44" s="563" t="s">
        <v>351</v>
      </c>
      <c r="D44" s="558"/>
      <c r="E44" s="564">
        <v>8</v>
      </c>
      <c r="F44" s="547"/>
      <c r="G44" s="564"/>
      <c r="H44" s="547"/>
    </row>
    <row r="45" spans="1:9" x14ac:dyDescent="0.2">
      <c r="A45" s="557"/>
      <c r="B45" s="558" t="s">
        <v>185</v>
      </c>
      <c r="C45" s="559" t="s">
        <v>324</v>
      </c>
      <c r="D45" s="560" t="s">
        <v>17</v>
      </c>
      <c r="E45" s="561">
        <f>SUM(E46:E48)</f>
        <v>96</v>
      </c>
      <c r="F45" s="562">
        <f>salaries!H14</f>
        <v>25</v>
      </c>
      <c r="G45" s="561">
        <f>F45*E45</f>
        <v>2400</v>
      </c>
      <c r="H45" s="562"/>
      <c r="I45" s="2471"/>
    </row>
    <row r="46" spans="1:9" x14ac:dyDescent="0.2">
      <c r="A46" s="557"/>
      <c r="B46" s="558"/>
      <c r="C46" s="563" t="s">
        <v>391</v>
      </c>
      <c r="D46" s="558"/>
      <c r="E46" s="564">
        <f>6*8</f>
        <v>48</v>
      </c>
      <c r="F46" s="547"/>
      <c r="G46" s="564"/>
      <c r="H46" s="547"/>
    </row>
    <row r="47" spans="1:9" x14ac:dyDescent="0.2">
      <c r="A47" s="557"/>
      <c r="B47" s="558"/>
      <c r="C47" s="563" t="s">
        <v>467</v>
      </c>
      <c r="D47" s="558"/>
      <c r="E47" s="564">
        <v>32</v>
      </c>
      <c r="F47" s="547"/>
      <c r="G47" s="564"/>
      <c r="H47" s="547"/>
    </row>
    <row r="48" spans="1:9" ht="22.5" x14ac:dyDescent="0.2">
      <c r="A48" s="580"/>
      <c r="B48" s="578"/>
      <c r="C48" s="577" t="s">
        <v>355</v>
      </c>
      <c r="D48" s="578"/>
      <c r="E48" s="579">
        <v>16</v>
      </c>
      <c r="F48" s="581"/>
      <c r="G48" s="579"/>
      <c r="H48" s="581">
        <f>SUM(G39:G48)</f>
        <v>7584</v>
      </c>
    </row>
    <row r="49" spans="1:9" x14ac:dyDescent="0.2">
      <c r="A49" s="598" t="s">
        <v>308</v>
      </c>
      <c r="B49" s="599" t="s">
        <v>187</v>
      </c>
      <c r="C49" s="600" t="s">
        <v>324</v>
      </c>
      <c r="D49" s="601" t="s">
        <v>17</v>
      </c>
      <c r="E49" s="602">
        <f>SUM(E50:E54)</f>
        <v>192</v>
      </c>
      <c r="F49" s="603">
        <f>salaries!H16</f>
        <v>62</v>
      </c>
      <c r="G49" s="602">
        <f>F49*E49</f>
        <v>11904</v>
      </c>
      <c r="H49" s="604"/>
    </row>
    <row r="50" spans="1:9" x14ac:dyDescent="0.2">
      <c r="A50" s="588"/>
      <c r="B50" s="589"/>
      <c r="C50" s="605" t="s">
        <v>352</v>
      </c>
      <c r="D50" s="589"/>
      <c r="E50" s="594">
        <v>16</v>
      </c>
      <c r="F50" s="593"/>
      <c r="G50" s="594"/>
      <c r="H50" s="593"/>
    </row>
    <row r="51" spans="1:9" x14ac:dyDescent="0.2">
      <c r="A51" s="588"/>
      <c r="B51" s="589"/>
      <c r="C51" s="606" t="s">
        <v>390</v>
      </c>
      <c r="D51" s="589"/>
      <c r="E51" s="594">
        <f>4*24</f>
        <v>96</v>
      </c>
      <c r="F51" s="593"/>
      <c r="G51" s="594"/>
      <c r="H51" s="593"/>
      <c r="I51" s="2383"/>
    </row>
    <row r="52" spans="1:9" x14ac:dyDescent="0.2">
      <c r="A52" s="588"/>
      <c r="B52" s="589"/>
      <c r="C52" s="605" t="s">
        <v>353</v>
      </c>
      <c r="D52" s="589"/>
      <c r="E52" s="594">
        <v>32</v>
      </c>
      <c r="F52" s="593"/>
      <c r="G52" s="594"/>
      <c r="H52" s="593"/>
    </row>
    <row r="53" spans="1:9" x14ac:dyDescent="0.2">
      <c r="A53" s="588"/>
      <c r="B53" s="589"/>
      <c r="C53" s="605" t="s">
        <v>354</v>
      </c>
      <c r="D53" s="589"/>
      <c r="E53" s="594">
        <v>40</v>
      </c>
      <c r="F53" s="593"/>
      <c r="G53" s="594"/>
      <c r="H53" s="593"/>
    </row>
    <row r="54" spans="1:9" x14ac:dyDescent="0.2">
      <c r="A54" s="588"/>
      <c r="B54" s="589"/>
      <c r="C54" s="605" t="s">
        <v>351</v>
      </c>
      <c r="D54" s="589"/>
      <c r="E54" s="594">
        <v>8</v>
      </c>
      <c r="F54" s="593"/>
      <c r="G54" s="594"/>
      <c r="H54" s="593"/>
    </row>
    <row r="55" spans="1:9" x14ac:dyDescent="0.2">
      <c r="A55" s="588"/>
      <c r="B55" s="589" t="s">
        <v>819</v>
      </c>
      <c r="C55" s="607" t="s">
        <v>324</v>
      </c>
      <c r="D55" s="590" t="s">
        <v>17</v>
      </c>
      <c r="E55" s="591">
        <f>SUM(E56:E58)</f>
        <v>96</v>
      </c>
      <c r="F55" s="592">
        <f>salaries!H17</f>
        <v>36</v>
      </c>
      <c r="G55" s="591">
        <f>F55*E55</f>
        <v>3456</v>
      </c>
      <c r="H55" s="592"/>
      <c r="I55" s="2471"/>
    </row>
    <row r="56" spans="1:9" x14ac:dyDescent="0.2">
      <c r="A56" s="588"/>
      <c r="B56" s="589"/>
      <c r="C56" s="605" t="s">
        <v>391</v>
      </c>
      <c r="D56" s="589"/>
      <c r="E56" s="594">
        <f>6*8</f>
        <v>48</v>
      </c>
      <c r="F56" s="593"/>
      <c r="G56" s="594"/>
      <c r="H56" s="593"/>
    </row>
    <row r="57" spans="1:9" x14ac:dyDescent="0.2">
      <c r="A57" s="588"/>
      <c r="B57" s="589"/>
      <c r="C57" s="605" t="s">
        <v>467</v>
      </c>
      <c r="D57" s="589"/>
      <c r="E57" s="594">
        <v>32</v>
      </c>
      <c r="F57" s="593"/>
      <c r="G57" s="594"/>
      <c r="H57" s="593"/>
    </row>
    <row r="58" spans="1:9" ht="22.5" x14ac:dyDescent="0.2">
      <c r="A58" s="608"/>
      <c r="B58" s="596"/>
      <c r="C58" s="595" t="s">
        <v>355</v>
      </c>
      <c r="D58" s="596"/>
      <c r="E58" s="597">
        <v>16</v>
      </c>
      <c r="F58" s="609"/>
      <c r="G58" s="597"/>
      <c r="H58" s="609">
        <f>SUM(G49:G58)</f>
        <v>15360</v>
      </c>
    </row>
    <row r="59" spans="1:9" x14ac:dyDescent="0.2">
      <c r="A59" s="610" t="s">
        <v>309</v>
      </c>
      <c r="B59" s="611" t="s">
        <v>189</v>
      </c>
      <c r="C59" s="612" t="s">
        <v>324</v>
      </c>
      <c r="D59" s="613" t="s">
        <v>17</v>
      </c>
      <c r="E59" s="614">
        <f>SUM(E60:E64)</f>
        <v>192</v>
      </c>
      <c r="F59" s="615">
        <f>salaries!H20</f>
        <v>40</v>
      </c>
      <c r="G59" s="614">
        <f>F59*E59</f>
        <v>7680</v>
      </c>
      <c r="H59" s="616"/>
    </row>
    <row r="60" spans="1:9" x14ac:dyDescent="0.2">
      <c r="A60" s="617"/>
      <c r="B60" s="618"/>
      <c r="C60" s="619" t="s">
        <v>352</v>
      </c>
      <c r="D60" s="620"/>
      <c r="E60" s="621">
        <v>16</v>
      </c>
      <c r="F60" s="622"/>
      <c r="G60" s="621"/>
      <c r="H60" s="622"/>
      <c r="I60" s="2383"/>
    </row>
    <row r="61" spans="1:9" x14ac:dyDescent="0.2">
      <c r="A61" s="617"/>
      <c r="B61" s="618"/>
      <c r="C61" s="623" t="s">
        <v>390</v>
      </c>
      <c r="D61" s="620"/>
      <c r="E61" s="621">
        <f>4*24</f>
        <v>96</v>
      </c>
      <c r="F61" s="622"/>
      <c r="G61" s="621"/>
      <c r="H61" s="622"/>
      <c r="I61" s="2383"/>
    </row>
    <row r="62" spans="1:9" x14ac:dyDescent="0.2">
      <c r="A62" s="617"/>
      <c r="B62" s="618"/>
      <c r="C62" s="619" t="s">
        <v>353</v>
      </c>
      <c r="D62" s="620"/>
      <c r="E62" s="621">
        <v>32</v>
      </c>
      <c r="F62" s="622"/>
      <c r="G62" s="621"/>
      <c r="H62" s="622"/>
    </row>
    <row r="63" spans="1:9" x14ac:dyDescent="0.2">
      <c r="A63" s="617"/>
      <c r="B63" s="618"/>
      <c r="C63" s="619" t="s">
        <v>354</v>
      </c>
      <c r="D63" s="620"/>
      <c r="E63" s="621">
        <v>40</v>
      </c>
      <c r="F63" s="622"/>
      <c r="G63" s="621"/>
      <c r="H63" s="622"/>
    </row>
    <row r="64" spans="1:9" x14ac:dyDescent="0.2">
      <c r="A64" s="617"/>
      <c r="B64" s="618"/>
      <c r="C64" s="619" t="s">
        <v>351</v>
      </c>
      <c r="D64" s="620"/>
      <c r="E64" s="621">
        <v>8</v>
      </c>
      <c r="F64" s="622"/>
      <c r="G64" s="621"/>
      <c r="H64" s="622"/>
    </row>
    <row r="65" spans="1:9" x14ac:dyDescent="0.2">
      <c r="A65" s="617"/>
      <c r="B65" s="618" t="s">
        <v>826</v>
      </c>
      <c r="C65" s="624" t="s">
        <v>324</v>
      </c>
      <c r="D65" s="625" t="s">
        <v>17</v>
      </c>
      <c r="E65" s="626">
        <f>SUM(E66:E68)</f>
        <v>96</v>
      </c>
      <c r="F65" s="632">
        <f>salaries!H24</f>
        <v>43</v>
      </c>
      <c r="G65" s="633">
        <f>F65*E65</f>
        <v>4128</v>
      </c>
      <c r="H65" s="622"/>
    </row>
    <row r="66" spans="1:9" x14ac:dyDescent="0.2">
      <c r="A66" s="617"/>
      <c r="B66" s="618"/>
      <c r="C66" s="619" t="s">
        <v>391</v>
      </c>
      <c r="D66" s="620"/>
      <c r="E66" s="621">
        <f>6*8</f>
        <v>48</v>
      </c>
      <c r="F66" s="622"/>
      <c r="G66" s="621"/>
      <c r="H66" s="622"/>
    </row>
    <row r="67" spans="1:9" x14ac:dyDescent="0.2">
      <c r="A67" s="617"/>
      <c r="B67" s="618"/>
      <c r="C67" s="619" t="s">
        <v>467</v>
      </c>
      <c r="D67" s="620"/>
      <c r="E67" s="621">
        <v>32</v>
      </c>
      <c r="F67" s="622"/>
      <c r="G67" s="621"/>
      <c r="H67" s="622"/>
    </row>
    <row r="68" spans="1:9" ht="22.5" x14ac:dyDescent="0.2">
      <c r="A68" s="627"/>
      <c r="B68" s="628"/>
      <c r="C68" s="684" t="s">
        <v>355</v>
      </c>
      <c r="D68" s="629"/>
      <c r="E68" s="630">
        <v>16</v>
      </c>
      <c r="F68" s="631"/>
      <c r="G68" s="630"/>
      <c r="H68" s="631">
        <f>SUM(G59:G68)</f>
        <v>11808</v>
      </c>
    </row>
    <row r="69" spans="1:9" x14ac:dyDescent="0.2">
      <c r="A69" s="634" t="s">
        <v>310</v>
      </c>
      <c r="B69" s="635" t="s">
        <v>217</v>
      </c>
      <c r="C69" s="636" t="s">
        <v>324</v>
      </c>
      <c r="D69" s="637" t="s">
        <v>17</v>
      </c>
      <c r="E69" s="638">
        <f>SUM(E70:E74)</f>
        <v>192</v>
      </c>
      <c r="F69" s="639">
        <f>salaries!H25</f>
        <v>40</v>
      </c>
      <c r="G69" s="638">
        <f>F69*E69</f>
        <v>7680</v>
      </c>
      <c r="H69" s="639"/>
    </row>
    <row r="70" spans="1:9" x14ac:dyDescent="0.2">
      <c r="A70" s="640"/>
      <c r="B70" s="641"/>
      <c r="C70" s="642" t="s">
        <v>352</v>
      </c>
      <c r="D70" s="643"/>
      <c r="E70" s="644">
        <v>16</v>
      </c>
      <c r="F70" s="645"/>
      <c r="G70" s="644"/>
      <c r="H70" s="645"/>
    </row>
    <row r="71" spans="1:9" x14ac:dyDescent="0.2">
      <c r="A71" s="640"/>
      <c r="B71" s="641"/>
      <c r="C71" s="646" t="s">
        <v>390</v>
      </c>
      <c r="D71" s="643"/>
      <c r="E71" s="644">
        <f>4*24</f>
        <v>96</v>
      </c>
      <c r="F71" s="645"/>
      <c r="G71" s="644"/>
      <c r="H71" s="645"/>
      <c r="I71" s="2383"/>
    </row>
    <row r="72" spans="1:9" x14ac:dyDescent="0.2">
      <c r="A72" s="640"/>
      <c r="B72" s="641"/>
      <c r="C72" s="642" t="s">
        <v>353</v>
      </c>
      <c r="D72" s="643"/>
      <c r="E72" s="644">
        <v>32</v>
      </c>
      <c r="F72" s="645"/>
      <c r="G72" s="644"/>
      <c r="H72" s="645"/>
    </row>
    <row r="73" spans="1:9" x14ac:dyDescent="0.2">
      <c r="A73" s="640"/>
      <c r="B73" s="641"/>
      <c r="C73" s="642" t="s">
        <v>354</v>
      </c>
      <c r="D73" s="643"/>
      <c r="E73" s="644">
        <v>40</v>
      </c>
      <c r="F73" s="645"/>
      <c r="G73" s="644"/>
      <c r="H73" s="645"/>
    </row>
    <row r="74" spans="1:9" x14ac:dyDescent="0.2">
      <c r="A74" s="647"/>
      <c r="B74" s="641"/>
      <c r="C74" s="642" t="s">
        <v>351</v>
      </c>
      <c r="D74" s="643"/>
      <c r="E74" s="644">
        <v>8</v>
      </c>
      <c r="F74" s="645"/>
      <c r="G74" s="644"/>
      <c r="H74" s="645"/>
    </row>
    <row r="75" spans="1:9" x14ac:dyDescent="0.2">
      <c r="A75" s="647"/>
      <c r="B75" s="641" t="s">
        <v>220</v>
      </c>
      <c r="C75" s="648" t="s">
        <v>324</v>
      </c>
      <c r="D75" s="649" t="s">
        <v>17</v>
      </c>
      <c r="E75" s="650">
        <f>SUM(E76:E78)</f>
        <v>96</v>
      </c>
      <c r="F75" s="682">
        <f>salaries!H28</f>
        <v>11</v>
      </c>
      <c r="G75" s="683">
        <f>F75*E75</f>
        <v>1056</v>
      </c>
      <c r="H75" s="645"/>
    </row>
    <row r="76" spans="1:9" x14ac:dyDescent="0.2">
      <c r="A76" s="647"/>
      <c r="B76" s="641"/>
      <c r="C76" s="642" t="s">
        <v>391</v>
      </c>
      <c r="D76" s="643"/>
      <c r="E76" s="644">
        <f>6*8</f>
        <v>48</v>
      </c>
      <c r="F76" s="645"/>
      <c r="G76" s="644"/>
      <c r="H76" s="645"/>
    </row>
    <row r="77" spans="1:9" x14ac:dyDescent="0.2">
      <c r="A77" s="647"/>
      <c r="B77" s="641"/>
      <c r="C77" s="642" t="s">
        <v>467</v>
      </c>
      <c r="D77" s="643"/>
      <c r="E77" s="644">
        <v>32</v>
      </c>
      <c r="F77" s="645"/>
      <c r="G77" s="644"/>
      <c r="H77" s="645"/>
    </row>
    <row r="78" spans="1:9" ht="22.5" x14ac:dyDescent="0.2">
      <c r="A78" s="651"/>
      <c r="B78" s="652"/>
      <c r="C78" s="653" t="s">
        <v>355</v>
      </c>
      <c r="D78" s="652"/>
      <c r="E78" s="654">
        <v>16</v>
      </c>
      <c r="F78" s="655"/>
      <c r="G78" s="654"/>
      <c r="H78" s="655">
        <f>SUM(G69:G78)</f>
        <v>8736</v>
      </c>
    </row>
    <row r="79" spans="1:9" x14ac:dyDescent="0.2">
      <c r="A79" s="669" t="s">
        <v>311</v>
      </c>
      <c r="B79" s="670" t="s">
        <v>213</v>
      </c>
      <c r="C79" s="671" t="s">
        <v>324</v>
      </c>
      <c r="D79" s="672" t="s">
        <v>17</v>
      </c>
      <c r="E79" s="673">
        <f>SUM(E80:E85)</f>
        <v>288</v>
      </c>
      <c r="F79" s="674">
        <f>salaries!H29</f>
        <v>15</v>
      </c>
      <c r="G79" s="673">
        <f>F79*E79</f>
        <v>4320</v>
      </c>
      <c r="H79" s="675"/>
    </row>
    <row r="80" spans="1:9" x14ac:dyDescent="0.2">
      <c r="A80" s="656"/>
      <c r="B80" s="657"/>
      <c r="C80" s="676" t="s">
        <v>352</v>
      </c>
      <c r="D80" s="662"/>
      <c r="E80" s="663">
        <v>16</v>
      </c>
      <c r="F80" s="661"/>
      <c r="G80" s="663"/>
      <c r="H80" s="661"/>
    </row>
    <row r="81" spans="1:9" x14ac:dyDescent="0.2">
      <c r="A81" s="656"/>
      <c r="B81" s="657"/>
      <c r="C81" s="677" t="s">
        <v>390</v>
      </c>
      <c r="D81" s="662"/>
      <c r="E81" s="663">
        <f>4*24</f>
        <v>96</v>
      </c>
      <c r="F81" s="661"/>
      <c r="G81" s="663"/>
      <c r="H81" s="661"/>
      <c r="I81" s="2383"/>
    </row>
    <row r="82" spans="1:9" x14ac:dyDescent="0.2">
      <c r="A82" s="656"/>
      <c r="B82" s="657"/>
      <c r="C82" s="676" t="s">
        <v>353</v>
      </c>
      <c r="D82" s="662"/>
      <c r="E82" s="663">
        <v>16</v>
      </c>
      <c r="F82" s="661"/>
      <c r="G82" s="663"/>
      <c r="H82" s="661"/>
    </row>
    <row r="83" spans="1:9" x14ac:dyDescent="0.2">
      <c r="A83" s="656"/>
      <c r="B83" s="657"/>
      <c r="C83" s="676" t="s">
        <v>354</v>
      </c>
      <c r="D83" s="662"/>
      <c r="E83" s="663">
        <v>40</v>
      </c>
      <c r="F83" s="661"/>
      <c r="G83" s="663"/>
      <c r="H83" s="661"/>
    </row>
    <row r="84" spans="1:9" x14ac:dyDescent="0.2">
      <c r="A84" s="656"/>
      <c r="B84" s="657"/>
      <c r="C84" s="676" t="s">
        <v>463</v>
      </c>
      <c r="D84" s="662"/>
      <c r="E84" s="663">
        <f>6*8</f>
        <v>48</v>
      </c>
      <c r="F84" s="661"/>
      <c r="G84" s="663"/>
      <c r="H84" s="661"/>
    </row>
    <row r="85" spans="1:9" x14ac:dyDescent="0.2">
      <c r="A85" s="656"/>
      <c r="B85" s="657"/>
      <c r="C85" s="676" t="s">
        <v>464</v>
      </c>
      <c r="D85" s="662"/>
      <c r="E85" s="663">
        <f>3*24</f>
        <v>72</v>
      </c>
      <c r="F85" s="661"/>
      <c r="G85" s="663"/>
      <c r="H85" s="661"/>
    </row>
    <row r="86" spans="1:9" s="68" customFormat="1" x14ac:dyDescent="0.2">
      <c r="A86" s="664"/>
      <c r="B86" s="662" t="s">
        <v>816</v>
      </c>
      <c r="C86" s="678" t="s">
        <v>324</v>
      </c>
      <c r="D86" s="658" t="s">
        <v>17</v>
      </c>
      <c r="E86" s="659">
        <f>SUM(E87:E89)</f>
        <v>112</v>
      </c>
      <c r="F86" s="660">
        <f>salaries!H32</f>
        <v>11</v>
      </c>
      <c r="G86" s="659">
        <f>F86*E86</f>
        <v>1232</v>
      </c>
      <c r="H86" s="660"/>
      <c r="I86" s="2471"/>
    </row>
    <row r="87" spans="1:9" s="68" customFormat="1" x14ac:dyDescent="0.2">
      <c r="A87" s="664"/>
      <c r="B87" s="662"/>
      <c r="C87" s="676" t="s">
        <v>461</v>
      </c>
      <c r="D87" s="662"/>
      <c r="E87" s="663">
        <f>6*8</f>
        <v>48</v>
      </c>
      <c r="F87" s="661"/>
      <c r="G87" s="663"/>
      <c r="H87" s="661"/>
      <c r="I87" s="2474"/>
    </row>
    <row r="88" spans="1:9" s="68" customFormat="1" x14ac:dyDescent="0.2">
      <c r="A88" s="664"/>
      <c r="B88" s="662"/>
      <c r="C88" s="676" t="s">
        <v>467</v>
      </c>
      <c r="D88" s="662"/>
      <c r="E88" s="663">
        <v>32</v>
      </c>
      <c r="F88" s="661"/>
      <c r="G88" s="663"/>
      <c r="H88" s="661"/>
      <c r="I88" s="2474"/>
    </row>
    <row r="89" spans="1:9" s="68" customFormat="1" x14ac:dyDescent="0.2">
      <c r="A89" s="679"/>
      <c r="B89" s="667"/>
      <c r="C89" s="666" t="s">
        <v>462</v>
      </c>
      <c r="D89" s="667"/>
      <c r="E89" s="668">
        <v>32</v>
      </c>
      <c r="F89" s="680"/>
      <c r="G89" s="668"/>
      <c r="H89" s="680">
        <f>SUM(G79:G89)</f>
        <v>5552</v>
      </c>
      <c r="I89" s="2474"/>
    </row>
    <row r="90" spans="1:9" x14ac:dyDescent="0.2">
      <c r="A90" s="853" t="s">
        <v>407</v>
      </c>
      <c r="B90" s="854" t="s">
        <v>221</v>
      </c>
      <c r="C90" s="838" t="s">
        <v>324</v>
      </c>
      <c r="D90" s="839" t="s">
        <v>17</v>
      </c>
      <c r="E90" s="840">
        <f>SUM(E91:E96)</f>
        <v>264</v>
      </c>
      <c r="F90" s="855">
        <f>salaries!H34</f>
        <v>15</v>
      </c>
      <c r="G90" s="840">
        <f>F90*E90</f>
        <v>3960</v>
      </c>
      <c r="H90" s="856"/>
    </row>
    <row r="91" spans="1:9" x14ac:dyDescent="0.2">
      <c r="A91" s="836"/>
      <c r="B91" s="837"/>
      <c r="C91" s="844" t="s">
        <v>352</v>
      </c>
      <c r="D91" s="845"/>
      <c r="E91" s="846">
        <v>16</v>
      </c>
      <c r="F91" s="843"/>
      <c r="G91" s="846"/>
      <c r="H91" s="843"/>
    </row>
    <row r="92" spans="1:9" x14ac:dyDescent="0.2">
      <c r="A92" s="836"/>
      <c r="B92" s="837"/>
      <c r="C92" s="847" t="s">
        <v>390</v>
      </c>
      <c r="D92" s="845"/>
      <c r="E92" s="846">
        <f>4*24</f>
        <v>96</v>
      </c>
      <c r="F92" s="843"/>
      <c r="G92" s="846"/>
      <c r="H92" s="843"/>
      <c r="I92" s="2383"/>
    </row>
    <row r="93" spans="1:9" x14ac:dyDescent="0.2">
      <c r="A93" s="836"/>
      <c r="B93" s="837"/>
      <c r="C93" s="844" t="s">
        <v>353</v>
      </c>
      <c r="D93" s="845"/>
      <c r="E93" s="846">
        <v>16</v>
      </c>
      <c r="F93" s="843"/>
      <c r="G93" s="846"/>
      <c r="H93" s="843"/>
    </row>
    <row r="94" spans="1:9" x14ac:dyDescent="0.2">
      <c r="A94" s="836"/>
      <c r="B94" s="837"/>
      <c r="C94" s="844" t="s">
        <v>354</v>
      </c>
      <c r="D94" s="845"/>
      <c r="E94" s="846">
        <v>40</v>
      </c>
      <c r="F94" s="843"/>
      <c r="G94" s="846"/>
      <c r="H94" s="843"/>
    </row>
    <row r="95" spans="1:9" x14ac:dyDescent="0.2">
      <c r="A95" s="836"/>
      <c r="B95" s="837"/>
      <c r="C95" s="844" t="s">
        <v>831</v>
      </c>
      <c r="D95" s="845"/>
      <c r="E95" s="846">
        <f>6*4</f>
        <v>24</v>
      </c>
      <c r="F95" s="843"/>
      <c r="G95" s="846"/>
      <c r="H95" s="843"/>
    </row>
    <row r="96" spans="1:9" x14ac:dyDescent="0.2">
      <c r="A96" s="836"/>
      <c r="B96" s="837"/>
      <c r="C96" s="844" t="s">
        <v>464</v>
      </c>
      <c r="D96" s="845"/>
      <c r="E96" s="846">
        <f>3*24</f>
        <v>72</v>
      </c>
      <c r="F96" s="841"/>
      <c r="G96" s="842"/>
      <c r="H96" s="841"/>
      <c r="I96" s="2471"/>
    </row>
    <row r="97" spans="1:9" x14ac:dyDescent="0.2">
      <c r="A97" s="836"/>
      <c r="B97" s="837" t="s">
        <v>223</v>
      </c>
      <c r="C97" s="848" t="s">
        <v>324</v>
      </c>
      <c r="D97" s="849" t="s">
        <v>17</v>
      </c>
      <c r="E97" s="842">
        <f>SUM(E98:E100)</f>
        <v>144</v>
      </c>
      <c r="F97" s="860">
        <f>salaries!H36</f>
        <v>12</v>
      </c>
      <c r="G97" s="861">
        <f>F97*E97</f>
        <v>1728</v>
      </c>
      <c r="H97" s="843"/>
    </row>
    <row r="98" spans="1:9" x14ac:dyDescent="0.2">
      <c r="A98" s="836"/>
      <c r="B98" s="837"/>
      <c r="C98" s="844" t="s">
        <v>830</v>
      </c>
      <c r="D98" s="845"/>
      <c r="E98" s="846">
        <f>6*16</f>
        <v>96</v>
      </c>
      <c r="F98" s="843"/>
      <c r="G98" s="846"/>
      <c r="H98" s="843"/>
    </row>
    <row r="99" spans="1:9" x14ac:dyDescent="0.2">
      <c r="A99" s="836"/>
      <c r="B99" s="837"/>
      <c r="C99" s="844" t="s">
        <v>467</v>
      </c>
      <c r="D99" s="845"/>
      <c r="E99" s="846">
        <v>32</v>
      </c>
      <c r="F99" s="843"/>
      <c r="G99" s="846"/>
      <c r="H99" s="843"/>
    </row>
    <row r="100" spans="1:9" x14ac:dyDescent="0.2">
      <c r="A100" s="857"/>
      <c r="B100" s="858"/>
      <c r="C100" s="850" t="s">
        <v>832</v>
      </c>
      <c r="D100" s="851"/>
      <c r="E100" s="852">
        <v>16</v>
      </c>
      <c r="F100" s="859"/>
      <c r="G100" s="852"/>
      <c r="H100" s="859">
        <f>SUM(G90:G100)</f>
        <v>5688</v>
      </c>
    </row>
    <row r="101" spans="1:9" x14ac:dyDescent="0.2">
      <c r="A101" s="867" t="s">
        <v>408</v>
      </c>
      <c r="B101" s="868" t="s">
        <v>225</v>
      </c>
      <c r="C101" s="869" t="s">
        <v>324</v>
      </c>
      <c r="D101" s="870" t="s">
        <v>17</v>
      </c>
      <c r="E101" s="871">
        <f>SUM(E102:E107)</f>
        <v>288</v>
      </c>
      <c r="F101" s="872">
        <f>salaries!H38</f>
        <v>11</v>
      </c>
      <c r="G101" s="871">
        <f>F101*E101</f>
        <v>3168</v>
      </c>
      <c r="H101" s="873"/>
    </row>
    <row r="102" spans="1:9" x14ac:dyDescent="0.2">
      <c r="A102" s="548"/>
      <c r="B102" s="549"/>
      <c r="C102" s="556" t="s">
        <v>352</v>
      </c>
      <c r="D102" s="549"/>
      <c r="E102" s="554">
        <v>16</v>
      </c>
      <c r="F102" s="553"/>
      <c r="G102" s="554"/>
      <c r="H102" s="553"/>
    </row>
    <row r="103" spans="1:9" x14ac:dyDescent="0.2">
      <c r="A103" s="548"/>
      <c r="B103" s="549"/>
      <c r="C103" s="862" t="s">
        <v>390</v>
      </c>
      <c r="D103" s="549"/>
      <c r="E103" s="554">
        <f>4*24</f>
        <v>96</v>
      </c>
      <c r="F103" s="553"/>
      <c r="G103" s="554"/>
      <c r="H103" s="553"/>
      <c r="I103" s="2383"/>
    </row>
    <row r="104" spans="1:9" x14ac:dyDescent="0.2">
      <c r="A104" s="548"/>
      <c r="B104" s="549"/>
      <c r="C104" s="556" t="s">
        <v>353</v>
      </c>
      <c r="D104" s="549"/>
      <c r="E104" s="554">
        <v>16</v>
      </c>
      <c r="F104" s="553"/>
      <c r="G104" s="554"/>
      <c r="H104" s="553"/>
    </row>
    <row r="105" spans="1:9" x14ac:dyDescent="0.2">
      <c r="A105" s="548"/>
      <c r="B105" s="549"/>
      <c r="C105" s="556" t="s">
        <v>354</v>
      </c>
      <c r="D105" s="549"/>
      <c r="E105" s="554">
        <v>40</v>
      </c>
      <c r="F105" s="553"/>
      <c r="G105" s="554"/>
      <c r="H105" s="553"/>
    </row>
    <row r="106" spans="1:9" x14ac:dyDescent="0.2">
      <c r="A106" s="548"/>
      <c r="B106" s="549"/>
      <c r="C106" s="556" t="s">
        <v>463</v>
      </c>
      <c r="D106" s="549"/>
      <c r="E106" s="554">
        <f>6*8</f>
        <v>48</v>
      </c>
      <c r="F106" s="553"/>
      <c r="G106" s="554"/>
      <c r="H106" s="553"/>
    </row>
    <row r="107" spans="1:9" x14ac:dyDescent="0.2">
      <c r="A107" s="548"/>
      <c r="B107" s="549"/>
      <c r="C107" s="556" t="s">
        <v>464</v>
      </c>
      <c r="D107" s="549"/>
      <c r="E107" s="554">
        <f>3*24</f>
        <v>72</v>
      </c>
      <c r="F107" s="553"/>
      <c r="G107" s="554"/>
      <c r="H107" s="553"/>
    </row>
    <row r="108" spans="1:9" s="105" customFormat="1" x14ac:dyDescent="0.2">
      <c r="A108" s="548"/>
      <c r="B108" s="863" t="s">
        <v>227</v>
      </c>
      <c r="C108" s="555" t="s">
        <v>324</v>
      </c>
      <c r="D108" s="550" t="s">
        <v>17</v>
      </c>
      <c r="E108" s="551">
        <f>SUM(E109:E111)</f>
        <v>112</v>
      </c>
      <c r="F108" s="552">
        <f>salaries!H40</f>
        <v>14</v>
      </c>
      <c r="G108" s="551">
        <f>F108*E108</f>
        <v>1568</v>
      </c>
      <c r="H108" s="552"/>
      <c r="I108" s="2471"/>
    </row>
    <row r="109" spans="1:9" s="105" customFormat="1" x14ac:dyDescent="0.2">
      <c r="A109" s="548"/>
      <c r="B109" s="863"/>
      <c r="C109" s="556" t="s">
        <v>461</v>
      </c>
      <c r="D109" s="549"/>
      <c r="E109" s="554">
        <f>6*8</f>
        <v>48</v>
      </c>
      <c r="F109" s="552"/>
      <c r="G109" s="551"/>
      <c r="H109" s="552"/>
      <c r="I109" s="2471"/>
    </row>
    <row r="110" spans="1:9" s="105" customFormat="1" x14ac:dyDescent="0.2">
      <c r="A110" s="548"/>
      <c r="B110" s="549"/>
      <c r="C110" s="556" t="s">
        <v>467</v>
      </c>
      <c r="D110" s="549"/>
      <c r="E110" s="554">
        <v>32</v>
      </c>
      <c r="F110" s="553"/>
      <c r="G110" s="554"/>
      <c r="H110" s="553"/>
      <c r="I110" s="2486"/>
    </row>
    <row r="111" spans="1:9" s="105" customFormat="1" x14ac:dyDescent="0.2">
      <c r="A111" s="874"/>
      <c r="B111" s="865"/>
      <c r="C111" s="864" t="s">
        <v>462</v>
      </c>
      <c r="D111" s="865"/>
      <c r="E111" s="866">
        <v>32</v>
      </c>
      <c r="F111" s="875"/>
      <c r="G111" s="866"/>
      <c r="H111" s="875">
        <f>SUM(G101:G111)</f>
        <v>4736</v>
      </c>
      <c r="I111" s="2486"/>
    </row>
    <row r="112" spans="1:9" x14ac:dyDescent="0.2">
      <c r="A112" s="890" t="s">
        <v>409</v>
      </c>
      <c r="B112" s="891" t="s">
        <v>229</v>
      </c>
      <c r="C112" s="892" t="s">
        <v>324</v>
      </c>
      <c r="D112" s="893" t="s">
        <v>17</v>
      </c>
      <c r="E112" s="894">
        <f>SUM(E113:E118)</f>
        <v>288</v>
      </c>
      <c r="F112" s="895">
        <f>salaries!H42</f>
        <v>24</v>
      </c>
      <c r="G112" s="894">
        <f>F112*E112</f>
        <v>6912</v>
      </c>
      <c r="H112" s="896"/>
    </row>
    <row r="113" spans="1:9" x14ac:dyDescent="0.2">
      <c r="A113" s="876"/>
      <c r="B113" s="877"/>
      <c r="C113" s="883" t="s">
        <v>352</v>
      </c>
      <c r="D113" s="884"/>
      <c r="E113" s="885">
        <v>16</v>
      </c>
      <c r="F113" s="882"/>
      <c r="G113" s="885"/>
      <c r="H113" s="882"/>
    </row>
    <row r="114" spans="1:9" x14ac:dyDescent="0.2">
      <c r="A114" s="876"/>
      <c r="B114" s="877"/>
      <c r="C114" s="886" t="s">
        <v>390</v>
      </c>
      <c r="D114" s="884"/>
      <c r="E114" s="885">
        <f>4*24</f>
        <v>96</v>
      </c>
      <c r="F114" s="882"/>
      <c r="G114" s="885"/>
      <c r="H114" s="882"/>
      <c r="I114" s="2383"/>
    </row>
    <row r="115" spans="1:9" x14ac:dyDescent="0.2">
      <c r="A115" s="876"/>
      <c r="B115" s="877"/>
      <c r="C115" s="883" t="s">
        <v>353</v>
      </c>
      <c r="D115" s="884"/>
      <c r="E115" s="885">
        <v>16</v>
      </c>
      <c r="F115" s="882"/>
      <c r="G115" s="885"/>
      <c r="H115" s="882"/>
    </row>
    <row r="116" spans="1:9" x14ac:dyDescent="0.2">
      <c r="A116" s="876"/>
      <c r="B116" s="877"/>
      <c r="C116" s="883" t="s">
        <v>354</v>
      </c>
      <c r="D116" s="884"/>
      <c r="E116" s="885">
        <v>40</v>
      </c>
      <c r="F116" s="882"/>
      <c r="G116" s="885"/>
      <c r="H116" s="882"/>
    </row>
    <row r="117" spans="1:9" x14ac:dyDescent="0.2">
      <c r="A117" s="876"/>
      <c r="B117" s="877"/>
      <c r="C117" s="883" t="s">
        <v>463</v>
      </c>
      <c r="D117" s="884"/>
      <c r="E117" s="885">
        <f>6*8</f>
        <v>48</v>
      </c>
      <c r="F117" s="882"/>
      <c r="G117" s="885"/>
      <c r="H117" s="882"/>
    </row>
    <row r="118" spans="1:9" x14ac:dyDescent="0.2">
      <c r="A118" s="876"/>
      <c r="B118" s="877"/>
      <c r="C118" s="883" t="s">
        <v>464</v>
      </c>
      <c r="D118" s="884"/>
      <c r="E118" s="885">
        <f>3*24</f>
        <v>72</v>
      </c>
      <c r="F118" s="881"/>
      <c r="G118" s="880"/>
      <c r="H118" s="881"/>
      <c r="I118" s="2471"/>
    </row>
    <row r="119" spans="1:9" x14ac:dyDescent="0.2">
      <c r="A119" s="876"/>
      <c r="B119" s="877" t="s">
        <v>802</v>
      </c>
      <c r="C119" s="878" t="s">
        <v>324</v>
      </c>
      <c r="D119" s="879" t="s">
        <v>17</v>
      </c>
      <c r="E119" s="880">
        <f>SUM(E120:E122)</f>
        <v>112</v>
      </c>
      <c r="F119" s="881">
        <f>salaries!H45</f>
        <v>10</v>
      </c>
      <c r="G119" s="880">
        <f>F119*E119</f>
        <v>1120</v>
      </c>
      <c r="H119" s="881"/>
      <c r="I119" s="2471"/>
    </row>
    <row r="120" spans="1:9" x14ac:dyDescent="0.2">
      <c r="A120" s="876"/>
      <c r="B120" s="877"/>
      <c r="C120" s="883" t="s">
        <v>461</v>
      </c>
      <c r="D120" s="884"/>
      <c r="E120" s="885">
        <f>6*8</f>
        <v>48</v>
      </c>
      <c r="F120" s="881"/>
      <c r="G120" s="880"/>
      <c r="H120" s="881"/>
      <c r="I120" s="2471"/>
    </row>
    <row r="121" spans="1:9" x14ac:dyDescent="0.2">
      <c r="A121" s="876"/>
      <c r="B121" s="877"/>
      <c r="C121" s="883" t="s">
        <v>467</v>
      </c>
      <c r="D121" s="884"/>
      <c r="E121" s="885">
        <v>32</v>
      </c>
      <c r="F121" s="882"/>
      <c r="G121" s="885"/>
      <c r="H121" s="882"/>
    </row>
    <row r="122" spans="1:9" x14ac:dyDescent="0.2">
      <c r="A122" s="897"/>
      <c r="B122" s="898"/>
      <c r="C122" s="887" t="s">
        <v>462</v>
      </c>
      <c r="D122" s="888"/>
      <c r="E122" s="889">
        <v>32</v>
      </c>
      <c r="F122" s="899"/>
      <c r="G122" s="889"/>
      <c r="H122" s="899">
        <f>SUM(G112:G122)</f>
        <v>8032</v>
      </c>
    </row>
    <row r="123" spans="1:9" x14ac:dyDescent="0.2">
      <c r="A123" s="900" t="s">
        <v>410</v>
      </c>
      <c r="B123" s="901" t="s">
        <v>232</v>
      </c>
      <c r="C123" s="902" t="s">
        <v>324</v>
      </c>
      <c r="D123" s="903" t="s">
        <v>17</v>
      </c>
      <c r="E123" s="904">
        <f>SUM(E124:E129)</f>
        <v>288</v>
      </c>
      <c r="F123" s="905">
        <f>salaries!H47</f>
        <v>11</v>
      </c>
      <c r="G123" s="904">
        <f>F123*E123</f>
        <v>3168</v>
      </c>
      <c r="H123" s="906"/>
    </row>
    <row r="124" spans="1:9" x14ac:dyDescent="0.2">
      <c r="A124" s="907"/>
      <c r="B124" s="908"/>
      <c r="C124" s="909" t="s">
        <v>352</v>
      </c>
      <c r="D124" s="908"/>
      <c r="E124" s="910">
        <v>16</v>
      </c>
      <c r="F124" s="911"/>
      <c r="G124" s="910"/>
      <c r="H124" s="911"/>
    </row>
    <row r="125" spans="1:9" x14ac:dyDescent="0.2">
      <c r="A125" s="907"/>
      <c r="B125" s="908"/>
      <c r="C125" s="912" t="s">
        <v>390</v>
      </c>
      <c r="D125" s="908"/>
      <c r="E125" s="910">
        <f>4*24</f>
        <v>96</v>
      </c>
      <c r="F125" s="911"/>
      <c r="G125" s="910"/>
      <c r="H125" s="911"/>
      <c r="I125" s="2383"/>
    </row>
    <row r="126" spans="1:9" x14ac:dyDescent="0.2">
      <c r="A126" s="907"/>
      <c r="B126" s="908"/>
      <c r="C126" s="909" t="s">
        <v>353</v>
      </c>
      <c r="D126" s="908"/>
      <c r="E126" s="910">
        <v>16</v>
      </c>
      <c r="F126" s="911"/>
      <c r="G126" s="910"/>
      <c r="H126" s="911"/>
    </row>
    <row r="127" spans="1:9" x14ac:dyDescent="0.2">
      <c r="A127" s="907"/>
      <c r="B127" s="908"/>
      <c r="C127" s="909" t="s">
        <v>354</v>
      </c>
      <c r="D127" s="908"/>
      <c r="E127" s="910">
        <v>40</v>
      </c>
      <c r="F127" s="911"/>
      <c r="G127" s="910"/>
      <c r="H127" s="911"/>
    </row>
    <row r="128" spans="1:9" x14ac:dyDescent="0.2">
      <c r="A128" s="907"/>
      <c r="B128" s="908"/>
      <c r="C128" s="909" t="s">
        <v>463</v>
      </c>
      <c r="D128" s="908"/>
      <c r="E128" s="910">
        <f>6*8</f>
        <v>48</v>
      </c>
      <c r="F128" s="911"/>
      <c r="G128" s="910"/>
      <c r="H128" s="911"/>
    </row>
    <row r="129" spans="1:9" s="68" customFormat="1" x14ac:dyDescent="0.2">
      <c r="A129" s="913"/>
      <c r="B129" s="908"/>
      <c r="C129" s="909" t="s">
        <v>464</v>
      </c>
      <c r="D129" s="908"/>
      <c r="E129" s="910">
        <f>3*24</f>
        <v>72</v>
      </c>
      <c r="F129" s="914"/>
      <c r="G129" s="915"/>
      <c r="H129" s="914"/>
      <c r="I129" s="2471"/>
    </row>
    <row r="130" spans="1:9" s="68" customFormat="1" x14ac:dyDescent="0.2">
      <c r="A130" s="913"/>
      <c r="B130" s="908" t="s">
        <v>234</v>
      </c>
      <c r="C130" s="916" t="s">
        <v>324</v>
      </c>
      <c r="D130" s="917" t="s">
        <v>17</v>
      </c>
      <c r="E130" s="915">
        <f>SUM(E131:E133)</f>
        <v>112</v>
      </c>
      <c r="F130" s="914">
        <f>salaries!H49</f>
        <v>16</v>
      </c>
      <c r="G130" s="915">
        <f>F130*E130</f>
        <v>1792</v>
      </c>
      <c r="H130" s="914"/>
      <c r="I130" s="2471"/>
    </row>
    <row r="131" spans="1:9" s="68" customFormat="1" x14ac:dyDescent="0.2">
      <c r="A131" s="913"/>
      <c r="B131" s="908"/>
      <c r="C131" s="909" t="s">
        <v>461</v>
      </c>
      <c r="D131" s="908"/>
      <c r="E131" s="910">
        <f>6*8</f>
        <v>48</v>
      </c>
      <c r="F131" s="914"/>
      <c r="G131" s="915"/>
      <c r="H131" s="914"/>
      <c r="I131" s="2471"/>
    </row>
    <row r="132" spans="1:9" s="68" customFormat="1" x14ac:dyDescent="0.2">
      <c r="A132" s="913"/>
      <c r="B132" s="908"/>
      <c r="C132" s="909" t="s">
        <v>467</v>
      </c>
      <c r="D132" s="908"/>
      <c r="E132" s="910">
        <v>32</v>
      </c>
      <c r="F132" s="911"/>
      <c r="G132" s="910"/>
      <c r="H132" s="911"/>
      <c r="I132" s="2382"/>
    </row>
    <row r="133" spans="1:9" s="68" customFormat="1" x14ac:dyDescent="0.2">
      <c r="A133" s="918"/>
      <c r="B133" s="919"/>
      <c r="C133" s="920" t="s">
        <v>462</v>
      </c>
      <c r="D133" s="919"/>
      <c r="E133" s="921">
        <v>32</v>
      </c>
      <c r="F133" s="922"/>
      <c r="G133" s="921"/>
      <c r="H133" s="922">
        <f>SUM(G123:G133)</f>
        <v>4960</v>
      </c>
      <c r="I133" s="2382"/>
    </row>
    <row r="134" spans="1:9" s="68" customFormat="1" x14ac:dyDescent="0.2">
      <c r="A134" s="952" t="s">
        <v>411</v>
      </c>
      <c r="B134" s="953" t="s">
        <v>240</v>
      </c>
      <c r="C134" s="954" t="s">
        <v>324</v>
      </c>
      <c r="D134" s="955" t="s">
        <v>17</v>
      </c>
      <c r="E134" s="956">
        <f>SUM(E135:E140)</f>
        <v>288</v>
      </c>
      <c r="F134" s="957">
        <f>salaries!H51</f>
        <v>20</v>
      </c>
      <c r="G134" s="956">
        <f>F134*E134</f>
        <v>5760</v>
      </c>
      <c r="H134" s="958"/>
      <c r="I134" s="2382"/>
    </row>
    <row r="135" spans="1:9" s="68" customFormat="1" x14ac:dyDescent="0.2">
      <c r="A135" s="923"/>
      <c r="B135" s="924"/>
      <c r="C135" s="930" t="s">
        <v>352</v>
      </c>
      <c r="D135" s="924"/>
      <c r="E135" s="931">
        <v>16</v>
      </c>
      <c r="F135" s="929"/>
      <c r="G135" s="931"/>
      <c r="H135" s="929"/>
      <c r="I135" s="2382"/>
    </row>
    <row r="136" spans="1:9" s="68" customFormat="1" x14ac:dyDescent="0.2">
      <c r="A136" s="923"/>
      <c r="B136" s="924"/>
      <c r="C136" s="932" t="s">
        <v>390</v>
      </c>
      <c r="D136" s="924"/>
      <c r="E136" s="931">
        <f>4*24</f>
        <v>96</v>
      </c>
      <c r="F136" s="929"/>
      <c r="G136" s="931"/>
      <c r="H136" s="929"/>
      <c r="I136" s="2383"/>
    </row>
    <row r="137" spans="1:9" s="68" customFormat="1" x14ac:dyDescent="0.2">
      <c r="A137" s="923"/>
      <c r="B137" s="924"/>
      <c r="C137" s="930" t="s">
        <v>353</v>
      </c>
      <c r="D137" s="924"/>
      <c r="E137" s="931">
        <v>16</v>
      </c>
      <c r="F137" s="929"/>
      <c r="G137" s="931"/>
      <c r="H137" s="929"/>
      <c r="I137" s="2382"/>
    </row>
    <row r="138" spans="1:9" s="68" customFormat="1" x14ac:dyDescent="0.2">
      <c r="A138" s="923"/>
      <c r="B138" s="924"/>
      <c r="C138" s="930" t="s">
        <v>354</v>
      </c>
      <c r="D138" s="924"/>
      <c r="E138" s="931">
        <v>40</v>
      </c>
      <c r="F138" s="929"/>
      <c r="G138" s="931"/>
      <c r="H138" s="929"/>
      <c r="I138" s="2382"/>
    </row>
    <row r="139" spans="1:9" s="68" customFormat="1" x14ac:dyDescent="0.2">
      <c r="A139" s="923"/>
      <c r="B139" s="924"/>
      <c r="C139" s="930" t="s">
        <v>463</v>
      </c>
      <c r="D139" s="924"/>
      <c r="E139" s="931">
        <f>6*8</f>
        <v>48</v>
      </c>
      <c r="F139" s="929"/>
      <c r="G139" s="931"/>
      <c r="H139" s="929"/>
      <c r="I139" s="2382"/>
    </row>
    <row r="140" spans="1:9" s="68" customFormat="1" x14ac:dyDescent="0.2">
      <c r="A140" s="923"/>
      <c r="B140" s="924"/>
      <c r="C140" s="930" t="s">
        <v>464</v>
      </c>
      <c r="D140" s="924"/>
      <c r="E140" s="931">
        <f>3*24</f>
        <v>72</v>
      </c>
      <c r="F140" s="929"/>
      <c r="G140" s="931"/>
      <c r="H140" s="929"/>
      <c r="I140" s="2382"/>
    </row>
    <row r="141" spans="1:9" s="68" customFormat="1" x14ac:dyDescent="0.2">
      <c r="A141" s="923"/>
      <c r="B141" s="924" t="s">
        <v>243</v>
      </c>
      <c r="C141" s="925" t="s">
        <v>324</v>
      </c>
      <c r="D141" s="926" t="s">
        <v>17</v>
      </c>
      <c r="E141" s="927">
        <f>SUM(E142:E144)</f>
        <v>112</v>
      </c>
      <c r="F141" s="966">
        <f>salaries!H54</f>
        <v>18</v>
      </c>
      <c r="G141" s="967">
        <f>F141*E141</f>
        <v>2016</v>
      </c>
      <c r="H141" s="929"/>
      <c r="I141" s="2382"/>
    </row>
    <row r="142" spans="1:9" s="68" customFormat="1" x14ac:dyDescent="0.2">
      <c r="A142" s="923"/>
      <c r="B142" s="924"/>
      <c r="C142" s="930" t="s">
        <v>461</v>
      </c>
      <c r="D142" s="924"/>
      <c r="E142" s="931">
        <f>6*8</f>
        <v>48</v>
      </c>
      <c r="F142" s="928"/>
      <c r="G142" s="927"/>
      <c r="H142" s="928"/>
      <c r="I142" s="2471"/>
    </row>
    <row r="143" spans="1:9" s="68" customFormat="1" x14ac:dyDescent="0.2">
      <c r="A143" s="923"/>
      <c r="B143" s="924"/>
      <c r="C143" s="930" t="s">
        <v>467</v>
      </c>
      <c r="D143" s="924"/>
      <c r="E143" s="931">
        <v>32</v>
      </c>
      <c r="F143" s="929"/>
      <c r="G143" s="931"/>
      <c r="H143" s="929"/>
      <c r="I143" s="2382"/>
    </row>
    <row r="144" spans="1:9" s="68" customFormat="1" x14ac:dyDescent="0.2">
      <c r="A144" s="959"/>
      <c r="B144" s="934"/>
      <c r="C144" s="933" t="s">
        <v>462</v>
      </c>
      <c r="D144" s="934"/>
      <c r="E144" s="935">
        <v>32</v>
      </c>
      <c r="F144" s="960"/>
      <c r="G144" s="935"/>
      <c r="H144" s="960">
        <f>SUM(G134:G144)</f>
        <v>7776</v>
      </c>
      <c r="I144" s="2382"/>
    </row>
    <row r="145" spans="1:9" s="68" customFormat="1" x14ac:dyDescent="0.2">
      <c r="A145" s="961" t="s">
        <v>412</v>
      </c>
      <c r="B145" s="968" t="s">
        <v>236</v>
      </c>
      <c r="C145" s="938" t="s">
        <v>324</v>
      </c>
      <c r="D145" s="939" t="s">
        <v>17</v>
      </c>
      <c r="E145" s="940">
        <f>SUM(E146:E155)</f>
        <v>400</v>
      </c>
      <c r="F145" s="962">
        <f>salaries!H55</f>
        <v>21</v>
      </c>
      <c r="G145" s="940">
        <f>F145*E145</f>
        <v>8400</v>
      </c>
      <c r="H145" s="963"/>
      <c r="I145" s="2382"/>
    </row>
    <row r="146" spans="1:9" s="68" customFormat="1" x14ac:dyDescent="0.2">
      <c r="A146" s="936"/>
      <c r="B146" s="944"/>
      <c r="C146" s="945" t="s">
        <v>352</v>
      </c>
      <c r="D146" s="944"/>
      <c r="E146" s="946">
        <v>16</v>
      </c>
      <c r="F146" s="943"/>
      <c r="G146" s="946"/>
      <c r="H146" s="943"/>
      <c r="I146" s="2382"/>
    </row>
    <row r="147" spans="1:9" s="68" customFormat="1" x14ac:dyDescent="0.2">
      <c r="A147" s="936"/>
      <c r="B147" s="944"/>
      <c r="C147" s="947" t="s">
        <v>390</v>
      </c>
      <c r="D147" s="944"/>
      <c r="E147" s="946">
        <f>4*24</f>
        <v>96</v>
      </c>
      <c r="F147" s="943"/>
      <c r="G147" s="946"/>
      <c r="H147" s="943"/>
      <c r="I147" s="2383"/>
    </row>
    <row r="148" spans="1:9" s="68" customFormat="1" x14ac:dyDescent="0.2">
      <c r="A148" s="936"/>
      <c r="B148" s="944"/>
      <c r="C148" s="945" t="s">
        <v>353</v>
      </c>
      <c r="D148" s="944"/>
      <c r="E148" s="946">
        <v>16</v>
      </c>
      <c r="F148" s="943"/>
      <c r="G148" s="946"/>
      <c r="H148" s="943"/>
      <c r="I148" s="2382"/>
    </row>
    <row r="149" spans="1:9" s="68" customFormat="1" x14ac:dyDescent="0.2">
      <c r="A149" s="936"/>
      <c r="B149" s="944"/>
      <c r="C149" s="945" t="s">
        <v>354</v>
      </c>
      <c r="D149" s="944"/>
      <c r="E149" s="946">
        <v>40</v>
      </c>
      <c r="F149" s="943"/>
      <c r="G149" s="946"/>
      <c r="H149" s="943"/>
      <c r="I149" s="2382"/>
    </row>
    <row r="150" spans="1:9" s="68" customFormat="1" x14ac:dyDescent="0.2">
      <c r="A150" s="936"/>
      <c r="B150" s="944"/>
      <c r="C150" s="945" t="s">
        <v>463</v>
      </c>
      <c r="D150" s="944"/>
      <c r="E150" s="946">
        <f>6*8</f>
        <v>48</v>
      </c>
      <c r="F150" s="943"/>
      <c r="G150" s="946"/>
      <c r="H150" s="943"/>
      <c r="I150" s="2382"/>
    </row>
    <row r="151" spans="1:9" s="68" customFormat="1" x14ac:dyDescent="0.2">
      <c r="A151" s="936"/>
      <c r="B151" s="944"/>
      <c r="C151" s="945" t="s">
        <v>464</v>
      </c>
      <c r="D151" s="944"/>
      <c r="E151" s="946">
        <f>3*24</f>
        <v>72</v>
      </c>
      <c r="F151" s="943"/>
      <c r="G151" s="946"/>
      <c r="H151" s="943"/>
      <c r="I151" s="2382"/>
    </row>
    <row r="152" spans="1:9" s="68" customFormat="1" x14ac:dyDescent="0.2">
      <c r="A152" s="936"/>
      <c r="B152" s="944"/>
      <c r="C152" s="948"/>
      <c r="D152" s="937"/>
      <c r="E152" s="942"/>
      <c r="F152" s="943"/>
      <c r="G152" s="946"/>
      <c r="H152" s="943"/>
      <c r="I152" s="2382"/>
    </row>
    <row r="153" spans="1:9" s="68" customFormat="1" x14ac:dyDescent="0.2">
      <c r="A153" s="936"/>
      <c r="B153" s="944"/>
      <c r="C153" s="945" t="s">
        <v>461</v>
      </c>
      <c r="D153" s="944"/>
      <c r="E153" s="946">
        <f>6*8</f>
        <v>48</v>
      </c>
      <c r="F153" s="941"/>
      <c r="G153" s="942"/>
      <c r="H153" s="941"/>
      <c r="I153" s="2471"/>
    </row>
    <row r="154" spans="1:9" s="68" customFormat="1" x14ac:dyDescent="0.2">
      <c r="A154" s="936"/>
      <c r="B154" s="944"/>
      <c r="C154" s="945" t="s">
        <v>467</v>
      </c>
      <c r="D154" s="944"/>
      <c r="E154" s="946">
        <v>32</v>
      </c>
      <c r="F154" s="943"/>
      <c r="G154" s="946"/>
      <c r="H154" s="943"/>
      <c r="I154" s="2382"/>
    </row>
    <row r="155" spans="1:9" s="68" customFormat="1" x14ac:dyDescent="0.2">
      <c r="A155" s="964"/>
      <c r="B155" s="950"/>
      <c r="C155" s="949" t="s">
        <v>462</v>
      </c>
      <c r="D155" s="950"/>
      <c r="E155" s="951">
        <v>32</v>
      </c>
      <c r="F155" s="965"/>
      <c r="G155" s="951"/>
      <c r="H155" s="965">
        <f>SUM(G145:G155)</f>
        <v>8400</v>
      </c>
      <c r="I155" s="2382"/>
    </row>
    <row r="156" spans="1:9" x14ac:dyDescent="0.2">
      <c r="A156" s="977" t="s">
        <v>413</v>
      </c>
      <c r="B156" s="978" t="s">
        <v>244</v>
      </c>
      <c r="C156" s="979" t="s">
        <v>329</v>
      </c>
      <c r="D156" s="980" t="s">
        <v>17</v>
      </c>
      <c r="E156" s="981">
        <f>SUM(E157:E161)</f>
        <v>152</v>
      </c>
      <c r="F156" s="982">
        <f>salaries!H59</f>
        <v>27</v>
      </c>
      <c r="G156" s="981">
        <f>F156*E156</f>
        <v>4104</v>
      </c>
      <c r="H156" s="982"/>
    </row>
    <row r="157" spans="1:9" x14ac:dyDescent="0.2">
      <c r="A157" s="969"/>
      <c r="B157" s="970"/>
      <c r="C157" s="983" t="s">
        <v>352</v>
      </c>
      <c r="D157" s="973"/>
      <c r="E157" s="974">
        <v>16</v>
      </c>
      <c r="F157" s="972"/>
      <c r="G157" s="971"/>
      <c r="H157" s="975"/>
    </row>
    <row r="158" spans="1:9" x14ac:dyDescent="0.2">
      <c r="A158" s="969"/>
      <c r="B158" s="970"/>
      <c r="C158" s="983" t="s">
        <v>466</v>
      </c>
      <c r="D158" s="973"/>
      <c r="E158" s="974">
        <f>2*3*8</f>
        <v>48</v>
      </c>
      <c r="F158" s="972"/>
      <c r="G158" s="971"/>
      <c r="H158" s="975"/>
    </row>
    <row r="159" spans="1:9" x14ac:dyDescent="0.2">
      <c r="A159" s="969"/>
      <c r="B159" s="970"/>
      <c r="C159" s="984" t="s">
        <v>354</v>
      </c>
      <c r="D159" s="970"/>
      <c r="E159" s="976">
        <v>40</v>
      </c>
      <c r="F159" s="975"/>
      <c r="G159" s="976"/>
      <c r="H159" s="975"/>
    </row>
    <row r="160" spans="1:9" x14ac:dyDescent="0.2">
      <c r="A160" s="969"/>
      <c r="B160" s="970"/>
      <c r="C160" s="984" t="s">
        <v>465</v>
      </c>
      <c r="D160" s="970"/>
      <c r="E160" s="976">
        <f>3*8</f>
        <v>24</v>
      </c>
      <c r="F160" s="975"/>
      <c r="G160" s="976"/>
      <c r="H160" s="975"/>
      <c r="I160" s="2383"/>
    </row>
    <row r="161" spans="1:9" x14ac:dyDescent="0.2">
      <c r="A161" s="969"/>
      <c r="B161" s="970"/>
      <c r="C161" s="984" t="s">
        <v>460</v>
      </c>
      <c r="D161" s="970"/>
      <c r="E161" s="976">
        <v>24</v>
      </c>
      <c r="F161" s="975"/>
      <c r="G161" s="976"/>
      <c r="H161" s="975"/>
    </row>
    <row r="162" spans="1:9" x14ac:dyDescent="0.2">
      <c r="A162" s="969"/>
      <c r="B162" s="970" t="s">
        <v>247</v>
      </c>
      <c r="C162" s="1703" t="s">
        <v>324</v>
      </c>
      <c r="D162" s="1704" t="s">
        <v>17</v>
      </c>
      <c r="E162" s="1705">
        <f>SUM(E163:E164)</f>
        <v>80</v>
      </c>
      <c r="F162" s="1706">
        <f>salaries!H62</f>
        <v>18</v>
      </c>
      <c r="G162" s="1705">
        <f>F162*E162</f>
        <v>1440</v>
      </c>
      <c r="H162" s="975"/>
    </row>
    <row r="163" spans="1:9" x14ac:dyDescent="0.2">
      <c r="A163" s="969"/>
      <c r="B163" s="970"/>
      <c r="C163" s="984" t="s">
        <v>461</v>
      </c>
      <c r="D163" s="970"/>
      <c r="E163" s="976">
        <f>6*8</f>
        <v>48</v>
      </c>
      <c r="F163" s="975"/>
      <c r="G163" s="976"/>
      <c r="H163" s="975"/>
    </row>
    <row r="164" spans="1:9" x14ac:dyDescent="0.2">
      <c r="A164" s="985"/>
      <c r="B164" s="986"/>
      <c r="C164" s="987" t="s">
        <v>467</v>
      </c>
      <c r="D164" s="986"/>
      <c r="E164" s="988">
        <v>32</v>
      </c>
      <c r="F164" s="989"/>
      <c r="G164" s="988"/>
      <c r="H164" s="989">
        <f>SUM(G156:G164)</f>
        <v>5544</v>
      </c>
    </row>
    <row r="165" spans="1:9" x14ac:dyDescent="0.2">
      <c r="A165" s="999" t="s">
        <v>414</v>
      </c>
      <c r="B165" s="1000" t="s">
        <v>248</v>
      </c>
      <c r="C165" s="1001" t="s">
        <v>329</v>
      </c>
      <c r="D165" s="1002" t="s">
        <v>17</v>
      </c>
      <c r="E165" s="1003">
        <f>SUM(E166:E173)</f>
        <v>232</v>
      </c>
      <c r="F165" s="1004">
        <f>salaries!H63</f>
        <v>19</v>
      </c>
      <c r="G165" s="1003">
        <f>F165*E165</f>
        <v>4408</v>
      </c>
      <c r="H165" s="1005"/>
    </row>
    <row r="166" spans="1:9" x14ac:dyDescent="0.2">
      <c r="A166" s="990"/>
      <c r="B166" s="996"/>
      <c r="C166" s="997" t="s">
        <v>352</v>
      </c>
      <c r="D166" s="996"/>
      <c r="E166" s="998">
        <v>16</v>
      </c>
      <c r="F166" s="995"/>
      <c r="G166" s="998"/>
      <c r="H166" s="995"/>
    </row>
    <row r="167" spans="1:9" x14ac:dyDescent="0.2">
      <c r="A167" s="990"/>
      <c r="B167" s="996"/>
      <c r="C167" s="997" t="s">
        <v>466</v>
      </c>
      <c r="D167" s="996"/>
      <c r="E167" s="998">
        <v>48</v>
      </c>
      <c r="F167" s="995"/>
      <c r="G167" s="998"/>
      <c r="H167" s="995"/>
      <c r="I167" s="2383"/>
    </row>
    <row r="168" spans="1:9" x14ac:dyDescent="0.2">
      <c r="A168" s="990"/>
      <c r="B168" s="996"/>
      <c r="C168" s="997" t="s">
        <v>354</v>
      </c>
      <c r="D168" s="996"/>
      <c r="E168" s="998">
        <v>40</v>
      </c>
      <c r="F168" s="995"/>
      <c r="G168" s="998"/>
      <c r="H168" s="995"/>
    </row>
    <row r="169" spans="1:9" x14ac:dyDescent="0.2">
      <c r="A169" s="990"/>
      <c r="B169" s="996"/>
      <c r="C169" s="997" t="s">
        <v>465</v>
      </c>
      <c r="D169" s="996"/>
      <c r="E169" s="998">
        <v>24</v>
      </c>
      <c r="F169" s="995"/>
      <c r="G169" s="998"/>
      <c r="H169" s="995"/>
    </row>
    <row r="170" spans="1:9" x14ac:dyDescent="0.2">
      <c r="A170" s="990"/>
      <c r="B170" s="996"/>
      <c r="C170" s="997" t="s">
        <v>460</v>
      </c>
      <c r="D170" s="996"/>
      <c r="E170" s="998">
        <v>24</v>
      </c>
      <c r="F170" s="995"/>
      <c r="G170" s="998"/>
      <c r="H170" s="995"/>
    </row>
    <row r="171" spans="1:9" x14ac:dyDescent="0.2">
      <c r="A171" s="990"/>
      <c r="B171" s="996"/>
      <c r="C171" s="991"/>
      <c r="D171" s="992"/>
      <c r="E171" s="993"/>
      <c r="F171" s="994"/>
      <c r="G171" s="993"/>
      <c r="H171" s="994"/>
      <c r="I171" s="2471"/>
    </row>
    <row r="172" spans="1:9" x14ac:dyDescent="0.2">
      <c r="A172" s="990"/>
      <c r="B172" s="996"/>
      <c r="C172" s="997" t="s">
        <v>461</v>
      </c>
      <c r="D172" s="996"/>
      <c r="E172" s="998">
        <v>48</v>
      </c>
      <c r="F172" s="995"/>
      <c r="G172" s="998"/>
      <c r="H172" s="995"/>
    </row>
    <row r="173" spans="1:9" x14ac:dyDescent="0.2">
      <c r="A173" s="1006"/>
      <c r="B173" s="1007"/>
      <c r="C173" s="1008" t="s">
        <v>467</v>
      </c>
      <c r="D173" s="1007"/>
      <c r="E173" s="1009">
        <v>32</v>
      </c>
      <c r="F173" s="1010"/>
      <c r="G173" s="1009"/>
      <c r="H173" s="1010">
        <f>SUM(G165:G173)</f>
        <v>4408</v>
      </c>
    </row>
    <row r="174" spans="1:9" s="47" customFormat="1" x14ac:dyDescent="0.2">
      <c r="A174" s="1061" t="s">
        <v>415</v>
      </c>
      <c r="B174" s="1062" t="s">
        <v>252</v>
      </c>
      <c r="C174" s="1063" t="s">
        <v>329</v>
      </c>
      <c r="D174" s="1064" t="s">
        <v>17</v>
      </c>
      <c r="E174" s="1065">
        <f>SUM(E175:E178)</f>
        <v>112</v>
      </c>
      <c r="F174" s="1066">
        <f>salaries!H67</f>
        <v>20</v>
      </c>
      <c r="G174" s="1065">
        <f>F174*E174</f>
        <v>2240</v>
      </c>
      <c r="H174" s="1067"/>
      <c r="I174" s="2382"/>
    </row>
    <row r="175" spans="1:9" s="47" customFormat="1" x14ac:dyDescent="0.2">
      <c r="A175" s="1011"/>
      <c r="B175" s="1012"/>
      <c r="C175" s="1015" t="s">
        <v>352</v>
      </c>
      <c r="D175" s="1012"/>
      <c r="E175" s="1016">
        <v>16</v>
      </c>
      <c r="F175" s="1014"/>
      <c r="G175" s="1016"/>
      <c r="H175" s="1013"/>
      <c r="I175" s="2382"/>
    </row>
    <row r="176" spans="1:9" s="47" customFormat="1" x14ac:dyDescent="0.2">
      <c r="A176" s="1011"/>
      <c r="B176" s="1012"/>
      <c r="C176" s="1015" t="s">
        <v>466</v>
      </c>
      <c r="D176" s="1012"/>
      <c r="E176" s="1016">
        <v>48</v>
      </c>
      <c r="F176" s="1014"/>
      <c r="G176" s="1016"/>
      <c r="H176" s="1014"/>
      <c r="I176" s="2382"/>
    </row>
    <row r="177" spans="1:9" s="47" customFormat="1" x14ac:dyDescent="0.2">
      <c r="A177" s="1011"/>
      <c r="B177" s="1012"/>
      <c r="C177" s="1015" t="s">
        <v>465</v>
      </c>
      <c r="D177" s="1012"/>
      <c r="E177" s="1016">
        <v>24</v>
      </c>
      <c r="F177" s="1014"/>
      <c r="G177" s="1016"/>
      <c r="H177" s="1014"/>
      <c r="I177" s="2382"/>
    </row>
    <row r="178" spans="1:9" s="47" customFormat="1" x14ac:dyDescent="0.2">
      <c r="A178" s="1011"/>
      <c r="B178" s="1012"/>
      <c r="C178" s="1015" t="s">
        <v>460</v>
      </c>
      <c r="D178" s="1012"/>
      <c r="E178" s="1016">
        <v>24</v>
      </c>
      <c r="F178" s="1014"/>
      <c r="G178" s="1016"/>
      <c r="H178" s="1014"/>
      <c r="I178" s="2382"/>
    </row>
    <row r="179" spans="1:9" s="47" customFormat="1" x14ac:dyDescent="0.2">
      <c r="A179" s="1011"/>
      <c r="B179" s="1012" t="s">
        <v>803</v>
      </c>
      <c r="C179" s="1142" t="s">
        <v>324</v>
      </c>
      <c r="D179" s="1143"/>
      <c r="E179" s="1144">
        <f>SUM(E180:E182)</f>
        <v>120</v>
      </c>
      <c r="F179" s="1145">
        <f>salaries!H69</f>
        <v>18</v>
      </c>
      <c r="G179" s="1144">
        <f>F179*E179</f>
        <v>2160</v>
      </c>
      <c r="H179" s="1014"/>
      <c r="I179" s="2382"/>
    </row>
    <row r="180" spans="1:9" s="47" customFormat="1" x14ac:dyDescent="0.2">
      <c r="A180" s="1011"/>
      <c r="B180" s="1012"/>
      <c r="C180" s="1015" t="s">
        <v>354</v>
      </c>
      <c r="D180" s="1012"/>
      <c r="E180" s="1016">
        <v>40</v>
      </c>
      <c r="F180" s="1145"/>
      <c r="G180" s="1144"/>
      <c r="H180" s="1014"/>
      <c r="I180" s="2382"/>
    </row>
    <row r="181" spans="1:9" s="47" customFormat="1" x14ac:dyDescent="0.2">
      <c r="A181" s="1011"/>
      <c r="B181" s="1012"/>
      <c r="C181" s="1015" t="s">
        <v>461</v>
      </c>
      <c r="D181" s="1012"/>
      <c r="E181" s="1016">
        <v>48</v>
      </c>
      <c r="F181" s="1014"/>
      <c r="G181" s="1016"/>
      <c r="H181" s="1014"/>
      <c r="I181" s="2382"/>
    </row>
    <row r="182" spans="1:9" s="47" customFormat="1" x14ac:dyDescent="0.2">
      <c r="A182" s="1068"/>
      <c r="B182" s="1069"/>
      <c r="C182" s="1070" t="s">
        <v>467</v>
      </c>
      <c r="D182" s="1069"/>
      <c r="E182" s="1071">
        <v>32</v>
      </c>
      <c r="F182" s="1072"/>
      <c r="G182" s="1071"/>
      <c r="H182" s="1072">
        <f>SUM(G174:G182)</f>
        <v>4400</v>
      </c>
      <c r="I182" s="2382"/>
    </row>
    <row r="183" spans="1:9" s="47" customFormat="1" x14ac:dyDescent="0.2">
      <c r="A183" s="1017" t="s">
        <v>416</v>
      </c>
      <c r="B183" s="1018" t="s">
        <v>255</v>
      </c>
      <c r="C183" s="1019" t="s">
        <v>324</v>
      </c>
      <c r="D183" s="1020" t="s">
        <v>17</v>
      </c>
      <c r="E183" s="1021">
        <v>152</v>
      </c>
      <c r="F183" s="1022">
        <f>salaries!H72</f>
        <v>24</v>
      </c>
      <c r="G183" s="1021">
        <f>F183*E183</f>
        <v>3648</v>
      </c>
      <c r="H183" s="1023"/>
      <c r="I183" s="2382"/>
    </row>
    <row r="184" spans="1:9" s="47" customFormat="1" x14ac:dyDescent="0.2">
      <c r="A184" s="1017"/>
      <c r="B184" s="1018"/>
      <c r="C184" s="1024" t="s">
        <v>468</v>
      </c>
      <c r="D184" s="1018"/>
      <c r="E184" s="1025"/>
      <c r="F184" s="1023"/>
      <c r="G184" s="1025"/>
      <c r="H184" s="1022"/>
      <c r="I184" s="2382"/>
    </row>
    <row r="185" spans="1:9" s="47" customFormat="1" x14ac:dyDescent="0.2">
      <c r="A185" s="1017"/>
      <c r="B185" s="1018" t="s">
        <v>256</v>
      </c>
      <c r="C185" s="1146" t="s">
        <v>324</v>
      </c>
      <c r="D185" s="1147" t="s">
        <v>17</v>
      </c>
      <c r="E185" s="1148">
        <v>80</v>
      </c>
      <c r="F185" s="1149">
        <f>salaries!H75</f>
        <v>8</v>
      </c>
      <c r="G185" s="1148">
        <f>F185*E185</f>
        <v>640</v>
      </c>
      <c r="H185" s="1023"/>
      <c r="I185" s="2382"/>
    </row>
    <row r="186" spans="1:9" s="47" customFormat="1" x14ac:dyDescent="0.2">
      <c r="A186" s="1056"/>
      <c r="B186" s="1057"/>
      <c r="C186" s="1058" t="s">
        <v>468</v>
      </c>
      <c r="D186" s="1057"/>
      <c r="E186" s="1059"/>
      <c r="F186" s="1060"/>
      <c r="G186" s="1059"/>
      <c r="H186" s="1060">
        <f>SUM(G183:G186)</f>
        <v>4288</v>
      </c>
      <c r="I186" s="2382"/>
    </row>
    <row r="187" spans="1:9" s="47" customFormat="1" x14ac:dyDescent="0.2">
      <c r="A187" s="1026" t="s">
        <v>417</v>
      </c>
      <c r="B187" s="1027" t="s">
        <v>257</v>
      </c>
      <c r="C187" s="1028" t="s">
        <v>324</v>
      </c>
      <c r="D187" s="1029" t="s">
        <v>17</v>
      </c>
      <c r="E187" s="1030">
        <v>152</v>
      </c>
      <c r="F187" s="1031">
        <f>salaries!H76</f>
        <v>13</v>
      </c>
      <c r="G187" s="1030">
        <f>F187*E187</f>
        <v>1976</v>
      </c>
      <c r="H187" s="1032"/>
      <c r="I187" s="2382"/>
    </row>
    <row r="188" spans="1:9" s="47" customFormat="1" x14ac:dyDescent="0.2">
      <c r="A188" s="1026"/>
      <c r="B188" s="1027"/>
      <c r="C188" s="1033" t="s">
        <v>468</v>
      </c>
      <c r="D188" s="1027"/>
      <c r="E188" s="1034"/>
      <c r="F188" s="1032"/>
      <c r="G188" s="1034"/>
      <c r="H188" s="1031"/>
      <c r="I188" s="2382"/>
    </row>
    <row r="189" spans="1:9" s="47" customFormat="1" x14ac:dyDescent="0.2">
      <c r="A189" s="1026"/>
      <c r="B189" s="1027" t="s">
        <v>916</v>
      </c>
      <c r="C189" s="1028" t="s">
        <v>324</v>
      </c>
      <c r="D189" s="1150" t="s">
        <v>17</v>
      </c>
      <c r="E189" s="1151">
        <v>80</v>
      </c>
      <c r="F189" s="1152">
        <f>salaries!H78</f>
        <v>9</v>
      </c>
      <c r="G189" s="1151">
        <f>F189*E189</f>
        <v>720</v>
      </c>
      <c r="H189" s="1032"/>
      <c r="I189" s="2382"/>
    </row>
    <row r="190" spans="1:9" s="47" customFormat="1" x14ac:dyDescent="0.2">
      <c r="A190" s="1037"/>
      <c r="B190" s="1038"/>
      <c r="C190" s="1039" t="s">
        <v>468</v>
      </c>
      <c r="D190" s="1038"/>
      <c r="E190" s="1040"/>
      <c r="F190" s="1041"/>
      <c r="G190" s="1040"/>
      <c r="H190" s="1041">
        <f>SUM(G187:G190)</f>
        <v>2696</v>
      </c>
      <c r="I190" s="2382"/>
    </row>
    <row r="191" spans="1:9" s="47" customFormat="1" x14ac:dyDescent="0.2">
      <c r="A191" s="1042" t="s">
        <v>418</v>
      </c>
      <c r="B191" s="1043" t="s">
        <v>259</v>
      </c>
      <c r="C191" s="1044" t="s">
        <v>329</v>
      </c>
      <c r="D191" s="1045" t="s">
        <v>17</v>
      </c>
      <c r="E191" s="1046">
        <v>152</v>
      </c>
      <c r="F191" s="1047">
        <f>salaries!H81</f>
        <v>33</v>
      </c>
      <c r="G191" s="1046">
        <f>F191*E191</f>
        <v>5016</v>
      </c>
      <c r="H191" s="1048"/>
      <c r="I191" s="2382"/>
    </row>
    <row r="192" spans="1:9" s="47" customFormat="1" x14ac:dyDescent="0.2">
      <c r="A192" s="1042"/>
      <c r="B192" s="1043"/>
      <c r="C192" s="1049" t="s">
        <v>468</v>
      </c>
      <c r="D192" s="1043"/>
      <c r="E192" s="1050"/>
      <c r="F192" s="1048"/>
      <c r="G192" s="1050"/>
      <c r="H192" s="1048"/>
      <c r="I192" s="2382"/>
    </row>
    <row r="193" spans="1:9" s="47" customFormat="1" x14ac:dyDescent="0.2">
      <c r="A193" s="1042"/>
      <c r="B193" s="1043" t="s">
        <v>261</v>
      </c>
      <c r="C193" s="1157" t="s">
        <v>324</v>
      </c>
      <c r="D193" s="1158" t="s">
        <v>17</v>
      </c>
      <c r="E193" s="1159">
        <v>80</v>
      </c>
      <c r="F193" s="1160">
        <f>salaries!H83</f>
        <v>23</v>
      </c>
      <c r="G193" s="1159">
        <f>F193*E193</f>
        <v>1840</v>
      </c>
      <c r="H193" s="1048"/>
      <c r="I193" s="2382"/>
    </row>
    <row r="194" spans="1:9" s="47" customFormat="1" x14ac:dyDescent="0.2">
      <c r="A194" s="1051"/>
      <c r="B194" s="1052"/>
      <c r="C194" s="1053" t="s">
        <v>468</v>
      </c>
      <c r="D194" s="1052"/>
      <c r="E194" s="1054"/>
      <c r="F194" s="1055"/>
      <c r="G194" s="1054"/>
      <c r="H194" s="1055">
        <f>SUM(G191:G194)</f>
        <v>6856</v>
      </c>
      <c r="I194" s="2382"/>
    </row>
    <row r="195" spans="1:9" s="47" customFormat="1" x14ac:dyDescent="0.2">
      <c r="A195" s="1073" t="s">
        <v>419</v>
      </c>
      <c r="B195" s="1074" t="s">
        <v>263</v>
      </c>
      <c r="C195" s="1075" t="s">
        <v>324</v>
      </c>
      <c r="D195" s="1076" t="s">
        <v>17</v>
      </c>
      <c r="E195" s="1077">
        <v>152</v>
      </c>
      <c r="F195" s="1078">
        <f>salaries!H85</f>
        <v>18</v>
      </c>
      <c r="G195" s="1077">
        <f>F195*E195</f>
        <v>2736</v>
      </c>
      <c r="H195" s="1079"/>
      <c r="I195" s="2382"/>
    </row>
    <row r="196" spans="1:9" s="47" customFormat="1" x14ac:dyDescent="0.2">
      <c r="A196" s="1080"/>
      <c r="B196" s="1081"/>
      <c r="C196" s="1082" t="s">
        <v>468</v>
      </c>
      <c r="D196" s="1081"/>
      <c r="E196" s="1083"/>
      <c r="F196" s="1084"/>
      <c r="G196" s="1083"/>
      <c r="H196" s="1084"/>
      <c r="I196" s="2382"/>
    </row>
    <row r="197" spans="1:9" s="47" customFormat="1" x14ac:dyDescent="0.2">
      <c r="A197" s="1080"/>
      <c r="B197" s="1081" t="s">
        <v>266</v>
      </c>
      <c r="C197" s="1156" t="s">
        <v>324</v>
      </c>
      <c r="D197" s="1161" t="s">
        <v>17</v>
      </c>
      <c r="E197" s="1162">
        <v>80</v>
      </c>
      <c r="F197" s="1163">
        <f>salaries!H88</f>
        <v>13</v>
      </c>
      <c r="G197" s="1162">
        <f>F197*E197</f>
        <v>1040</v>
      </c>
      <c r="H197" s="1084"/>
      <c r="I197" s="2382"/>
    </row>
    <row r="198" spans="1:9" s="47" customFormat="1" x14ac:dyDescent="0.2">
      <c r="A198" s="1085"/>
      <c r="B198" s="1086"/>
      <c r="C198" s="1087" t="s">
        <v>468</v>
      </c>
      <c r="D198" s="1086"/>
      <c r="E198" s="1088"/>
      <c r="F198" s="1089"/>
      <c r="G198" s="1088"/>
      <c r="H198" s="1089">
        <f>SUM(G195:G198)</f>
        <v>3776</v>
      </c>
      <c r="I198" s="2382"/>
    </row>
    <row r="199" spans="1:9" s="47" customFormat="1" x14ac:dyDescent="0.2">
      <c r="A199" s="1090" t="s">
        <v>420</v>
      </c>
      <c r="B199" s="1091" t="s">
        <v>267</v>
      </c>
      <c r="C199" s="1092" t="s">
        <v>324</v>
      </c>
      <c r="D199" s="1093" t="s">
        <v>17</v>
      </c>
      <c r="E199" s="1094">
        <v>152</v>
      </c>
      <c r="F199" s="1095">
        <f>salaries!H89</f>
        <v>18</v>
      </c>
      <c r="G199" s="1094">
        <f>F199*E199</f>
        <v>2736</v>
      </c>
      <c r="H199" s="1096"/>
      <c r="I199" s="2382"/>
    </row>
    <row r="200" spans="1:9" s="47" customFormat="1" x14ac:dyDescent="0.2">
      <c r="A200" s="1097"/>
      <c r="B200" s="1098"/>
      <c r="C200" s="1099" t="s">
        <v>468</v>
      </c>
      <c r="D200" s="1098"/>
      <c r="E200" s="1100"/>
      <c r="F200" s="1101"/>
      <c r="G200" s="1100"/>
      <c r="H200" s="1101"/>
      <c r="I200" s="2382"/>
    </row>
    <row r="201" spans="1:9" s="47" customFormat="1" x14ac:dyDescent="0.2">
      <c r="A201" s="1097"/>
      <c r="B201" s="1098" t="s">
        <v>270</v>
      </c>
      <c r="C201" s="1155" t="s">
        <v>324</v>
      </c>
      <c r="D201" s="1164" t="s">
        <v>17</v>
      </c>
      <c r="E201" s="1165">
        <v>80</v>
      </c>
      <c r="F201" s="1166">
        <f>salaries!H92</f>
        <v>10</v>
      </c>
      <c r="G201" s="1165">
        <f>F201*E201</f>
        <v>800</v>
      </c>
      <c r="H201" s="1101"/>
      <c r="I201" s="2382"/>
    </row>
    <row r="202" spans="1:9" s="47" customFormat="1" x14ac:dyDescent="0.2">
      <c r="A202" s="1102"/>
      <c r="B202" s="1103"/>
      <c r="C202" s="1104" t="s">
        <v>468</v>
      </c>
      <c r="D202" s="1103"/>
      <c r="E202" s="1105"/>
      <c r="F202" s="1106"/>
      <c r="G202" s="1105"/>
      <c r="H202" s="1106">
        <f>SUM(G199:G202)</f>
        <v>3536</v>
      </c>
      <c r="I202" s="2382"/>
    </row>
    <row r="203" spans="1:9" s="47" customFormat="1" x14ac:dyDescent="0.2">
      <c r="A203" s="1107" t="s">
        <v>949</v>
      </c>
      <c r="B203" s="1108" t="s">
        <v>271</v>
      </c>
      <c r="C203" s="1109" t="s">
        <v>324</v>
      </c>
      <c r="D203" s="1110" t="s">
        <v>17</v>
      </c>
      <c r="E203" s="1111">
        <v>104</v>
      </c>
      <c r="F203" s="1112">
        <f>salaries!H93</f>
        <v>52</v>
      </c>
      <c r="G203" s="1111">
        <f>F203*E203</f>
        <v>5408</v>
      </c>
      <c r="H203" s="1113"/>
      <c r="I203" s="2382"/>
    </row>
    <row r="204" spans="1:9" s="47" customFormat="1" x14ac:dyDescent="0.2">
      <c r="A204" s="1119"/>
      <c r="B204" s="1120"/>
      <c r="C204" s="1121" t="s">
        <v>977</v>
      </c>
      <c r="D204" s="1120"/>
      <c r="E204" s="1122"/>
      <c r="F204" s="1123"/>
      <c r="G204" s="1122"/>
      <c r="H204" s="1123">
        <f>SUM(G203:G204)</f>
        <v>5408</v>
      </c>
      <c r="I204" s="2382"/>
    </row>
    <row r="205" spans="1:9" s="47" customFormat="1" x14ac:dyDescent="0.2">
      <c r="A205" s="1124" t="s">
        <v>421</v>
      </c>
      <c r="B205" s="1125" t="s">
        <v>275</v>
      </c>
      <c r="C205" s="1126" t="s">
        <v>324</v>
      </c>
      <c r="D205" s="1127" t="s">
        <v>17</v>
      </c>
      <c r="E205" s="1128">
        <v>152</v>
      </c>
      <c r="F205" s="1129">
        <f>salaries!H97</f>
        <v>25</v>
      </c>
      <c r="G205" s="1128">
        <f>F205*E205</f>
        <v>3800</v>
      </c>
      <c r="H205" s="1130"/>
      <c r="I205" s="2382"/>
    </row>
    <row r="206" spans="1:9" s="47" customFormat="1" x14ac:dyDescent="0.2">
      <c r="A206" s="1131"/>
      <c r="B206" s="1132"/>
      <c r="C206" s="1133" t="s">
        <v>468</v>
      </c>
      <c r="D206" s="1132"/>
      <c r="E206" s="1134"/>
      <c r="F206" s="1135"/>
      <c r="G206" s="1134"/>
      <c r="H206" s="1136"/>
      <c r="I206" s="2382"/>
    </row>
    <row r="207" spans="1:9" s="47" customFormat="1" x14ac:dyDescent="0.2">
      <c r="A207" s="1131"/>
      <c r="B207" s="1132" t="s">
        <v>278</v>
      </c>
      <c r="C207" s="1154" t="s">
        <v>324</v>
      </c>
      <c r="D207" s="1167" t="s">
        <v>17</v>
      </c>
      <c r="E207" s="1168">
        <v>80</v>
      </c>
      <c r="F207" s="1169">
        <f>salaries!H100</f>
        <v>25</v>
      </c>
      <c r="G207" s="1168">
        <f>F207*E207</f>
        <v>2000</v>
      </c>
      <c r="H207" s="1135"/>
      <c r="I207" s="2382"/>
    </row>
    <row r="208" spans="1:9" s="47" customFormat="1" x14ac:dyDescent="0.2">
      <c r="A208" s="1137"/>
      <c r="B208" s="1138"/>
      <c r="C208" s="1139" t="s">
        <v>468</v>
      </c>
      <c r="D208" s="1138"/>
      <c r="E208" s="1140"/>
      <c r="F208" s="1141"/>
      <c r="G208" s="1140"/>
      <c r="H208" s="1141">
        <f>SUM(G205:G208)</f>
        <v>5800</v>
      </c>
      <c r="I208" s="2382"/>
    </row>
    <row r="209" spans="1:9" s="47" customFormat="1" x14ac:dyDescent="0.2">
      <c r="A209" s="548" t="s">
        <v>422</v>
      </c>
      <c r="B209" s="549" t="s">
        <v>279</v>
      </c>
      <c r="C209" s="555" t="s">
        <v>324</v>
      </c>
      <c r="D209" s="550" t="s">
        <v>17</v>
      </c>
      <c r="E209" s="551">
        <v>152</v>
      </c>
      <c r="F209" s="552">
        <f>salaries!H101</f>
        <v>17</v>
      </c>
      <c r="G209" s="551">
        <f>F209*E209</f>
        <v>2584</v>
      </c>
      <c r="H209" s="553"/>
      <c r="I209" s="2382"/>
    </row>
    <row r="210" spans="1:9" s="47" customFormat="1" x14ac:dyDescent="0.2">
      <c r="A210" s="548"/>
      <c r="B210" s="549"/>
      <c r="C210" s="556" t="s">
        <v>468</v>
      </c>
      <c r="D210" s="549"/>
      <c r="E210" s="554"/>
      <c r="F210" s="553"/>
      <c r="G210" s="554"/>
      <c r="H210" s="552"/>
      <c r="I210" s="2382"/>
    </row>
    <row r="211" spans="1:9" s="47" customFormat="1" x14ac:dyDescent="0.2">
      <c r="A211" s="548"/>
      <c r="B211" s="549" t="s">
        <v>282</v>
      </c>
      <c r="C211" s="1153" t="s">
        <v>324</v>
      </c>
      <c r="D211" s="1170" t="s">
        <v>17</v>
      </c>
      <c r="E211" s="1171">
        <v>80</v>
      </c>
      <c r="F211" s="1172">
        <f>salaries!H104</f>
        <v>12</v>
      </c>
      <c r="G211" s="1171">
        <f>F211*E211</f>
        <v>960</v>
      </c>
      <c r="H211" s="553"/>
      <c r="I211" s="2382"/>
    </row>
    <row r="212" spans="1:9" s="47" customFormat="1" x14ac:dyDescent="0.2">
      <c r="A212" s="548"/>
      <c r="B212" s="549"/>
      <c r="C212" s="556" t="s">
        <v>468</v>
      </c>
      <c r="D212" s="549"/>
      <c r="E212" s="554"/>
      <c r="F212" s="553"/>
      <c r="G212" s="554"/>
      <c r="H212" s="553">
        <f>SUM(G209:G212)</f>
        <v>3544</v>
      </c>
      <c r="I212" s="2382"/>
    </row>
    <row r="213" spans="1:9" s="47" customFormat="1" x14ac:dyDescent="0.2">
      <c r="A213" s="2132" t="s">
        <v>950</v>
      </c>
      <c r="B213" s="2133" t="s">
        <v>283</v>
      </c>
      <c r="C213" s="2134" t="s">
        <v>324</v>
      </c>
      <c r="D213" s="2135" t="s">
        <v>17</v>
      </c>
      <c r="E213" s="2136">
        <v>152</v>
      </c>
      <c r="F213" s="2137">
        <f>salaries!H105</f>
        <v>0</v>
      </c>
      <c r="G213" s="2136">
        <f>F213*E213</f>
        <v>0</v>
      </c>
      <c r="H213" s="2138"/>
      <c r="I213" s="2382"/>
    </row>
    <row r="214" spans="1:9" s="47" customFormat="1" x14ac:dyDescent="0.2">
      <c r="A214" s="2081"/>
      <c r="B214" s="2082"/>
      <c r="C214" s="2088" t="s">
        <v>468</v>
      </c>
      <c r="D214" s="2082"/>
      <c r="E214" s="2089"/>
      <c r="F214" s="2087"/>
      <c r="G214" s="2089"/>
      <c r="H214" s="2086"/>
      <c r="I214" s="2382"/>
    </row>
    <row r="215" spans="1:9" s="47" customFormat="1" x14ac:dyDescent="0.2">
      <c r="A215" s="2081"/>
      <c r="B215" s="2082" t="s">
        <v>286</v>
      </c>
      <c r="C215" s="2090" t="s">
        <v>324</v>
      </c>
      <c r="D215" s="2091" t="s">
        <v>17</v>
      </c>
      <c r="E215" s="2092">
        <v>80</v>
      </c>
      <c r="F215" s="2093">
        <f>salaries!H108</f>
        <v>0</v>
      </c>
      <c r="G215" s="2092">
        <f>F215*E215</f>
        <v>0</v>
      </c>
      <c r="H215" s="2087"/>
      <c r="I215" s="2382"/>
    </row>
    <row r="216" spans="1:9" s="47" customFormat="1" x14ac:dyDescent="0.2">
      <c r="A216" s="2139"/>
      <c r="B216" s="2140"/>
      <c r="C216" s="2141" t="s">
        <v>468</v>
      </c>
      <c r="D216" s="2140"/>
      <c r="E216" s="2142"/>
      <c r="F216" s="2143"/>
      <c r="G216" s="2142"/>
      <c r="H216" s="2143">
        <f>SUM(G213:G216)</f>
        <v>0</v>
      </c>
      <c r="I216" s="2382"/>
    </row>
    <row r="217" spans="1:9" s="47" customFormat="1" x14ac:dyDescent="0.2">
      <c r="A217" s="2094" t="s">
        <v>951</v>
      </c>
      <c r="B217" s="2095" t="s">
        <v>287</v>
      </c>
      <c r="C217" s="2096" t="s">
        <v>324</v>
      </c>
      <c r="D217" s="2097" t="s">
        <v>17</v>
      </c>
      <c r="E217" s="2098">
        <v>104</v>
      </c>
      <c r="F217" s="2099">
        <f>salaries!H109</f>
        <v>57</v>
      </c>
      <c r="G217" s="2098">
        <f>F217*E217</f>
        <v>5928</v>
      </c>
      <c r="H217" s="2100"/>
      <c r="I217" s="2382"/>
    </row>
    <row r="218" spans="1:9" s="47" customFormat="1" x14ac:dyDescent="0.2">
      <c r="A218" s="2094"/>
      <c r="B218" s="2095"/>
      <c r="C218" s="2101" t="s">
        <v>977</v>
      </c>
      <c r="D218" s="2095"/>
      <c r="E218" s="2102"/>
      <c r="F218" s="2100"/>
      <c r="G218" s="2102"/>
      <c r="H218" s="2100">
        <f>SUM(G217:G218)</f>
        <v>5928</v>
      </c>
      <c r="I218" s="2382"/>
    </row>
    <row r="219" spans="1:9" s="47" customFormat="1" x14ac:dyDescent="0.2">
      <c r="A219" s="2144" t="s">
        <v>952</v>
      </c>
      <c r="B219" s="2145" t="s">
        <v>291</v>
      </c>
      <c r="C219" s="2146" t="s">
        <v>324</v>
      </c>
      <c r="D219" s="2147" t="s">
        <v>17</v>
      </c>
      <c r="E219" s="2148">
        <v>152</v>
      </c>
      <c r="F219" s="2149">
        <f>salaries!H113</f>
        <v>16</v>
      </c>
      <c r="G219" s="2148">
        <f>F219*E219</f>
        <v>2432</v>
      </c>
      <c r="H219" s="2150"/>
      <c r="I219" s="2382"/>
    </row>
    <row r="220" spans="1:9" s="47" customFormat="1" x14ac:dyDescent="0.2">
      <c r="A220" s="2107"/>
      <c r="B220" s="2108"/>
      <c r="C220" s="2113" t="s">
        <v>468</v>
      </c>
      <c r="D220" s="2108"/>
      <c r="E220" s="2114"/>
      <c r="F220" s="2112"/>
      <c r="G220" s="2114"/>
      <c r="H220" s="2111"/>
      <c r="I220" s="2382"/>
    </row>
    <row r="221" spans="1:9" s="47" customFormat="1" x14ac:dyDescent="0.2">
      <c r="A221" s="2107"/>
      <c r="B221" s="2108" t="s">
        <v>293</v>
      </c>
      <c r="C221" s="2115" t="s">
        <v>324</v>
      </c>
      <c r="D221" s="2116" t="s">
        <v>17</v>
      </c>
      <c r="E221" s="2117">
        <v>80</v>
      </c>
      <c r="F221" s="2118">
        <f>salaries!H115</f>
        <v>11</v>
      </c>
      <c r="G221" s="2117">
        <f>F221*E221</f>
        <v>880</v>
      </c>
      <c r="H221" s="2112"/>
      <c r="I221" s="2382"/>
    </row>
    <row r="222" spans="1:9" s="47" customFormat="1" x14ac:dyDescent="0.2">
      <c r="A222" s="2151"/>
      <c r="B222" s="2152"/>
      <c r="C222" s="2153" t="s">
        <v>468</v>
      </c>
      <c r="D222" s="2152"/>
      <c r="E222" s="2154"/>
      <c r="F222" s="2155"/>
      <c r="G222" s="2154"/>
      <c r="H222" s="2155">
        <f>SUM(G219:G222)</f>
        <v>3312</v>
      </c>
      <c r="I222" s="2382"/>
    </row>
    <row r="223" spans="1:9" s="4" customFormat="1" x14ac:dyDescent="0.2">
      <c r="A223" s="78" t="s">
        <v>8</v>
      </c>
      <c r="B223" s="12"/>
      <c r="C223" s="219"/>
      <c r="D223" s="12" t="s">
        <v>34</v>
      </c>
      <c r="E223" s="27"/>
      <c r="F223" s="27"/>
      <c r="G223" s="27" t="s">
        <v>35</v>
      </c>
      <c r="H223" s="28">
        <f>SUM(H6:H222)</f>
        <v>281640</v>
      </c>
      <c r="I223" s="2500"/>
    </row>
    <row r="224" spans="1:9" s="4" customFormat="1" x14ac:dyDescent="0.2">
      <c r="A224" s="76" t="s">
        <v>24</v>
      </c>
      <c r="B224" s="6"/>
      <c r="C224" s="217"/>
      <c r="D224" s="6"/>
      <c r="E224" s="21"/>
      <c r="F224" s="21"/>
      <c r="G224" s="21"/>
      <c r="H224" s="22"/>
      <c r="I224" s="2500"/>
    </row>
    <row r="225" spans="1:9" x14ac:dyDescent="0.2">
      <c r="A225" s="77"/>
      <c r="B225" s="99"/>
      <c r="C225" s="218"/>
      <c r="D225" s="99"/>
      <c r="E225" s="101"/>
      <c r="F225" s="116"/>
      <c r="G225" s="101">
        <f>F225*E225</f>
        <v>0</v>
      </c>
      <c r="H225" s="102"/>
      <c r="I225" s="2474"/>
    </row>
    <row r="226" spans="1:9" s="47" customFormat="1" x14ac:dyDescent="0.2">
      <c r="A226" s="106"/>
      <c r="B226" s="197"/>
      <c r="C226" s="220"/>
      <c r="D226" s="197"/>
      <c r="E226" s="108"/>
      <c r="F226" s="116"/>
      <c r="G226" s="108"/>
      <c r="H226" s="116"/>
      <c r="I226" s="2382"/>
    </row>
    <row r="227" spans="1:9" s="47" customFormat="1" x14ac:dyDescent="0.2">
      <c r="A227" s="106"/>
      <c r="B227" s="199"/>
      <c r="C227" s="220"/>
      <c r="D227" s="199"/>
      <c r="E227" s="108"/>
      <c r="F227" s="198"/>
      <c r="G227" s="108"/>
      <c r="H227" s="198">
        <f>SUM(G224:G227)</f>
        <v>0</v>
      </c>
      <c r="I227" s="2382"/>
    </row>
    <row r="228" spans="1:9" s="4" customFormat="1" x14ac:dyDescent="0.2">
      <c r="A228" s="78" t="s">
        <v>74</v>
      </c>
      <c r="B228" s="12"/>
      <c r="C228" s="219"/>
      <c r="D228" s="12"/>
      <c r="E228" s="27"/>
      <c r="F228" s="27"/>
      <c r="G228" s="27"/>
      <c r="H228" s="28">
        <f>SUM(H226:H227)</f>
        <v>0</v>
      </c>
      <c r="I228" s="2500"/>
    </row>
    <row r="229" spans="1:9" s="4" customFormat="1" x14ac:dyDescent="0.2">
      <c r="A229" s="76" t="s">
        <v>25</v>
      </c>
      <c r="B229" s="6"/>
      <c r="C229" s="217"/>
      <c r="D229" s="6"/>
      <c r="E229" s="21"/>
      <c r="F229" s="21"/>
      <c r="G229" s="21"/>
      <c r="H229" s="22">
        <f>SUM(G229:G229)</f>
        <v>0</v>
      </c>
      <c r="I229" s="2500"/>
    </row>
    <row r="230" spans="1:9" x14ac:dyDescent="0.2">
      <c r="A230" s="83" t="s">
        <v>107</v>
      </c>
      <c r="B230" s="121"/>
      <c r="C230" s="221" t="s">
        <v>469</v>
      </c>
      <c r="D230" s="122" t="s">
        <v>16</v>
      </c>
      <c r="E230" s="113">
        <v>8</v>
      </c>
      <c r="F230" s="123">
        <v>300</v>
      </c>
      <c r="G230" s="107">
        <f t="shared" ref="G230:G236" si="0">F230*E230</f>
        <v>2400</v>
      </c>
      <c r="H230" s="113"/>
      <c r="I230" s="2501"/>
    </row>
    <row r="231" spans="1:9" x14ac:dyDescent="0.2">
      <c r="A231" s="83"/>
      <c r="B231" s="124"/>
      <c r="C231" s="222" t="s">
        <v>89</v>
      </c>
      <c r="D231" s="112" t="s">
        <v>36</v>
      </c>
      <c r="E231" s="115">
        <f>8*2</f>
        <v>16</v>
      </c>
      <c r="F231" s="125">
        <v>120</v>
      </c>
      <c r="G231" s="107">
        <f t="shared" si="0"/>
        <v>1920</v>
      </c>
      <c r="H231" s="115"/>
      <c r="I231" s="2501"/>
    </row>
    <row r="232" spans="1:9" x14ac:dyDescent="0.2">
      <c r="A232" s="83"/>
      <c r="B232" s="124"/>
      <c r="C232" s="222" t="s">
        <v>108</v>
      </c>
      <c r="D232" s="112" t="s">
        <v>73</v>
      </c>
      <c r="E232" s="115">
        <v>4</v>
      </c>
      <c r="F232" s="125">
        <v>100</v>
      </c>
      <c r="G232" s="107">
        <f t="shared" si="0"/>
        <v>400</v>
      </c>
      <c r="H232" s="115"/>
      <c r="I232" s="2502"/>
    </row>
    <row r="233" spans="1:9" x14ac:dyDescent="0.2">
      <c r="A233" s="83"/>
      <c r="B233" s="124" t="s">
        <v>142</v>
      </c>
      <c r="C233" s="222" t="s">
        <v>470</v>
      </c>
      <c r="D233" s="112" t="s">
        <v>36</v>
      </c>
      <c r="E233" s="115">
        <f>2*4*3</f>
        <v>24</v>
      </c>
      <c r="F233" s="125">
        <v>100</v>
      </c>
      <c r="G233" s="107">
        <f t="shared" si="0"/>
        <v>2400</v>
      </c>
      <c r="H233" s="115"/>
      <c r="I233" s="2501"/>
    </row>
    <row r="234" spans="1:9" x14ac:dyDescent="0.2">
      <c r="A234" s="92"/>
      <c r="B234" s="124"/>
      <c r="C234" s="222"/>
      <c r="D234" s="112"/>
      <c r="E234" s="115"/>
      <c r="F234" s="126"/>
      <c r="G234" s="107">
        <f t="shared" si="0"/>
        <v>0</v>
      </c>
      <c r="H234" s="115">
        <f>SUM(G230:G234)</f>
        <v>7120</v>
      </c>
      <c r="I234" s="2503"/>
    </row>
    <row r="235" spans="1:9" s="38" customFormat="1" x14ac:dyDescent="0.2">
      <c r="A235" s="532" t="s">
        <v>203</v>
      </c>
      <c r="B235" s="1173" t="s">
        <v>641</v>
      </c>
      <c r="C235" s="1174" t="s">
        <v>471</v>
      </c>
      <c r="D235" s="1175" t="s">
        <v>73</v>
      </c>
      <c r="E235" s="567">
        <v>1</v>
      </c>
      <c r="F235" s="1176">
        <v>25</v>
      </c>
      <c r="G235" s="569">
        <f t="shared" si="0"/>
        <v>25</v>
      </c>
      <c r="H235" s="567"/>
      <c r="I235" s="2504"/>
    </row>
    <row r="236" spans="1:9" s="38" customFormat="1" x14ac:dyDescent="0.2">
      <c r="A236" s="532"/>
      <c r="B236" s="1177"/>
      <c r="C236" s="1174" t="s">
        <v>642</v>
      </c>
      <c r="D236" s="1175" t="s">
        <v>36</v>
      </c>
      <c r="E236" s="567">
        <v>4</v>
      </c>
      <c r="F236" s="1176">
        <v>100</v>
      </c>
      <c r="G236" s="569">
        <f t="shared" si="0"/>
        <v>400</v>
      </c>
      <c r="H236" s="567">
        <f>SUM(G235:G236)</f>
        <v>425</v>
      </c>
      <c r="I236" s="2503"/>
    </row>
    <row r="237" spans="1:9" s="38" customFormat="1" x14ac:dyDescent="0.2">
      <c r="A237" s="557" t="s">
        <v>204</v>
      </c>
      <c r="B237" s="1178" t="s">
        <v>643</v>
      </c>
      <c r="C237" s="1179" t="s">
        <v>476</v>
      </c>
      <c r="D237" s="1180" t="s">
        <v>73</v>
      </c>
      <c r="E237" s="547">
        <v>6</v>
      </c>
      <c r="F237" s="1181">
        <v>100</v>
      </c>
      <c r="G237" s="564">
        <f>F237*E237</f>
        <v>600</v>
      </c>
      <c r="H237" s="547"/>
      <c r="I237" s="2504"/>
    </row>
    <row r="238" spans="1:9" s="38" customFormat="1" x14ac:dyDescent="0.2">
      <c r="A238" s="557"/>
      <c r="B238" s="1182"/>
      <c r="C238" s="1179" t="s">
        <v>644</v>
      </c>
      <c r="D238" s="1180" t="s">
        <v>36</v>
      </c>
      <c r="E238" s="547">
        <f>3*2*2</f>
        <v>12</v>
      </c>
      <c r="F238" s="1181">
        <v>120</v>
      </c>
      <c r="G238" s="564">
        <f>F238*E238</f>
        <v>1440</v>
      </c>
      <c r="H238" s="547">
        <f>SUM(G237:G238)</f>
        <v>2040</v>
      </c>
      <c r="I238" s="2504"/>
    </row>
    <row r="239" spans="1:9" x14ac:dyDescent="0.2">
      <c r="A239" s="588" t="s">
        <v>308</v>
      </c>
      <c r="B239" s="1183" t="s">
        <v>641</v>
      </c>
      <c r="C239" s="1184" t="s">
        <v>472</v>
      </c>
      <c r="D239" s="1185" t="s">
        <v>73</v>
      </c>
      <c r="E239" s="593">
        <v>1</v>
      </c>
      <c r="F239" s="1186">
        <v>25</v>
      </c>
      <c r="G239" s="594">
        <f t="shared" ref="G239:G260" si="1">F239*E239</f>
        <v>25</v>
      </c>
      <c r="H239" s="593"/>
      <c r="I239" s="2383"/>
    </row>
    <row r="240" spans="1:9" x14ac:dyDescent="0.2">
      <c r="A240" s="588"/>
      <c r="B240" s="1183"/>
      <c r="C240" s="1184" t="s">
        <v>645</v>
      </c>
      <c r="D240" s="1185" t="s">
        <v>36</v>
      </c>
      <c r="E240" s="593">
        <v>2</v>
      </c>
      <c r="F240" s="1186">
        <v>100</v>
      </c>
      <c r="G240" s="594">
        <f t="shared" si="1"/>
        <v>200</v>
      </c>
      <c r="H240" s="593">
        <f>SUM(G239:G240)</f>
        <v>225</v>
      </c>
    </row>
    <row r="241" spans="1:9" x14ac:dyDescent="0.2">
      <c r="A241" s="617" t="s">
        <v>309</v>
      </c>
      <c r="B241" s="1187" t="s">
        <v>643</v>
      </c>
      <c r="C241" s="1188" t="s">
        <v>473</v>
      </c>
      <c r="D241" s="1189" t="s">
        <v>16</v>
      </c>
      <c r="E241" s="622">
        <v>6</v>
      </c>
      <c r="F241" s="1190">
        <v>300</v>
      </c>
      <c r="G241" s="621">
        <f t="shared" si="1"/>
        <v>1800</v>
      </c>
      <c r="H241" s="622"/>
      <c r="I241" s="2383"/>
    </row>
    <row r="242" spans="1:9" x14ac:dyDescent="0.2">
      <c r="A242" s="617"/>
      <c r="B242" s="1187"/>
      <c r="C242" s="1188" t="s">
        <v>644</v>
      </c>
      <c r="D242" s="1189" t="s">
        <v>36</v>
      </c>
      <c r="E242" s="622">
        <v>12</v>
      </c>
      <c r="F242" s="1190">
        <v>140</v>
      </c>
      <c r="G242" s="621">
        <f t="shared" si="1"/>
        <v>1680</v>
      </c>
      <c r="H242" s="622">
        <f>SUM(G241:G242)</f>
        <v>3480</v>
      </c>
      <c r="I242" s="2476"/>
    </row>
    <row r="243" spans="1:9" x14ac:dyDescent="0.2">
      <c r="A243" s="640" t="s">
        <v>310</v>
      </c>
      <c r="B243" s="1191" t="s">
        <v>646</v>
      </c>
      <c r="C243" s="1192" t="s">
        <v>475</v>
      </c>
      <c r="D243" s="1193" t="s">
        <v>73</v>
      </c>
      <c r="E243" s="645">
        <v>6</v>
      </c>
      <c r="F243" s="1194">
        <v>150</v>
      </c>
      <c r="G243" s="644">
        <f>F243*E243</f>
        <v>900</v>
      </c>
      <c r="H243" s="645"/>
      <c r="I243" s="2383"/>
    </row>
    <row r="244" spans="1:9" x14ac:dyDescent="0.2">
      <c r="A244" s="640"/>
      <c r="B244" s="1191"/>
      <c r="C244" s="1192" t="s">
        <v>644</v>
      </c>
      <c r="D244" s="1193" t="s">
        <v>36</v>
      </c>
      <c r="E244" s="645">
        <v>12</v>
      </c>
      <c r="F244" s="1194">
        <v>120</v>
      </c>
      <c r="G244" s="644">
        <f>F244*E244</f>
        <v>1440</v>
      </c>
      <c r="H244" s="645">
        <f>SUM(G243:G244)</f>
        <v>2340</v>
      </c>
      <c r="I244" s="2476"/>
    </row>
    <row r="245" spans="1:9" x14ac:dyDescent="0.2">
      <c r="A245" s="656" t="s">
        <v>311</v>
      </c>
      <c r="B245" s="665" t="s">
        <v>646</v>
      </c>
      <c r="C245" s="1195" t="s">
        <v>68</v>
      </c>
      <c r="D245" s="1196" t="s">
        <v>16</v>
      </c>
      <c r="E245" s="661">
        <v>3</v>
      </c>
      <c r="F245" s="1197">
        <v>400</v>
      </c>
      <c r="G245" s="663">
        <f t="shared" si="1"/>
        <v>1200</v>
      </c>
      <c r="H245" s="661"/>
      <c r="I245" s="2383"/>
    </row>
    <row r="246" spans="1:9" x14ac:dyDescent="0.2">
      <c r="A246" s="656"/>
      <c r="B246" s="665"/>
      <c r="C246" s="1195" t="s">
        <v>647</v>
      </c>
      <c r="D246" s="1196" t="s">
        <v>36</v>
      </c>
      <c r="E246" s="661">
        <v>9</v>
      </c>
      <c r="F246" s="1197">
        <v>140</v>
      </c>
      <c r="G246" s="663">
        <f t="shared" si="1"/>
        <v>1260</v>
      </c>
      <c r="H246" s="661">
        <f>SUM(G245:G246)</f>
        <v>2460</v>
      </c>
    </row>
    <row r="247" spans="1:9" x14ac:dyDescent="0.2">
      <c r="A247" s="836" t="s">
        <v>407</v>
      </c>
      <c r="B247" s="1198" t="s">
        <v>646</v>
      </c>
      <c r="C247" s="1199" t="s">
        <v>72</v>
      </c>
      <c r="D247" s="1200" t="s">
        <v>16</v>
      </c>
      <c r="E247" s="843">
        <v>3</v>
      </c>
      <c r="F247" s="1201">
        <v>300</v>
      </c>
      <c r="G247" s="846">
        <f t="shared" si="1"/>
        <v>900</v>
      </c>
      <c r="H247" s="843"/>
      <c r="I247" s="2383"/>
    </row>
    <row r="248" spans="1:9" x14ac:dyDescent="0.2">
      <c r="A248" s="836"/>
      <c r="B248" s="1198"/>
      <c r="C248" s="1199" t="s">
        <v>90</v>
      </c>
      <c r="D248" s="1200" t="s">
        <v>36</v>
      </c>
      <c r="E248" s="843">
        <v>9</v>
      </c>
      <c r="F248" s="1201">
        <v>140</v>
      </c>
      <c r="G248" s="846">
        <f t="shared" si="1"/>
        <v>1260</v>
      </c>
      <c r="H248" s="843">
        <f>SUM(G247:G248)</f>
        <v>2160</v>
      </c>
    </row>
    <row r="249" spans="1:9" x14ac:dyDescent="0.2">
      <c r="A249" s="548" t="s">
        <v>408</v>
      </c>
      <c r="B249" s="1202" t="s">
        <v>646</v>
      </c>
      <c r="C249" s="1203" t="s">
        <v>69</v>
      </c>
      <c r="D249" s="1204" t="s">
        <v>16</v>
      </c>
      <c r="E249" s="553">
        <v>3</v>
      </c>
      <c r="F249" s="1205">
        <v>300</v>
      </c>
      <c r="G249" s="554">
        <f t="shared" si="1"/>
        <v>900</v>
      </c>
      <c r="H249" s="553"/>
      <c r="I249" s="2383"/>
    </row>
    <row r="250" spans="1:9" x14ac:dyDescent="0.2">
      <c r="A250" s="548"/>
      <c r="B250" s="1202"/>
      <c r="C250" s="1203" t="s">
        <v>90</v>
      </c>
      <c r="D250" s="1204" t="s">
        <v>36</v>
      </c>
      <c r="E250" s="553">
        <v>9</v>
      </c>
      <c r="F250" s="1205">
        <v>140</v>
      </c>
      <c r="G250" s="554">
        <f t="shared" si="1"/>
        <v>1260</v>
      </c>
      <c r="H250" s="553">
        <f>SUM(G249:G250)</f>
        <v>2160</v>
      </c>
    </row>
    <row r="251" spans="1:9" x14ac:dyDescent="0.2">
      <c r="A251" s="876" t="s">
        <v>409</v>
      </c>
      <c r="B251" s="1206" t="s">
        <v>646</v>
      </c>
      <c r="C251" s="1207" t="s">
        <v>70</v>
      </c>
      <c r="D251" s="1208" t="s">
        <v>16</v>
      </c>
      <c r="E251" s="882">
        <v>3</v>
      </c>
      <c r="F251" s="1209">
        <v>250</v>
      </c>
      <c r="G251" s="885">
        <f t="shared" si="1"/>
        <v>750</v>
      </c>
      <c r="H251" s="882"/>
      <c r="I251" s="2383"/>
    </row>
    <row r="252" spans="1:9" x14ac:dyDescent="0.2">
      <c r="A252" s="1210"/>
      <c r="B252" s="1206"/>
      <c r="C252" s="1207" t="s">
        <v>90</v>
      </c>
      <c r="D252" s="1208" t="s">
        <v>36</v>
      </c>
      <c r="E252" s="882">
        <v>9</v>
      </c>
      <c r="F252" s="1209">
        <v>140</v>
      </c>
      <c r="G252" s="885">
        <f t="shared" si="1"/>
        <v>1260</v>
      </c>
      <c r="H252" s="882">
        <f>SUM(G251:G252)</f>
        <v>2010</v>
      </c>
    </row>
    <row r="253" spans="1:9" x14ac:dyDescent="0.2">
      <c r="A253" s="907" t="s">
        <v>410</v>
      </c>
      <c r="B253" s="1211" t="s">
        <v>646</v>
      </c>
      <c r="C253" s="1212" t="s">
        <v>95</v>
      </c>
      <c r="D253" s="1213" t="s">
        <v>16</v>
      </c>
      <c r="E253" s="911">
        <v>3</v>
      </c>
      <c r="F253" s="1214">
        <v>200</v>
      </c>
      <c r="G253" s="910">
        <f t="shared" si="1"/>
        <v>600</v>
      </c>
      <c r="H253" s="911"/>
      <c r="I253" s="2383"/>
    </row>
    <row r="254" spans="1:9" x14ac:dyDescent="0.2">
      <c r="A254" s="907"/>
      <c r="B254" s="1211"/>
      <c r="C254" s="1212" t="s">
        <v>90</v>
      </c>
      <c r="D254" s="1213" t="s">
        <v>36</v>
      </c>
      <c r="E254" s="911">
        <v>9</v>
      </c>
      <c r="F254" s="1214">
        <v>120</v>
      </c>
      <c r="G254" s="910">
        <f t="shared" si="1"/>
        <v>1080</v>
      </c>
      <c r="H254" s="911">
        <f>SUM(G253:G254)</f>
        <v>1680</v>
      </c>
    </row>
    <row r="255" spans="1:9" x14ac:dyDescent="0.2">
      <c r="A255" s="923" t="s">
        <v>411</v>
      </c>
      <c r="B255" s="1215" t="s">
        <v>646</v>
      </c>
      <c r="C255" s="1216" t="s">
        <v>71</v>
      </c>
      <c r="D255" s="1217" t="s">
        <v>16</v>
      </c>
      <c r="E255" s="929">
        <v>3</v>
      </c>
      <c r="F255" s="1218">
        <v>300</v>
      </c>
      <c r="G255" s="931">
        <f t="shared" si="1"/>
        <v>900</v>
      </c>
      <c r="H255" s="929"/>
      <c r="I255" s="2383"/>
    </row>
    <row r="256" spans="1:9" x14ac:dyDescent="0.2">
      <c r="A256" s="923"/>
      <c r="B256" s="1215"/>
      <c r="C256" s="1216" t="s">
        <v>90</v>
      </c>
      <c r="D256" s="1217" t="s">
        <v>36</v>
      </c>
      <c r="E256" s="929">
        <v>9</v>
      </c>
      <c r="F256" s="1218">
        <v>160</v>
      </c>
      <c r="G256" s="931">
        <f t="shared" si="1"/>
        <v>1440</v>
      </c>
      <c r="H256" s="929">
        <f>SUM(G255:G256)</f>
        <v>2340</v>
      </c>
      <c r="I256" s="2476"/>
    </row>
    <row r="257" spans="1:9" x14ac:dyDescent="0.2">
      <c r="A257" s="936" t="s">
        <v>412</v>
      </c>
      <c r="B257" s="1219" t="s">
        <v>646</v>
      </c>
      <c r="C257" s="1220" t="s">
        <v>474</v>
      </c>
      <c r="D257" s="1221" t="s">
        <v>16</v>
      </c>
      <c r="E257" s="943">
        <v>3</v>
      </c>
      <c r="F257" s="1222">
        <v>300</v>
      </c>
      <c r="G257" s="946">
        <f t="shared" si="1"/>
        <v>900</v>
      </c>
      <c r="H257" s="943"/>
      <c r="I257" s="2383"/>
    </row>
    <row r="258" spans="1:9" x14ac:dyDescent="0.2">
      <c r="A258" s="936"/>
      <c r="B258" s="1219"/>
      <c r="C258" s="1220" t="s">
        <v>90</v>
      </c>
      <c r="D258" s="1221" t="s">
        <v>36</v>
      </c>
      <c r="E258" s="943">
        <v>9</v>
      </c>
      <c r="F258" s="1222">
        <v>160</v>
      </c>
      <c r="G258" s="946">
        <f t="shared" si="1"/>
        <v>1440</v>
      </c>
      <c r="H258" s="943">
        <f>SUM(G257:G258)</f>
        <v>2340</v>
      </c>
    </row>
    <row r="259" spans="1:9" x14ac:dyDescent="0.2">
      <c r="A259" s="969" t="s">
        <v>413</v>
      </c>
      <c r="B259" s="1223" t="s">
        <v>648</v>
      </c>
      <c r="C259" s="1224" t="s">
        <v>68</v>
      </c>
      <c r="D259" s="1225" t="s">
        <v>16</v>
      </c>
      <c r="E259" s="975">
        <v>1</v>
      </c>
      <c r="F259" s="1226">
        <v>400</v>
      </c>
      <c r="G259" s="976">
        <f t="shared" si="1"/>
        <v>400</v>
      </c>
      <c r="H259" s="975"/>
      <c r="I259" s="2383"/>
    </row>
    <row r="260" spans="1:9" x14ac:dyDescent="0.2">
      <c r="A260" s="969"/>
      <c r="B260" s="1223"/>
      <c r="C260" s="1224" t="s">
        <v>649</v>
      </c>
      <c r="D260" s="1225" t="s">
        <v>36</v>
      </c>
      <c r="E260" s="975">
        <v>3</v>
      </c>
      <c r="F260" s="1226">
        <v>140</v>
      </c>
      <c r="G260" s="976">
        <f t="shared" si="1"/>
        <v>420</v>
      </c>
      <c r="H260" s="975">
        <f>SUM(G259:G260)</f>
        <v>820</v>
      </c>
    </row>
    <row r="261" spans="1:9" x14ac:dyDescent="0.2">
      <c r="A261" s="990" t="s">
        <v>414</v>
      </c>
      <c r="B261" s="1227" t="s">
        <v>648</v>
      </c>
      <c r="C261" s="1228" t="s">
        <v>68</v>
      </c>
      <c r="D261" s="1229" t="s">
        <v>16</v>
      </c>
      <c r="E261" s="995">
        <v>1</v>
      </c>
      <c r="F261" s="1230">
        <v>400</v>
      </c>
      <c r="G261" s="998">
        <f t="shared" ref="G261:G280" si="2">F261*E261</f>
        <v>400</v>
      </c>
      <c r="H261" s="995"/>
      <c r="I261" s="2383"/>
    </row>
    <row r="262" spans="1:9" x14ac:dyDescent="0.2">
      <c r="A262" s="990"/>
      <c r="B262" s="1227"/>
      <c r="C262" s="1228" t="s">
        <v>90</v>
      </c>
      <c r="D262" s="1229" t="s">
        <v>36</v>
      </c>
      <c r="E262" s="995">
        <v>3</v>
      </c>
      <c r="F262" s="1230">
        <v>140</v>
      </c>
      <c r="G262" s="998">
        <f t="shared" si="2"/>
        <v>420</v>
      </c>
      <c r="H262" s="995">
        <f>SUM(G261:G262)</f>
        <v>820</v>
      </c>
    </row>
    <row r="263" spans="1:9" x14ac:dyDescent="0.2">
      <c r="A263" s="1011" t="s">
        <v>415</v>
      </c>
      <c r="B263" s="1231" t="s">
        <v>648</v>
      </c>
      <c r="C263" s="1232" t="s">
        <v>70</v>
      </c>
      <c r="D263" s="1233" t="s">
        <v>16</v>
      </c>
      <c r="E263" s="1014">
        <v>1</v>
      </c>
      <c r="F263" s="1234">
        <v>250</v>
      </c>
      <c r="G263" s="1016">
        <f t="shared" si="2"/>
        <v>250</v>
      </c>
      <c r="H263" s="1014"/>
      <c r="I263" s="2383"/>
    </row>
    <row r="264" spans="1:9" x14ac:dyDescent="0.2">
      <c r="A264" s="1011"/>
      <c r="B264" s="1231"/>
      <c r="C264" s="1232" t="s">
        <v>90</v>
      </c>
      <c r="D264" s="1233" t="s">
        <v>36</v>
      </c>
      <c r="E264" s="1014">
        <v>3</v>
      </c>
      <c r="F264" s="1234">
        <v>140</v>
      </c>
      <c r="G264" s="1016">
        <f t="shared" si="2"/>
        <v>420</v>
      </c>
      <c r="H264" s="1014">
        <f>SUM(G263:G264)</f>
        <v>670</v>
      </c>
    </row>
    <row r="265" spans="1:9" x14ac:dyDescent="0.2">
      <c r="A265" s="1017" t="s">
        <v>416</v>
      </c>
      <c r="B265" s="1235" t="s">
        <v>648</v>
      </c>
      <c r="C265" s="1236" t="s">
        <v>95</v>
      </c>
      <c r="D265" s="1237" t="s">
        <v>16</v>
      </c>
      <c r="E265" s="1023">
        <v>1</v>
      </c>
      <c r="F265" s="1238">
        <v>200</v>
      </c>
      <c r="G265" s="1025">
        <f t="shared" si="2"/>
        <v>200</v>
      </c>
      <c r="H265" s="1023"/>
      <c r="I265" s="2383"/>
    </row>
    <row r="266" spans="1:9" x14ac:dyDescent="0.2">
      <c r="A266" s="1017"/>
      <c r="B266" s="1235"/>
      <c r="C266" s="1236" t="s">
        <v>90</v>
      </c>
      <c r="D266" s="1237" t="s">
        <v>36</v>
      </c>
      <c r="E266" s="1023">
        <v>3</v>
      </c>
      <c r="F266" s="1238">
        <v>120</v>
      </c>
      <c r="G266" s="1025">
        <f t="shared" si="2"/>
        <v>360</v>
      </c>
      <c r="H266" s="1023">
        <f>SUM(G265:G266)</f>
        <v>560</v>
      </c>
    </row>
    <row r="267" spans="1:9" x14ac:dyDescent="0.2">
      <c r="A267" s="1026" t="s">
        <v>417</v>
      </c>
      <c r="B267" s="1239" t="s">
        <v>648</v>
      </c>
      <c r="C267" s="1240" t="s">
        <v>95</v>
      </c>
      <c r="D267" s="1035" t="s">
        <v>16</v>
      </c>
      <c r="E267" s="1032">
        <v>1</v>
      </c>
      <c r="F267" s="1036">
        <v>200</v>
      </c>
      <c r="G267" s="1034">
        <f t="shared" si="2"/>
        <v>200</v>
      </c>
      <c r="H267" s="1032"/>
      <c r="I267" s="2383"/>
    </row>
    <row r="268" spans="1:9" x14ac:dyDescent="0.2">
      <c r="A268" s="1026"/>
      <c r="B268" s="1239"/>
      <c r="C268" s="1240" t="s">
        <v>90</v>
      </c>
      <c r="D268" s="1035" t="s">
        <v>36</v>
      </c>
      <c r="E268" s="1032">
        <v>3</v>
      </c>
      <c r="F268" s="1036">
        <v>120</v>
      </c>
      <c r="G268" s="1034">
        <f t="shared" si="2"/>
        <v>360</v>
      </c>
      <c r="H268" s="1032">
        <f>SUM(G267:G268)</f>
        <v>560</v>
      </c>
    </row>
    <row r="269" spans="1:9" x14ac:dyDescent="0.2">
      <c r="A269" s="1042" t="s">
        <v>418</v>
      </c>
      <c r="B269" s="1241" t="s">
        <v>650</v>
      </c>
      <c r="C269" s="1242" t="s">
        <v>71</v>
      </c>
      <c r="D269" s="1243" t="s">
        <v>16</v>
      </c>
      <c r="E269" s="1048">
        <v>2</v>
      </c>
      <c r="F269" s="1244">
        <v>300</v>
      </c>
      <c r="G269" s="1050">
        <f t="shared" si="2"/>
        <v>600</v>
      </c>
      <c r="H269" s="1048"/>
      <c r="I269" s="2383"/>
    </row>
    <row r="270" spans="1:9" x14ac:dyDescent="0.2">
      <c r="A270" s="1042"/>
      <c r="B270" s="1241"/>
      <c r="C270" s="1242" t="s">
        <v>90</v>
      </c>
      <c r="D270" s="1243" t="s">
        <v>36</v>
      </c>
      <c r="E270" s="1048">
        <v>6</v>
      </c>
      <c r="F270" s="1244">
        <v>160</v>
      </c>
      <c r="G270" s="1050">
        <f t="shared" si="2"/>
        <v>960</v>
      </c>
      <c r="H270" s="1048">
        <f>SUM(G269:G270)</f>
        <v>1560</v>
      </c>
    </row>
    <row r="271" spans="1:9" x14ac:dyDescent="0.2">
      <c r="A271" s="1080" t="s">
        <v>419</v>
      </c>
      <c r="B271" s="1245" t="s">
        <v>648</v>
      </c>
      <c r="C271" s="1246" t="s">
        <v>69</v>
      </c>
      <c r="D271" s="1247" t="s">
        <v>16</v>
      </c>
      <c r="E271" s="1084">
        <v>1</v>
      </c>
      <c r="F271" s="1248">
        <v>300</v>
      </c>
      <c r="G271" s="1083">
        <f t="shared" si="2"/>
        <v>300</v>
      </c>
      <c r="H271" s="1084"/>
      <c r="I271" s="2383"/>
    </row>
    <row r="272" spans="1:9" x14ac:dyDescent="0.2">
      <c r="A272" s="1080"/>
      <c r="B272" s="1245"/>
      <c r="C272" s="1246" t="s">
        <v>90</v>
      </c>
      <c r="D272" s="1247" t="s">
        <v>36</v>
      </c>
      <c r="E272" s="1084">
        <v>3</v>
      </c>
      <c r="F272" s="1248">
        <v>140</v>
      </c>
      <c r="G272" s="1083">
        <f t="shared" si="2"/>
        <v>420</v>
      </c>
      <c r="H272" s="1084">
        <f>SUM(G271:G272)</f>
        <v>720</v>
      </c>
    </row>
    <row r="273" spans="1:9" x14ac:dyDescent="0.2">
      <c r="A273" s="1097" t="s">
        <v>420</v>
      </c>
      <c r="B273" s="1249" t="s">
        <v>648</v>
      </c>
      <c r="C273" s="1250" t="s">
        <v>71</v>
      </c>
      <c r="D273" s="1251" t="s">
        <v>16</v>
      </c>
      <c r="E273" s="1101">
        <v>1</v>
      </c>
      <c r="F273" s="1252">
        <v>300</v>
      </c>
      <c r="G273" s="1100">
        <f t="shared" si="2"/>
        <v>300</v>
      </c>
      <c r="H273" s="1101"/>
      <c r="I273" s="2383"/>
    </row>
    <row r="274" spans="1:9" x14ac:dyDescent="0.2">
      <c r="A274" s="1097"/>
      <c r="B274" s="1249"/>
      <c r="C274" s="1250" t="s">
        <v>90</v>
      </c>
      <c r="D274" s="1251" t="s">
        <v>36</v>
      </c>
      <c r="E274" s="1101">
        <v>3</v>
      </c>
      <c r="F274" s="1252">
        <v>160</v>
      </c>
      <c r="G274" s="1100">
        <f t="shared" si="2"/>
        <v>480</v>
      </c>
      <c r="H274" s="1101">
        <f>SUM(G273:G274)</f>
        <v>780</v>
      </c>
    </row>
    <row r="275" spans="1:9" x14ac:dyDescent="0.2">
      <c r="A275" s="1114" t="s">
        <v>949</v>
      </c>
      <c r="B275" s="1253" t="s">
        <v>648</v>
      </c>
      <c r="C275" s="1254" t="s">
        <v>969</v>
      </c>
      <c r="D275" s="2067" t="s">
        <v>73</v>
      </c>
      <c r="E275" s="1118">
        <v>1</v>
      </c>
      <c r="F275" s="1256">
        <v>150</v>
      </c>
      <c r="G275" s="1117">
        <f t="shared" si="2"/>
        <v>150</v>
      </c>
      <c r="H275" s="1118"/>
      <c r="I275" s="2383"/>
    </row>
    <row r="276" spans="1:9" x14ac:dyDescent="0.2">
      <c r="A276" s="1114"/>
      <c r="B276" s="1253"/>
      <c r="C276" s="1254" t="s">
        <v>90</v>
      </c>
      <c r="D276" s="1255" t="s">
        <v>36</v>
      </c>
      <c r="E276" s="1118">
        <v>3</v>
      </c>
      <c r="F276" s="1256">
        <v>120</v>
      </c>
      <c r="G276" s="1117">
        <f t="shared" si="2"/>
        <v>360</v>
      </c>
      <c r="H276" s="1118">
        <f>SUM(G275:G276)</f>
        <v>510</v>
      </c>
    </row>
    <row r="277" spans="1:9" x14ac:dyDescent="0.2">
      <c r="A277" s="1131" t="s">
        <v>421</v>
      </c>
      <c r="B277" s="1257" t="s">
        <v>648</v>
      </c>
      <c r="C277" s="1258" t="s">
        <v>474</v>
      </c>
      <c r="D277" s="1259" t="s">
        <v>16</v>
      </c>
      <c r="E277" s="1135">
        <v>1</v>
      </c>
      <c r="F277" s="1260">
        <v>300</v>
      </c>
      <c r="G277" s="1134">
        <f t="shared" si="2"/>
        <v>300</v>
      </c>
      <c r="H277" s="1135"/>
      <c r="I277" s="2383"/>
    </row>
    <row r="278" spans="1:9" x14ac:dyDescent="0.2">
      <c r="A278" s="1131"/>
      <c r="B278" s="1257"/>
      <c r="C278" s="1258" t="s">
        <v>90</v>
      </c>
      <c r="D278" s="1259" t="s">
        <v>36</v>
      </c>
      <c r="E278" s="1135">
        <v>3</v>
      </c>
      <c r="F278" s="1260">
        <v>160</v>
      </c>
      <c r="G278" s="1134">
        <f t="shared" si="2"/>
        <v>480</v>
      </c>
      <c r="H278" s="1135">
        <f>SUM(G277:G278)</f>
        <v>780</v>
      </c>
    </row>
    <row r="279" spans="1:9" x14ac:dyDescent="0.2">
      <c r="A279" s="548" t="s">
        <v>422</v>
      </c>
      <c r="B279" s="1202" t="s">
        <v>648</v>
      </c>
      <c r="C279" s="1203" t="s">
        <v>474</v>
      </c>
      <c r="D279" s="1204" t="s">
        <v>16</v>
      </c>
      <c r="E279" s="553">
        <v>1</v>
      </c>
      <c r="F279" s="1205">
        <v>300</v>
      </c>
      <c r="G279" s="554">
        <f t="shared" si="2"/>
        <v>300</v>
      </c>
      <c r="H279" s="553"/>
      <c r="I279" s="2383"/>
    </row>
    <row r="280" spans="1:9" x14ac:dyDescent="0.2">
      <c r="A280" s="548"/>
      <c r="B280" s="1202"/>
      <c r="C280" s="1203" t="s">
        <v>90</v>
      </c>
      <c r="D280" s="1204" t="s">
        <v>36</v>
      </c>
      <c r="E280" s="553">
        <v>3</v>
      </c>
      <c r="F280" s="1205">
        <v>160</v>
      </c>
      <c r="G280" s="554">
        <f t="shared" si="2"/>
        <v>480</v>
      </c>
      <c r="H280" s="553">
        <f>SUM(G279:G280)</f>
        <v>780</v>
      </c>
    </row>
    <row r="281" spans="1:9" x14ac:dyDescent="0.2">
      <c r="A281" s="2081" t="s">
        <v>950</v>
      </c>
      <c r="B281" s="2119" t="s">
        <v>648</v>
      </c>
      <c r="C281" s="2120" t="s">
        <v>70</v>
      </c>
      <c r="D281" s="2121" t="s">
        <v>16</v>
      </c>
      <c r="E281" s="2087">
        <v>0</v>
      </c>
      <c r="F281" s="2122">
        <v>250</v>
      </c>
      <c r="G281" s="2089">
        <f t="shared" ref="G281:G282" si="3">F281*E281</f>
        <v>0</v>
      </c>
      <c r="H281" s="2087"/>
      <c r="I281" s="2383"/>
    </row>
    <row r="282" spans="1:9" x14ac:dyDescent="0.2">
      <c r="A282" s="2081"/>
      <c r="B282" s="2119"/>
      <c r="C282" s="2120" t="s">
        <v>90</v>
      </c>
      <c r="D282" s="2121" t="s">
        <v>36</v>
      </c>
      <c r="E282" s="2087">
        <v>0</v>
      </c>
      <c r="F282" s="2122">
        <v>149</v>
      </c>
      <c r="G282" s="2089">
        <f t="shared" si="3"/>
        <v>0</v>
      </c>
      <c r="H282" s="2087">
        <f>SUM(G281:G282)</f>
        <v>0</v>
      </c>
    </row>
    <row r="283" spans="1:9" x14ac:dyDescent="0.2">
      <c r="A283" s="2094" t="s">
        <v>951</v>
      </c>
      <c r="B283" s="2127" t="s">
        <v>648</v>
      </c>
      <c r="C283" s="2128" t="s">
        <v>978</v>
      </c>
      <c r="D283" s="2131" t="s">
        <v>73</v>
      </c>
      <c r="E283" s="2100">
        <v>1</v>
      </c>
      <c r="F283" s="2130">
        <v>150</v>
      </c>
      <c r="G283" s="2102">
        <f t="shared" ref="G283:G284" si="4">F283*E283</f>
        <v>150</v>
      </c>
      <c r="H283" s="2100"/>
      <c r="I283" s="2383"/>
    </row>
    <row r="284" spans="1:9" x14ac:dyDescent="0.2">
      <c r="A284" s="2094"/>
      <c r="B284" s="2127"/>
      <c r="C284" s="2128" t="s">
        <v>90</v>
      </c>
      <c r="D284" s="2129" t="s">
        <v>36</v>
      </c>
      <c r="E284" s="2100">
        <v>3</v>
      </c>
      <c r="F284" s="2130">
        <v>120</v>
      </c>
      <c r="G284" s="2102">
        <f t="shared" si="4"/>
        <v>360</v>
      </c>
      <c r="H284" s="2100">
        <f>SUM(G283:G284)</f>
        <v>510</v>
      </c>
    </row>
    <row r="285" spans="1:9" x14ac:dyDescent="0.2">
      <c r="A285" s="2107" t="s">
        <v>952</v>
      </c>
      <c r="B285" s="2123" t="s">
        <v>648</v>
      </c>
      <c r="C285" s="2124" t="s">
        <v>979</v>
      </c>
      <c r="D285" s="2125" t="s">
        <v>16</v>
      </c>
      <c r="E285" s="2112">
        <v>1</v>
      </c>
      <c r="F285" s="2126">
        <v>300</v>
      </c>
      <c r="G285" s="2114">
        <f t="shared" ref="G285:G286" si="5">F285*E285</f>
        <v>300</v>
      </c>
      <c r="H285" s="2112"/>
      <c r="I285" s="2383"/>
    </row>
    <row r="286" spans="1:9" x14ac:dyDescent="0.2">
      <c r="A286" s="2107"/>
      <c r="B286" s="2123"/>
      <c r="C286" s="2124" t="s">
        <v>90</v>
      </c>
      <c r="D286" s="2125" t="s">
        <v>36</v>
      </c>
      <c r="E286" s="2112">
        <v>3</v>
      </c>
      <c r="F286" s="2126">
        <v>140</v>
      </c>
      <c r="G286" s="2114">
        <f t="shared" si="5"/>
        <v>420</v>
      </c>
      <c r="H286" s="2112">
        <f>SUM(G285:G286)</f>
        <v>720</v>
      </c>
    </row>
    <row r="287" spans="1:9" s="4" customFormat="1" x14ac:dyDescent="0.2">
      <c r="A287" s="78" t="s">
        <v>9</v>
      </c>
      <c r="B287" s="12"/>
      <c r="C287" s="219"/>
      <c r="D287" s="12"/>
      <c r="E287" s="27"/>
      <c r="F287" s="27"/>
      <c r="G287" s="27"/>
      <c r="H287" s="28">
        <f>SUM(H230:H286)</f>
        <v>40570</v>
      </c>
      <c r="I287" s="2500"/>
    </row>
    <row r="288" spans="1:9" s="4" customFormat="1" x14ac:dyDescent="0.2">
      <c r="A288" s="76" t="s">
        <v>27</v>
      </c>
      <c r="B288" s="6"/>
      <c r="C288" s="217"/>
      <c r="D288" s="6"/>
      <c r="E288" s="21"/>
      <c r="F288" s="21"/>
      <c r="G288" s="21"/>
      <c r="H288" s="22"/>
      <c r="I288" s="2500"/>
    </row>
    <row r="289" spans="1:9" x14ac:dyDescent="0.2">
      <c r="A289" s="77"/>
      <c r="B289" s="127" t="s">
        <v>37</v>
      </c>
      <c r="C289" s="220"/>
      <c r="D289" s="127"/>
      <c r="E289" s="108"/>
      <c r="F289" s="117"/>
      <c r="G289" s="101">
        <f>F289*E289</f>
        <v>0</v>
      </c>
      <c r="H289" s="118"/>
    </row>
    <row r="290" spans="1:9" x14ac:dyDescent="0.2">
      <c r="A290" s="77"/>
      <c r="B290" s="99"/>
      <c r="C290" s="218"/>
      <c r="D290" s="99"/>
      <c r="E290" s="101"/>
      <c r="F290" s="102"/>
      <c r="G290" s="101">
        <f>F290*E290</f>
        <v>0</v>
      </c>
      <c r="H290" s="102"/>
    </row>
    <row r="291" spans="1:9" x14ac:dyDescent="0.2">
      <c r="A291" s="77"/>
      <c r="B291" s="119"/>
      <c r="C291" s="218"/>
      <c r="D291" s="119"/>
      <c r="E291" s="101"/>
      <c r="F291" s="120"/>
      <c r="G291" s="101">
        <f>F291*E291</f>
        <v>0</v>
      </c>
      <c r="H291" s="120">
        <f>SUM(G288:G291)</f>
        <v>0</v>
      </c>
    </row>
    <row r="292" spans="1:9" s="4" customFormat="1" x14ac:dyDescent="0.2">
      <c r="A292" s="78" t="s">
        <v>10</v>
      </c>
      <c r="B292" s="12"/>
      <c r="C292" s="219"/>
      <c r="D292" s="12"/>
      <c r="E292" s="27"/>
      <c r="F292" s="27"/>
      <c r="G292" s="27"/>
      <c r="H292" s="28">
        <f>SUM(H290:H291)</f>
        <v>0</v>
      </c>
      <c r="I292" s="2500"/>
    </row>
    <row r="293" spans="1:9" s="4" customFormat="1" x14ac:dyDescent="0.2">
      <c r="A293" s="76" t="s">
        <v>76</v>
      </c>
      <c r="B293" s="6"/>
      <c r="C293" s="217"/>
      <c r="D293" s="6"/>
      <c r="E293" s="21"/>
      <c r="F293" s="21"/>
      <c r="G293" s="21"/>
      <c r="H293" s="22">
        <f>SUM(G293:G293)</f>
        <v>0</v>
      </c>
      <c r="I293" s="2500"/>
    </row>
    <row r="294" spans="1:9" x14ac:dyDescent="0.2">
      <c r="A294" s="83" t="s">
        <v>107</v>
      </c>
      <c r="B294" s="524" t="s">
        <v>39</v>
      </c>
      <c r="C294" s="524" t="s">
        <v>356</v>
      </c>
      <c r="D294" s="131" t="s">
        <v>14</v>
      </c>
      <c r="E294" s="178">
        <v>1</v>
      </c>
      <c r="F294" s="115">
        <v>7000</v>
      </c>
      <c r="G294" s="129">
        <f>F294*E294</f>
        <v>7000</v>
      </c>
      <c r="H294" s="130"/>
      <c r="I294" s="2383"/>
    </row>
    <row r="295" spans="1:9" x14ac:dyDescent="0.2">
      <c r="A295" s="83"/>
      <c r="B295" s="524" t="s">
        <v>478</v>
      </c>
      <c r="C295" s="223" t="s">
        <v>358</v>
      </c>
      <c r="D295" s="524" t="s">
        <v>14</v>
      </c>
      <c r="E295" s="178">
        <v>2</v>
      </c>
      <c r="F295" s="115">
        <v>3000</v>
      </c>
      <c r="G295" s="129">
        <f>F295*E295</f>
        <v>6000</v>
      </c>
      <c r="H295" s="132"/>
      <c r="I295" s="2383"/>
    </row>
    <row r="296" spans="1:9" x14ac:dyDescent="0.2">
      <c r="A296" s="83"/>
      <c r="B296" s="131"/>
      <c r="C296" s="223"/>
      <c r="D296" s="131"/>
      <c r="E296" s="178"/>
      <c r="F296" s="179"/>
      <c r="G296" s="129">
        <v>0</v>
      </c>
      <c r="H296" s="132"/>
    </row>
    <row r="297" spans="1:9" x14ac:dyDescent="0.2">
      <c r="A297" s="83"/>
      <c r="B297" s="131"/>
      <c r="C297" s="223"/>
      <c r="D297" s="131"/>
      <c r="E297" s="178"/>
      <c r="F297" s="179"/>
      <c r="G297" s="129">
        <v>0</v>
      </c>
      <c r="H297" s="132"/>
    </row>
    <row r="298" spans="1:9" x14ac:dyDescent="0.2">
      <c r="A298" s="83"/>
      <c r="B298" s="524" t="s">
        <v>651</v>
      </c>
      <c r="C298" s="223" t="s">
        <v>357</v>
      </c>
      <c r="D298" s="131" t="s">
        <v>14</v>
      </c>
      <c r="E298" s="178">
        <v>1</v>
      </c>
      <c r="F298" s="179">
        <v>7000</v>
      </c>
      <c r="G298" s="129">
        <f>F298*E298</f>
        <v>7000</v>
      </c>
      <c r="H298" s="132"/>
      <c r="I298" s="2383"/>
    </row>
    <row r="299" spans="1:9" x14ac:dyDescent="0.2">
      <c r="A299" s="83"/>
      <c r="B299" s="114" t="s">
        <v>729</v>
      </c>
      <c r="C299" s="223" t="s">
        <v>94</v>
      </c>
      <c r="D299" s="114"/>
      <c r="E299" s="178"/>
      <c r="F299" s="179"/>
      <c r="G299" s="107">
        <f>F299*E299</f>
        <v>0</v>
      </c>
      <c r="H299" s="115">
        <f>SUM(G294:G299)</f>
        <v>20000</v>
      </c>
    </row>
    <row r="300" spans="1:9" x14ac:dyDescent="0.2">
      <c r="A300" s="617" t="s">
        <v>309</v>
      </c>
      <c r="B300" s="2034" t="s">
        <v>39</v>
      </c>
      <c r="C300" s="619" t="s">
        <v>908</v>
      </c>
      <c r="D300" s="2034" t="s">
        <v>14</v>
      </c>
      <c r="E300" s="621">
        <v>1</v>
      </c>
      <c r="F300" s="622">
        <v>9000</v>
      </c>
      <c r="G300" s="621">
        <f>F300*E300</f>
        <v>9000</v>
      </c>
      <c r="H300" s="622"/>
    </row>
    <row r="301" spans="1:9" x14ac:dyDescent="0.2">
      <c r="A301" s="617"/>
      <c r="B301" s="620"/>
      <c r="C301" s="619"/>
      <c r="D301" s="620"/>
      <c r="E301" s="621"/>
      <c r="F301" s="622"/>
      <c r="G301" s="621"/>
      <c r="H301" s="622">
        <f>SUM(G300:G301)</f>
        <v>9000</v>
      </c>
    </row>
    <row r="302" spans="1:9" x14ac:dyDescent="0.2">
      <c r="A302" s="640" t="s">
        <v>310</v>
      </c>
      <c r="B302" s="1527" t="s">
        <v>39</v>
      </c>
      <c r="C302" s="642" t="s">
        <v>908</v>
      </c>
      <c r="D302" s="1527" t="s">
        <v>14</v>
      </c>
      <c r="E302" s="644">
        <v>1</v>
      </c>
      <c r="F302" s="645">
        <v>8000</v>
      </c>
      <c r="G302" s="644">
        <f>F302*E302</f>
        <v>8000</v>
      </c>
      <c r="H302" s="645"/>
    </row>
    <row r="303" spans="1:9" x14ac:dyDescent="0.2">
      <c r="A303" s="640"/>
      <c r="B303" s="643"/>
      <c r="C303" s="642"/>
      <c r="D303" s="643"/>
      <c r="E303" s="644"/>
      <c r="F303" s="645"/>
      <c r="G303" s="644"/>
      <c r="H303" s="645">
        <f>SUM(G302:G303)</f>
        <v>8000</v>
      </c>
    </row>
    <row r="304" spans="1:9" s="4" customFormat="1" x14ac:dyDescent="0.2">
      <c r="A304" s="78" t="s">
        <v>211</v>
      </c>
      <c r="B304" s="50"/>
      <c r="C304" s="219"/>
      <c r="D304" s="50"/>
      <c r="E304" s="27"/>
      <c r="F304" s="51"/>
      <c r="G304" s="27"/>
      <c r="H304" s="51">
        <f>SUM(H294:H303)</f>
        <v>37000</v>
      </c>
      <c r="I304" s="2500"/>
    </row>
    <row r="305" spans="1:9" s="4" customFormat="1" x14ac:dyDescent="0.2">
      <c r="A305" s="79" t="s">
        <v>13</v>
      </c>
      <c r="B305" s="18"/>
      <c r="C305" s="224"/>
      <c r="D305" s="18"/>
      <c r="E305" s="33"/>
      <c r="F305" s="33"/>
      <c r="G305" s="33"/>
      <c r="H305" s="34">
        <f>WP1_SEC1_subtotal+WP1_SEC3_subtotal+WP1_SEC2_subtotal+WP1_SEC4_subtotal+WP1_SEC5_subtotal</f>
        <v>359210</v>
      </c>
      <c r="I305" s="2500"/>
    </row>
    <row r="306" spans="1:9" ht="14.25" x14ac:dyDescent="0.2">
      <c r="A306" s="140" t="s">
        <v>87</v>
      </c>
      <c r="B306" s="141" t="s">
        <v>122</v>
      </c>
      <c r="C306" s="225"/>
      <c r="D306" s="141"/>
      <c r="E306" s="142"/>
      <c r="F306" s="142"/>
      <c r="G306" s="142"/>
      <c r="H306" s="186">
        <f>H223*0.6</f>
        <v>168984</v>
      </c>
    </row>
    <row r="307" spans="1:9" x14ac:dyDescent="0.2">
      <c r="A307" s="77"/>
      <c r="B307" s="100"/>
      <c r="C307" s="218"/>
      <c r="D307" s="100"/>
      <c r="E307" s="101"/>
      <c r="F307" s="101"/>
      <c r="G307" s="101"/>
      <c r="H307" s="120"/>
    </row>
    <row r="308" spans="1:9" s="8" customFormat="1" ht="15.75" x14ac:dyDescent="0.25">
      <c r="A308" s="79" t="s">
        <v>88</v>
      </c>
      <c r="B308" s="10"/>
      <c r="C308" s="224"/>
      <c r="D308" s="10"/>
      <c r="E308" s="31"/>
      <c r="F308" s="31"/>
      <c r="G308" s="31"/>
      <c r="H308" s="32">
        <f>H306+H305</f>
        <v>528194</v>
      </c>
      <c r="I308" s="2505"/>
    </row>
  </sheetData>
  <sheetProtection password="A72F" sheet="1" objects="1" scenarios="1"/>
  <phoneticPr fontId="0" type="noConversion"/>
  <dataValidations count="87">
    <dataValidation type="list" allowBlank="1" showInputMessage="1" showErrorMessage="1" error="This name is not cecognized" sqref="A1">
      <formula1>partners_list</formula1>
    </dataValidation>
    <dataValidation type="list" allowBlank="1" showInputMessage="1" showErrorMessage="1" error="This name is not cecognized" sqref="B39:B48">
      <formula1>P3_employees</formula1>
    </dataValidation>
    <dataValidation type="list" allowBlank="1" showInputMessage="1" showErrorMessage="1" error="This name is not cecognized" sqref="B29:B38">
      <formula1>P2_employees</formula1>
    </dataValidation>
    <dataValidation type="list" allowBlank="1" showInputMessage="1" showErrorMessage="1" error="This name is not cecognized" sqref="B6:B28">
      <formula1>CO_employees</formula1>
    </dataValidation>
    <dataValidation type="list" allowBlank="1" showInputMessage="1" showErrorMessage="1" error="This name is not cecognized" sqref="B49:B58">
      <formula1>P4_employees</formula1>
    </dataValidation>
    <dataValidation type="list" allowBlank="1" showInputMessage="1" showErrorMessage="1" error="This name is not cecognized" sqref="B59:B68">
      <formula1>P5_employees</formula1>
    </dataValidation>
    <dataValidation type="list" allowBlank="1" showInputMessage="1" showErrorMessage="1" error="This name is not cecognized" sqref="B90:B100">
      <formula1>P8_employees</formula1>
    </dataValidation>
    <dataValidation type="list" allowBlank="1" showInputMessage="1" showErrorMessage="1" error="This name is not cecognized" sqref="B101:B111">
      <formula1>P9_employees</formula1>
    </dataValidation>
    <dataValidation type="list" allowBlank="1" showInputMessage="1" showErrorMessage="1" error="This name is not cecognized" sqref="B112:B122">
      <formula1>P10_employees</formula1>
    </dataValidation>
    <dataValidation type="list" allowBlank="1" showInputMessage="1" showErrorMessage="1" error="This name is not cecognized" sqref="B123:B133">
      <formula1>P11_employees</formula1>
    </dataValidation>
    <dataValidation type="list" allowBlank="1" showInputMessage="1" showErrorMessage="1" error="This name is not cecognized" sqref="B134:B144">
      <formula1>P12_employees</formula1>
    </dataValidation>
    <dataValidation type="list" allowBlank="1" showInputMessage="1" showErrorMessage="1" error="This name is not cecognized" sqref="B145:B155">
      <formula1>P13_employees</formula1>
    </dataValidation>
    <dataValidation type="list" allowBlank="1" showInputMessage="1" showErrorMessage="1" error="This name is not cecognized" sqref="B156:B164">
      <formula1>P14_employees</formula1>
    </dataValidation>
    <dataValidation type="list" allowBlank="1" showInputMessage="1" showErrorMessage="1" error="This name is not cecognized" sqref="B165:B173">
      <formula1>P15_employees</formula1>
    </dataValidation>
    <dataValidation type="list" allowBlank="1" showInputMessage="1" showErrorMessage="1" error="This name is not cecognized" sqref="B183:B186">
      <formula1>P17_employees</formula1>
    </dataValidation>
    <dataValidation type="list" allowBlank="1" showInputMessage="1" showErrorMessage="1" error="This name is not cecognized" sqref="B187:B190">
      <formula1>P18_employees</formula1>
    </dataValidation>
    <dataValidation type="list" allowBlank="1" showInputMessage="1" showErrorMessage="1" error="This name is not cecognized" sqref="B191:B194">
      <formula1>P19_employees</formula1>
    </dataValidation>
    <dataValidation type="list" allowBlank="1" showInputMessage="1" showErrorMessage="1" error="This name is not cecognized" sqref="B195:B198">
      <formula1>P20_employees</formula1>
    </dataValidation>
    <dataValidation type="list" allowBlank="1" showInputMessage="1" showErrorMessage="1" error="This name is not cecognized" sqref="B199:B202">
      <formula1>P21_employees</formula1>
    </dataValidation>
    <dataValidation type="list" allowBlank="1" showInputMessage="1" showErrorMessage="1" error="This name is not cecognized" sqref="B205:B208">
      <formula1>P23_employees</formula1>
    </dataValidation>
    <dataValidation type="list" allowBlank="1" showInputMessage="1" showErrorMessage="1" error="This name is not cecognized" sqref="B209:B212">
      <formula1>P24_employees</formula1>
    </dataValidation>
    <dataValidation type="list" allowBlank="1" showInputMessage="1" showErrorMessage="1" error="This name is not cecognized" sqref="B69:B78">
      <formula1>P6_employees</formula1>
    </dataValidation>
    <dataValidation type="list" allowBlank="1" showInputMessage="1" showErrorMessage="1" error="This name is not cecognized" sqref="B79:B89">
      <formula1>P7_employees</formula1>
    </dataValidation>
    <dataValidation type="list" allowBlank="1" showInputMessage="1" showErrorMessage="1" error="This name is not cecognized" sqref="B174:B182">
      <formula1>P16_employees</formula1>
    </dataValidation>
    <dataValidation type="list" allowBlank="1" showInputMessage="1" showErrorMessage="1" error="This name is not cecognized" sqref="B213:B216">
      <formula1>P25_employees</formula1>
    </dataValidation>
    <dataValidation type="list" allowBlank="1" showInputMessage="1" showErrorMessage="1" error="This name is not cecognized" sqref="B219:B222">
      <formula1>P27_employees</formula1>
    </dataValidation>
    <dataValidation type="list" allowBlank="1" showInputMessage="1" showErrorMessage="1" error="This name is not cecognized" sqref="B203:B204">
      <formula1>P22_employees</formula1>
    </dataValidation>
    <dataValidation type="list" allowBlank="1" showInputMessage="1" showErrorMessage="1" error="This name is not cecognized" sqref="B217:B218">
      <formula1>P26_employees</formula1>
    </dataValidation>
    <dataValidation type="list" allowBlank="1" showInputMessage="1" showErrorMessage="1" error="This name is not cecognized" sqref="A6">
      <formula1>partners_list</formula1>
    </dataValidation>
    <dataValidation type="list" allowBlank="1" showInputMessage="1" showErrorMessage="1" error="This name is not cecognized" sqref="A29">
      <formula1>partners_list</formula1>
    </dataValidation>
    <dataValidation type="list" allowBlank="1" showInputMessage="1" showErrorMessage="1" error="This name is not cecognized" sqref="A39">
      <formula1>partners_list</formula1>
    </dataValidation>
    <dataValidation type="list" allowBlank="1" showInputMessage="1" showErrorMessage="1" error="This name is not cecognized" sqref="A49">
      <formula1>partners_list</formula1>
    </dataValidation>
    <dataValidation type="list" allowBlank="1" showInputMessage="1" showErrorMessage="1" error="This name is not cecognized" sqref="A59">
      <formula1>partners_list</formula1>
    </dataValidation>
    <dataValidation type="list" allowBlank="1" showInputMessage="1" showErrorMessage="1" error="This name is not cecognized" sqref="A69">
      <formula1>partners_list</formula1>
    </dataValidation>
    <dataValidation type="list" allowBlank="1" showInputMessage="1" showErrorMessage="1" error="This name is not cecognized" sqref="A79">
      <formula1>partners_list</formula1>
    </dataValidation>
    <dataValidation type="list" allowBlank="1" showInputMessage="1" showErrorMessage="1" error="This name is not cecognized" sqref="A90">
      <formula1>partners_list</formula1>
    </dataValidation>
    <dataValidation type="list" allowBlank="1" showInputMessage="1" showErrorMessage="1" error="This name is not cecognized" sqref="A101">
      <formula1>partners_list</formula1>
    </dataValidation>
    <dataValidation type="list" allowBlank="1" showInputMessage="1" showErrorMessage="1" error="This name is not cecognized" sqref="A112">
      <formula1>partners_list</formula1>
    </dataValidation>
    <dataValidation type="list" allowBlank="1" showInputMessage="1" showErrorMessage="1" error="This name is not cecognized" sqref="A123">
      <formula1>partners_list</formula1>
    </dataValidation>
    <dataValidation type="list" allowBlank="1" showInputMessage="1" showErrorMessage="1" error="This name is not cecognized" sqref="A134">
      <formula1>partners_list</formula1>
    </dataValidation>
    <dataValidation type="list" allowBlank="1" showInputMessage="1" showErrorMessage="1" error="This name is not cecognized" sqref="A145">
      <formula1>partners_list</formula1>
    </dataValidation>
    <dataValidation type="list" allowBlank="1" showInputMessage="1" showErrorMessage="1" error="This name is not cecognized" sqref="A156">
      <formula1>partners_list</formula1>
    </dataValidation>
    <dataValidation type="list" allowBlank="1" showInputMessage="1" showErrorMessage="1" error="This name is not cecognized" sqref="A165">
      <formula1>partners_list</formula1>
    </dataValidation>
    <dataValidation type="list" allowBlank="1" showInputMessage="1" showErrorMessage="1" error="This name is not cecognized" sqref="A174">
      <formula1>partners_list</formula1>
    </dataValidation>
    <dataValidation type="list" allowBlank="1" showInputMessage="1" showErrorMessage="1" error="This name is not cecognized" sqref="A183">
      <formula1>partners_list</formula1>
    </dataValidation>
    <dataValidation type="list" allowBlank="1" showInputMessage="1" showErrorMessage="1" error="This name is not cecognized" sqref="A187">
      <formula1>partners_list</formula1>
    </dataValidation>
    <dataValidation type="list" allowBlank="1" showInputMessage="1" showErrorMessage="1" error="This name is not cecognized" sqref="A191">
      <formula1>partners_list</formula1>
    </dataValidation>
    <dataValidation type="list" allowBlank="1" showInputMessage="1" showErrorMessage="1" error="This name is not cecognized" sqref="A195">
      <formula1>partners_list</formula1>
    </dataValidation>
    <dataValidation type="list" allowBlank="1" showInputMessage="1" showErrorMessage="1" error="This name is not cecognized" sqref="A199">
      <formula1>partners_list</formula1>
    </dataValidation>
    <dataValidation type="list" allowBlank="1" showInputMessage="1" showErrorMessage="1" error="This name is not cecognized" sqref="A203">
      <formula1>partners_list</formula1>
    </dataValidation>
    <dataValidation type="list" allowBlank="1" showInputMessage="1" showErrorMessage="1" error="This name is not cecognized" sqref="A205">
      <formula1>partners_list</formula1>
    </dataValidation>
    <dataValidation type="list" allowBlank="1" showInputMessage="1" showErrorMessage="1" error="This name is not cecognized" sqref="A209">
      <formula1>partners_list</formula1>
    </dataValidation>
    <dataValidation type="list" allowBlank="1" showInputMessage="1" showErrorMessage="1" error="This name is not cecognized" sqref="A213">
      <formula1>partners_list</formula1>
    </dataValidation>
    <dataValidation type="list" allowBlank="1" showInputMessage="1" showErrorMessage="1" error="This name is not cecognized" sqref="A217">
      <formula1>partners_list</formula1>
    </dataValidation>
    <dataValidation type="list" allowBlank="1" showInputMessage="1" showErrorMessage="1" error="This name is not cecognized" sqref="A219">
      <formula1>partners_list</formula1>
    </dataValidation>
    <dataValidation type="list" allowBlank="1" showInputMessage="1" showErrorMessage="1" error="This name is not cecognized" sqref="A225">
      <formula1>partners_list</formula1>
    </dataValidation>
    <dataValidation type="list" allowBlank="1" showInputMessage="1" showErrorMessage="1" error="This name is not cecognized" sqref="A230">
      <formula1>partners_list</formula1>
    </dataValidation>
    <dataValidation type="list" allowBlank="1" showInputMessage="1" showErrorMessage="1" error="This name is not cecognized" sqref="A235">
      <formula1>partners_list</formula1>
    </dataValidation>
    <dataValidation type="list" allowBlank="1" showInputMessage="1" showErrorMessage="1" error="This name is not cecognized" sqref="A237">
      <formula1>partners_list</formula1>
    </dataValidation>
    <dataValidation type="list" allowBlank="1" showInputMessage="1" showErrorMessage="1" error="This name is not cecognized" sqref="A239">
      <formula1>partners_list</formula1>
    </dataValidation>
    <dataValidation type="list" allowBlank="1" showInputMessage="1" showErrorMessage="1" error="This name is not cecognized" sqref="A241">
      <formula1>partners_list</formula1>
    </dataValidation>
    <dataValidation type="list" allowBlank="1" showInputMessage="1" showErrorMessage="1" error="This name is not cecognized" sqref="A243">
      <formula1>partners_list</formula1>
    </dataValidation>
    <dataValidation type="list" allowBlank="1" showInputMessage="1" showErrorMessage="1" error="This name is not cecognized" sqref="A245">
      <formula1>partners_list</formula1>
    </dataValidation>
    <dataValidation type="list" allowBlank="1" showInputMessage="1" showErrorMessage="1" error="This name is not cecognized" sqref="A247">
      <formula1>partners_list</formula1>
    </dataValidation>
    <dataValidation type="list" allowBlank="1" showInputMessage="1" showErrorMessage="1" error="This name is not cecognized" sqref="A249">
      <formula1>partners_list</formula1>
    </dataValidation>
    <dataValidation type="list" allowBlank="1" showInputMessage="1" showErrorMessage="1" error="This name is not cecognized" sqref="A251">
      <formula1>partners_list</formula1>
    </dataValidation>
    <dataValidation type="list" allowBlank="1" showInputMessage="1" showErrorMessage="1" error="This name is not cecognized" sqref="A253">
      <formula1>partners_list</formula1>
    </dataValidation>
    <dataValidation type="list" allowBlank="1" showInputMessage="1" showErrorMessage="1" error="This name is not cecognized" sqref="A255">
      <formula1>partners_list</formula1>
    </dataValidation>
    <dataValidation type="list" allowBlank="1" showInputMessage="1" showErrorMessage="1" error="This name is not cecognized" sqref="A257">
      <formula1>partners_list</formula1>
    </dataValidation>
    <dataValidation type="list" allowBlank="1" showInputMessage="1" showErrorMessage="1" error="This name is not cecognized" sqref="A259">
      <formula1>partners_list</formula1>
    </dataValidation>
    <dataValidation type="list" allowBlank="1" showInputMessage="1" showErrorMessage="1" error="This name is not cecognized" sqref="A261">
      <formula1>partners_list</formula1>
    </dataValidation>
    <dataValidation type="list" allowBlank="1" showInputMessage="1" showErrorMessage="1" error="This name is not cecognized" sqref="A263">
      <formula1>partners_list</formula1>
    </dataValidation>
    <dataValidation type="list" allowBlank="1" showInputMessage="1" showErrorMessage="1" error="This name is not cecognized" sqref="A265">
      <formula1>partners_list</formula1>
    </dataValidation>
    <dataValidation type="list" allowBlank="1" showInputMessage="1" showErrorMessage="1" error="This name is not cecognized" sqref="A267">
      <formula1>partners_list</formula1>
    </dataValidation>
    <dataValidation type="list" allowBlank="1" showInputMessage="1" showErrorMessage="1" error="This name is not cecognized" sqref="A269">
      <formula1>partners_list</formula1>
    </dataValidation>
    <dataValidation type="list" allowBlank="1" showInputMessage="1" showErrorMessage="1" error="This name is not cecognized" sqref="A271">
      <formula1>partners_list</formula1>
    </dataValidation>
    <dataValidation type="list" allowBlank="1" showInputMessage="1" showErrorMessage="1" error="This name is not cecognized" sqref="A273">
      <formula1>partners_list</formula1>
    </dataValidation>
    <dataValidation type="list" allowBlank="1" showInputMessage="1" showErrorMessage="1" error="This name is not cecognized" sqref="A275">
      <formula1>partners_list</formula1>
    </dataValidation>
    <dataValidation type="list" allowBlank="1" showInputMessage="1" showErrorMessage="1" error="This name is not cecognized" sqref="A277">
      <formula1>partners_list</formula1>
    </dataValidation>
    <dataValidation type="list" allowBlank="1" showInputMessage="1" showErrorMessage="1" error="This name is not cecognized" sqref="A279">
      <formula1>partners_list</formula1>
    </dataValidation>
    <dataValidation type="list" allowBlank="1" showInputMessage="1" showErrorMessage="1" error="This name is not cecognized" sqref="A281">
      <formula1>partners_list</formula1>
    </dataValidation>
    <dataValidation type="list" allowBlank="1" showInputMessage="1" showErrorMessage="1" error="This name is not cecognized" sqref="A283">
      <formula1>partners_list</formula1>
    </dataValidation>
    <dataValidation type="list" allowBlank="1" showInputMessage="1" showErrorMessage="1" error="This name is not cecognized" sqref="A285">
      <formula1>partners_list</formula1>
    </dataValidation>
    <dataValidation type="list" allowBlank="1" showInputMessage="1" showErrorMessage="1" error="This name is not cecognized" sqref="A289">
      <formula1>partners_list</formula1>
    </dataValidation>
    <dataValidation type="list" allowBlank="1" showInputMessage="1" showErrorMessage="1" error="This name is not cecognized" sqref="A294">
      <formula1>partners_list</formula1>
    </dataValidation>
    <dataValidation type="list" allowBlank="1" showInputMessage="1" showErrorMessage="1" error="This name is not cecognized" sqref="A300">
      <formula1>partners_list</formula1>
    </dataValidation>
    <dataValidation type="list" allowBlank="1" showInputMessage="1" showErrorMessage="1" error="This name is not cecognized" sqref="A302">
      <formula1>partners_list</formula1>
    </dataValidation>
  </dataValidations>
  <pageMargins left="0.38" right="0.57999999999999996" top="0.45" bottom="0.56000000000000005" header="0.41" footer="0.5"/>
  <pageSetup scale="73" orientation="landscape" r:id="rId1"/>
  <headerFooter alignWithMargins="0"/>
  <rowBreaks count="3" manualBreakCount="3">
    <brk id="58" max="7" man="1"/>
    <brk id="133" max="7" man="1"/>
    <brk id="228"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262" r:id="rId4" name="Button 190">
              <controlPr defaultSize="0" print="0" autoFill="0" autoPict="0" macro="[0]!btnAddPartnerToSection_Click">
                <anchor moveWithCells="1" sizeWithCells="1">
                  <from>
                    <xdr:col>3</xdr:col>
                    <xdr:colOff>0</xdr:colOff>
                    <xdr:row>0</xdr:row>
                    <xdr:rowOff>114300</xdr:rowOff>
                  </from>
                  <to>
                    <xdr:col>5</xdr:col>
                    <xdr:colOff>247650</xdr:colOff>
                    <xdr:row>1</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K298"/>
  <sheetViews>
    <sheetView zoomScaleNormal="100" zoomScaleSheetLayoutView="90" workbookViewId="0">
      <selection activeCell="C22" sqref="C22"/>
    </sheetView>
  </sheetViews>
  <sheetFormatPr defaultColWidth="9.140625" defaultRowHeight="12.75" x14ac:dyDescent="0.2"/>
  <cols>
    <col min="1" max="1" width="11.85546875" style="74" customWidth="1"/>
    <col min="2" max="2" width="25.28515625" style="1" customWidth="1"/>
    <col min="3" max="3" width="60.7109375" style="215" customWidth="1"/>
    <col min="4" max="4" width="12.85546875" style="1" customWidth="1"/>
    <col min="5" max="5" width="13.5703125" style="147" customWidth="1"/>
    <col min="6" max="6" width="13.140625" style="19" customWidth="1"/>
    <col min="7" max="7" width="13.28515625" style="19" customWidth="1"/>
    <col min="8" max="8" width="14.7109375" style="19" customWidth="1"/>
    <col min="9" max="9" width="27" style="168" customWidth="1"/>
    <col min="10" max="10" width="9" style="47" customWidth="1"/>
    <col min="11" max="11" width="9.140625" style="47" customWidth="1"/>
    <col min="12" max="256" width="11.42578125" customWidth="1"/>
  </cols>
  <sheetData>
    <row r="1" spans="1:11" s="67" customFormat="1" ht="20.25" x14ac:dyDescent="0.3">
      <c r="A1" s="328" t="s">
        <v>143</v>
      </c>
      <c r="B1" s="110"/>
      <c r="C1" s="215"/>
      <c r="D1" s="110"/>
      <c r="E1" s="111"/>
      <c r="F1" s="111"/>
      <c r="G1" s="111"/>
      <c r="H1" s="111"/>
      <c r="I1" s="168"/>
      <c r="J1" s="201"/>
      <c r="K1" s="201"/>
    </row>
    <row r="2" spans="1:11" s="329" customFormat="1" ht="18" x14ac:dyDescent="0.25">
      <c r="A2" s="327" t="s">
        <v>144</v>
      </c>
      <c r="B2" s="327"/>
      <c r="C2" s="327"/>
      <c r="D2" s="327"/>
      <c r="E2" s="337"/>
      <c r="F2" s="337"/>
      <c r="G2" s="337"/>
      <c r="H2" s="337"/>
      <c r="I2" s="338"/>
      <c r="J2" s="339"/>
      <c r="K2" s="339"/>
    </row>
    <row r="4" spans="1:11" x14ac:dyDescent="0.2">
      <c r="A4" s="75" t="s">
        <v>0</v>
      </c>
      <c r="B4" s="13" t="s">
        <v>1</v>
      </c>
      <c r="C4" s="216" t="s">
        <v>2</v>
      </c>
      <c r="D4" s="13" t="s">
        <v>3</v>
      </c>
      <c r="E4" s="143" t="s">
        <v>4</v>
      </c>
      <c r="F4" s="20" t="s">
        <v>7</v>
      </c>
      <c r="G4" s="20" t="s">
        <v>5</v>
      </c>
      <c r="H4" s="93" t="s">
        <v>6</v>
      </c>
      <c r="I4" s="2498"/>
    </row>
    <row r="5" spans="1:11" x14ac:dyDescent="0.2">
      <c r="A5" s="76" t="s">
        <v>23</v>
      </c>
      <c r="B5" s="6"/>
      <c r="C5" s="217"/>
      <c r="D5" s="6"/>
      <c r="E5" s="144"/>
      <c r="F5" s="21"/>
      <c r="G5" s="21"/>
      <c r="H5" s="22">
        <f>SUM(G5:G5)</f>
        <v>0</v>
      </c>
      <c r="I5" s="2471"/>
    </row>
    <row r="6" spans="1:11" x14ac:dyDescent="0.2">
      <c r="A6" s="83" t="s">
        <v>107</v>
      </c>
      <c r="B6" s="121" t="s">
        <v>150</v>
      </c>
      <c r="C6" s="240" t="s">
        <v>329</v>
      </c>
      <c r="D6" s="241" t="s">
        <v>17</v>
      </c>
      <c r="E6" s="242">
        <f>SUM(E7:E8)</f>
        <v>48</v>
      </c>
      <c r="F6" s="243">
        <f>salaries!H3</f>
        <v>26</v>
      </c>
      <c r="G6" s="242">
        <f>F6*E6</f>
        <v>1248</v>
      </c>
      <c r="H6" s="88"/>
      <c r="I6" s="2471"/>
    </row>
    <row r="7" spans="1:11" x14ac:dyDescent="0.2">
      <c r="A7" s="83"/>
      <c r="B7" s="86"/>
      <c r="C7" s="239" t="s">
        <v>327</v>
      </c>
      <c r="D7" s="244"/>
      <c r="E7" s="267">
        <v>24</v>
      </c>
      <c r="F7" s="245"/>
      <c r="G7" s="242"/>
      <c r="H7" s="69"/>
      <c r="I7" s="2471"/>
    </row>
    <row r="8" spans="1:11" x14ac:dyDescent="0.2">
      <c r="A8" s="83"/>
      <c r="B8" s="86"/>
      <c r="C8" s="252" t="s">
        <v>381</v>
      </c>
      <c r="D8" s="238"/>
      <c r="E8" s="178">
        <v>24</v>
      </c>
      <c r="F8" s="69"/>
      <c r="G8" s="70"/>
      <c r="H8" s="69"/>
      <c r="I8" s="2471"/>
    </row>
    <row r="9" spans="1:11" x14ac:dyDescent="0.2">
      <c r="A9" s="83"/>
      <c r="B9" s="86" t="s">
        <v>155</v>
      </c>
      <c r="C9" s="240" t="s">
        <v>329</v>
      </c>
      <c r="D9" s="513" t="s">
        <v>17</v>
      </c>
      <c r="E9" s="511">
        <f>SUM(E10:E12)</f>
        <v>320</v>
      </c>
      <c r="F9" s="514">
        <f>salaries!H4</f>
        <v>29</v>
      </c>
      <c r="G9" s="511">
        <f>F9*E9</f>
        <v>9280</v>
      </c>
      <c r="H9" s="69"/>
      <c r="I9" s="2471"/>
    </row>
    <row r="10" spans="1:11" x14ac:dyDescent="0.2">
      <c r="A10" s="83"/>
      <c r="B10" s="86"/>
      <c r="C10" s="252" t="s">
        <v>328</v>
      </c>
      <c r="D10" s="238"/>
      <c r="E10" s="178">
        <v>80</v>
      </c>
      <c r="F10" s="69"/>
      <c r="G10" s="70"/>
      <c r="H10" s="69"/>
      <c r="I10" s="2471"/>
    </row>
    <row r="11" spans="1:11" s="67" customFormat="1" x14ac:dyDescent="0.2">
      <c r="A11" s="515"/>
      <c r="B11" s="124"/>
      <c r="C11" s="252" t="s">
        <v>331</v>
      </c>
      <c r="D11" s="251"/>
      <c r="E11" s="107">
        <v>160</v>
      </c>
      <c r="F11" s="115"/>
      <c r="G11" s="107">
        <f>F11*E11</f>
        <v>0</v>
      </c>
      <c r="H11" s="115"/>
      <c r="I11" s="2471"/>
      <c r="J11" s="201"/>
      <c r="K11" s="201"/>
    </row>
    <row r="12" spans="1:11" x14ac:dyDescent="0.2">
      <c r="A12" s="83"/>
      <c r="B12" s="86"/>
      <c r="C12" s="239" t="s">
        <v>359</v>
      </c>
      <c r="D12" s="238"/>
      <c r="E12" s="178">
        <v>80</v>
      </c>
      <c r="F12" s="69"/>
      <c r="G12" s="70"/>
      <c r="H12" s="69"/>
      <c r="I12" s="2471"/>
    </row>
    <row r="13" spans="1:11" x14ac:dyDescent="0.2">
      <c r="A13" s="83"/>
      <c r="B13" s="86" t="s">
        <v>160</v>
      </c>
      <c r="C13" s="512" t="s">
        <v>324</v>
      </c>
      <c r="D13" s="513" t="s">
        <v>17</v>
      </c>
      <c r="E13" s="511">
        <f>SUM(E14)</f>
        <v>160</v>
      </c>
      <c r="F13" s="514">
        <f>salaries!H6</f>
        <v>26</v>
      </c>
      <c r="G13" s="511">
        <f>F13*E13</f>
        <v>4160</v>
      </c>
      <c r="H13" s="69"/>
      <c r="I13" s="2471"/>
    </row>
    <row r="14" spans="1:11" x14ac:dyDescent="0.2">
      <c r="A14" s="83"/>
      <c r="B14" s="86"/>
      <c r="C14" s="239" t="s">
        <v>330</v>
      </c>
      <c r="D14" s="238"/>
      <c r="E14" s="178">
        <v>160</v>
      </c>
      <c r="F14" s="69"/>
      <c r="G14" s="70"/>
      <c r="H14" s="69"/>
      <c r="I14" s="2471"/>
    </row>
    <row r="15" spans="1:11" x14ac:dyDescent="0.2">
      <c r="A15" s="83"/>
      <c r="B15" s="124" t="s">
        <v>156</v>
      </c>
      <c r="C15" s="240" t="s">
        <v>329</v>
      </c>
      <c r="D15" s="244" t="s">
        <v>17</v>
      </c>
      <c r="E15" s="242">
        <f>SUM(E16)</f>
        <v>40</v>
      </c>
      <c r="F15" s="245">
        <f>salaries!H5</f>
        <v>60</v>
      </c>
      <c r="G15" s="242">
        <f>F15*E15</f>
        <v>2400</v>
      </c>
      <c r="H15" s="245"/>
      <c r="I15" s="2471"/>
    </row>
    <row r="16" spans="1:11" x14ac:dyDescent="0.2">
      <c r="A16" s="525"/>
      <c r="B16" s="526"/>
      <c r="C16" s="527" t="s">
        <v>332</v>
      </c>
      <c r="D16" s="528"/>
      <c r="E16" s="529">
        <v>40</v>
      </c>
      <c r="F16" s="530"/>
      <c r="G16" s="531"/>
      <c r="H16" s="530">
        <f>SUM(G6:G16)</f>
        <v>17088</v>
      </c>
      <c r="I16" s="2471"/>
    </row>
    <row r="17" spans="1:11" x14ac:dyDescent="0.2">
      <c r="A17" s="532" t="s">
        <v>203</v>
      </c>
      <c r="B17" s="565" t="s">
        <v>152</v>
      </c>
      <c r="C17" s="566" t="s">
        <v>324</v>
      </c>
      <c r="D17" s="534" t="s">
        <v>17</v>
      </c>
      <c r="E17" s="535">
        <f>SUM(E18:E20)</f>
        <v>424</v>
      </c>
      <c r="F17" s="536">
        <f>salaries!H9</f>
        <v>29</v>
      </c>
      <c r="G17" s="535">
        <f>F17*E17</f>
        <v>12296</v>
      </c>
      <c r="H17" s="567"/>
      <c r="I17" s="2382"/>
      <c r="J17"/>
      <c r="K17"/>
    </row>
    <row r="18" spans="1:11" ht="22.5" x14ac:dyDescent="0.2">
      <c r="A18" s="532"/>
      <c r="B18" s="565"/>
      <c r="C18" s="1409" t="s">
        <v>525</v>
      </c>
      <c r="D18" s="565"/>
      <c r="E18" s="569">
        <v>160</v>
      </c>
      <c r="F18" s="567"/>
      <c r="G18" s="569"/>
      <c r="H18" s="567"/>
      <c r="I18" s="2382"/>
      <c r="J18"/>
      <c r="K18"/>
    </row>
    <row r="19" spans="1:11" x14ac:dyDescent="0.2">
      <c r="A19" s="532"/>
      <c r="B19" s="565"/>
      <c r="C19" s="568" t="s">
        <v>870</v>
      </c>
      <c r="D19" s="565"/>
      <c r="E19" s="569">
        <v>184</v>
      </c>
      <c r="F19" s="567"/>
      <c r="G19" s="569"/>
      <c r="H19" s="567"/>
      <c r="I19" s="2383"/>
      <c r="J19"/>
      <c r="K19"/>
    </row>
    <row r="20" spans="1:11" x14ac:dyDescent="0.2">
      <c r="A20" s="532"/>
      <c r="B20" s="565"/>
      <c r="C20" s="568" t="s">
        <v>523</v>
      </c>
      <c r="D20" s="565"/>
      <c r="E20" s="569">
        <v>80</v>
      </c>
      <c r="F20" s="567"/>
      <c r="G20" s="569"/>
      <c r="H20" s="567"/>
      <c r="I20" s="2382"/>
      <c r="J20"/>
      <c r="K20"/>
    </row>
    <row r="21" spans="1:11" x14ac:dyDescent="0.2">
      <c r="A21" s="532"/>
      <c r="B21" s="565" t="s">
        <v>154</v>
      </c>
      <c r="C21" s="566" t="s">
        <v>324</v>
      </c>
      <c r="D21" s="534" t="s">
        <v>17</v>
      </c>
      <c r="E21" s="535">
        <f>SUM(E22:E24)</f>
        <v>424</v>
      </c>
      <c r="F21" s="536">
        <f>salaries!H11</f>
        <v>20</v>
      </c>
      <c r="G21" s="535">
        <f>F21*E21</f>
        <v>8480</v>
      </c>
      <c r="H21" s="536"/>
      <c r="I21" s="2471"/>
      <c r="J21"/>
      <c r="K21"/>
    </row>
    <row r="22" spans="1:11" x14ac:dyDescent="0.2">
      <c r="A22" s="532"/>
      <c r="B22" s="565"/>
      <c r="C22" s="568" t="s">
        <v>539</v>
      </c>
      <c r="D22" s="565"/>
      <c r="E22" s="569">
        <v>160</v>
      </c>
      <c r="F22" s="567"/>
      <c r="G22" s="569"/>
      <c r="H22" s="567"/>
      <c r="I22" s="2382"/>
      <c r="J22"/>
      <c r="K22"/>
    </row>
    <row r="23" spans="1:11" x14ac:dyDescent="0.2">
      <c r="A23" s="532"/>
      <c r="B23" s="565"/>
      <c r="C23" s="568" t="s">
        <v>871</v>
      </c>
      <c r="D23" s="565"/>
      <c r="E23" s="569">
        <v>184</v>
      </c>
      <c r="F23" s="567"/>
      <c r="G23" s="569"/>
      <c r="H23" s="567"/>
      <c r="I23" s="2382"/>
      <c r="J23"/>
      <c r="K23"/>
    </row>
    <row r="24" spans="1:11" x14ac:dyDescent="0.2">
      <c r="A24" s="571"/>
      <c r="B24" s="572"/>
      <c r="C24" s="573" t="s">
        <v>522</v>
      </c>
      <c r="D24" s="572"/>
      <c r="E24" s="574">
        <v>80</v>
      </c>
      <c r="F24" s="575"/>
      <c r="G24" s="574"/>
      <c r="H24" s="575">
        <f>SUM(G17:G24)</f>
        <v>20776</v>
      </c>
      <c r="I24" s="2382"/>
      <c r="J24"/>
      <c r="K24"/>
    </row>
    <row r="25" spans="1:11" x14ac:dyDescent="0.2">
      <c r="A25" s="557" t="s">
        <v>204</v>
      </c>
      <c r="B25" s="558" t="s">
        <v>183</v>
      </c>
      <c r="C25" s="559" t="s">
        <v>324</v>
      </c>
      <c r="D25" s="560" t="s">
        <v>17</v>
      </c>
      <c r="E25" s="561">
        <f>SUM(E26:E28)</f>
        <v>344</v>
      </c>
      <c r="F25" s="562">
        <f>salaries!H12</f>
        <v>27</v>
      </c>
      <c r="G25" s="561">
        <f>F25*E25</f>
        <v>9288</v>
      </c>
      <c r="H25" s="547"/>
      <c r="I25" s="2382"/>
      <c r="J25"/>
      <c r="K25"/>
    </row>
    <row r="26" spans="1:11" ht="22.5" x14ac:dyDescent="0.2">
      <c r="A26" s="557"/>
      <c r="B26" s="558"/>
      <c r="C26" s="1410" t="s">
        <v>524</v>
      </c>
      <c r="D26" s="558"/>
      <c r="E26" s="564">
        <v>80</v>
      </c>
      <c r="F26" s="547"/>
      <c r="G26" s="564"/>
      <c r="H26" s="547"/>
      <c r="I26" s="2382"/>
      <c r="J26"/>
      <c r="K26"/>
    </row>
    <row r="27" spans="1:11" x14ac:dyDescent="0.2">
      <c r="A27" s="557"/>
      <c r="B27" s="558"/>
      <c r="C27" s="576" t="s">
        <v>872</v>
      </c>
      <c r="D27" s="558"/>
      <c r="E27" s="564">
        <v>184</v>
      </c>
      <c r="F27" s="547"/>
      <c r="G27" s="564"/>
      <c r="H27" s="547"/>
      <c r="I27" s="2383"/>
      <c r="J27"/>
      <c r="K27"/>
    </row>
    <row r="28" spans="1:11" x14ac:dyDescent="0.2">
      <c r="A28" s="557"/>
      <c r="B28" s="558"/>
      <c r="C28" s="563" t="s">
        <v>523</v>
      </c>
      <c r="D28" s="558"/>
      <c r="E28" s="564">
        <v>80</v>
      </c>
      <c r="F28" s="547"/>
      <c r="G28" s="564"/>
      <c r="H28" s="547"/>
      <c r="I28" s="2382"/>
      <c r="J28"/>
      <c r="K28"/>
    </row>
    <row r="29" spans="1:11" x14ac:dyDescent="0.2">
      <c r="A29" s="557"/>
      <c r="B29" s="558" t="s">
        <v>184</v>
      </c>
      <c r="C29" s="559" t="s">
        <v>324</v>
      </c>
      <c r="D29" s="1406" t="s">
        <v>17</v>
      </c>
      <c r="E29" s="1407">
        <f>SUM(E30)</f>
        <v>40</v>
      </c>
      <c r="F29" s="1408">
        <f>salaries!H13</f>
        <v>53</v>
      </c>
      <c r="G29" s="1407">
        <f>F29*E29</f>
        <v>2120</v>
      </c>
      <c r="H29" s="547"/>
      <c r="I29" s="2382"/>
      <c r="J29"/>
      <c r="K29"/>
    </row>
    <row r="30" spans="1:11" x14ac:dyDescent="0.2">
      <c r="A30" s="557"/>
      <c r="B30" s="558"/>
      <c r="C30" s="563" t="s">
        <v>521</v>
      </c>
      <c r="D30" s="558"/>
      <c r="E30" s="564">
        <v>40</v>
      </c>
      <c r="F30" s="547"/>
      <c r="G30" s="564"/>
      <c r="H30" s="547"/>
      <c r="I30" s="2382"/>
      <c r="J30"/>
      <c r="K30"/>
    </row>
    <row r="31" spans="1:11" x14ac:dyDescent="0.2">
      <c r="A31" s="557"/>
      <c r="B31" s="558" t="s">
        <v>186</v>
      </c>
      <c r="C31" s="559" t="s">
        <v>324</v>
      </c>
      <c r="D31" s="560" t="s">
        <v>17</v>
      </c>
      <c r="E31" s="561">
        <f>SUM(E32:E34)</f>
        <v>304</v>
      </c>
      <c r="F31" s="562">
        <f>salaries!H15</f>
        <v>20</v>
      </c>
      <c r="G31" s="561">
        <f>F31*E31</f>
        <v>6080</v>
      </c>
      <c r="H31" s="562"/>
      <c r="I31" s="2471"/>
      <c r="J31"/>
      <c r="K31"/>
    </row>
    <row r="32" spans="1:11" x14ac:dyDescent="0.2">
      <c r="A32" s="557"/>
      <c r="B32" s="558"/>
      <c r="C32" s="563" t="s">
        <v>538</v>
      </c>
      <c r="D32" s="558"/>
      <c r="E32" s="564">
        <v>80</v>
      </c>
      <c r="F32" s="547"/>
      <c r="G32" s="564"/>
      <c r="H32" s="547"/>
      <c r="I32" s="2382"/>
      <c r="J32"/>
      <c r="K32"/>
    </row>
    <row r="33" spans="1:11" x14ac:dyDescent="0.2">
      <c r="A33" s="557"/>
      <c r="B33" s="558"/>
      <c r="C33" s="563" t="s">
        <v>871</v>
      </c>
      <c r="D33" s="558"/>
      <c r="E33" s="564">
        <v>144</v>
      </c>
      <c r="F33" s="547"/>
      <c r="G33" s="564"/>
      <c r="H33" s="547"/>
      <c r="I33" s="2382"/>
      <c r="J33"/>
      <c r="K33"/>
    </row>
    <row r="34" spans="1:11" x14ac:dyDescent="0.2">
      <c r="A34" s="580"/>
      <c r="B34" s="578"/>
      <c r="C34" s="577" t="s">
        <v>522</v>
      </c>
      <c r="D34" s="578"/>
      <c r="E34" s="579">
        <v>80</v>
      </c>
      <c r="F34" s="581"/>
      <c r="G34" s="579"/>
      <c r="H34" s="581">
        <f>SUM(G25:G34)</f>
        <v>17488</v>
      </c>
      <c r="I34" s="2382"/>
      <c r="J34"/>
      <c r="K34"/>
    </row>
    <row r="35" spans="1:11" x14ac:dyDescent="0.2">
      <c r="A35" s="598" t="s">
        <v>308</v>
      </c>
      <c r="B35" s="599" t="s">
        <v>187</v>
      </c>
      <c r="C35" s="600" t="s">
        <v>324</v>
      </c>
      <c r="D35" s="601" t="s">
        <v>17</v>
      </c>
      <c r="E35" s="602">
        <f>SUM(E36:E38)</f>
        <v>424</v>
      </c>
      <c r="F35" s="603">
        <f>salaries!H16</f>
        <v>62</v>
      </c>
      <c r="G35" s="602">
        <f>F35*E35</f>
        <v>26288</v>
      </c>
      <c r="H35" s="604"/>
      <c r="I35" s="2382"/>
      <c r="J35"/>
      <c r="K35"/>
    </row>
    <row r="36" spans="1:11" ht="22.5" x14ac:dyDescent="0.2">
      <c r="A36" s="588"/>
      <c r="B36" s="589"/>
      <c r="C36" s="1411" t="s">
        <v>526</v>
      </c>
      <c r="D36" s="589"/>
      <c r="E36" s="594">
        <v>160</v>
      </c>
      <c r="F36" s="593"/>
      <c r="G36" s="594"/>
      <c r="H36" s="593"/>
      <c r="I36" s="2382"/>
      <c r="J36"/>
      <c r="K36"/>
    </row>
    <row r="37" spans="1:11" x14ac:dyDescent="0.2">
      <c r="A37" s="588"/>
      <c r="B37" s="589"/>
      <c r="C37" s="606" t="s">
        <v>870</v>
      </c>
      <c r="D37" s="589"/>
      <c r="E37" s="594">
        <v>184</v>
      </c>
      <c r="F37" s="593"/>
      <c r="G37" s="594"/>
      <c r="H37" s="593"/>
      <c r="I37" s="2383"/>
      <c r="J37"/>
      <c r="K37"/>
    </row>
    <row r="38" spans="1:11" x14ac:dyDescent="0.2">
      <c r="A38" s="588"/>
      <c r="B38" s="589"/>
      <c r="C38" s="605" t="s">
        <v>523</v>
      </c>
      <c r="D38" s="589"/>
      <c r="E38" s="594">
        <v>80</v>
      </c>
      <c r="F38" s="593"/>
      <c r="G38" s="594"/>
      <c r="H38" s="593"/>
      <c r="I38" s="2382"/>
      <c r="J38"/>
      <c r="K38"/>
    </row>
    <row r="39" spans="1:11" x14ac:dyDescent="0.2">
      <c r="A39" s="588"/>
      <c r="B39" s="589" t="s">
        <v>820</v>
      </c>
      <c r="C39" s="607" t="s">
        <v>324</v>
      </c>
      <c r="D39" s="590" t="s">
        <v>17</v>
      </c>
      <c r="E39" s="591">
        <f>SUM(E40:E42)</f>
        <v>424</v>
      </c>
      <c r="F39" s="592">
        <f>salaries!H18</f>
        <v>39</v>
      </c>
      <c r="G39" s="591">
        <f>F39*E39</f>
        <v>16536</v>
      </c>
      <c r="H39" s="592"/>
      <c r="I39" s="2471"/>
      <c r="J39"/>
      <c r="K39"/>
    </row>
    <row r="40" spans="1:11" x14ac:dyDescent="0.2">
      <c r="A40" s="588"/>
      <c r="B40" s="589"/>
      <c r="C40" s="605" t="s">
        <v>540</v>
      </c>
      <c r="D40" s="589"/>
      <c r="E40" s="594">
        <v>160</v>
      </c>
      <c r="F40" s="593"/>
      <c r="G40" s="594"/>
      <c r="H40" s="593"/>
      <c r="I40" s="2382"/>
      <c r="J40"/>
      <c r="K40"/>
    </row>
    <row r="41" spans="1:11" x14ac:dyDescent="0.2">
      <c r="A41" s="588"/>
      <c r="B41" s="589"/>
      <c r="C41" s="605" t="s">
        <v>871</v>
      </c>
      <c r="D41" s="589"/>
      <c r="E41" s="594">
        <v>184</v>
      </c>
      <c r="F41" s="593"/>
      <c r="G41" s="594"/>
      <c r="H41" s="593"/>
      <c r="I41" s="2382"/>
      <c r="J41"/>
      <c r="K41"/>
    </row>
    <row r="42" spans="1:11" x14ac:dyDescent="0.2">
      <c r="A42" s="608"/>
      <c r="B42" s="596"/>
      <c r="C42" s="595" t="s">
        <v>522</v>
      </c>
      <c r="D42" s="596"/>
      <c r="E42" s="597">
        <v>80</v>
      </c>
      <c r="F42" s="609"/>
      <c r="G42" s="597"/>
      <c r="H42" s="609">
        <f>SUM(G35:G42)</f>
        <v>42824</v>
      </c>
      <c r="I42" s="2382"/>
      <c r="J42"/>
      <c r="K42"/>
    </row>
    <row r="43" spans="1:11" x14ac:dyDescent="0.2">
      <c r="A43" s="610" t="s">
        <v>309</v>
      </c>
      <c r="B43" s="611" t="s">
        <v>189</v>
      </c>
      <c r="C43" s="612" t="s">
        <v>324</v>
      </c>
      <c r="D43" s="613" t="s">
        <v>17</v>
      </c>
      <c r="E43" s="614">
        <f>SUM(E44:E49)</f>
        <v>1072</v>
      </c>
      <c r="F43" s="615">
        <f>salaries!H20</f>
        <v>40</v>
      </c>
      <c r="G43" s="614">
        <f>F43*E43</f>
        <v>42880</v>
      </c>
      <c r="H43" s="616"/>
      <c r="I43" s="2382"/>
      <c r="J43"/>
      <c r="K43"/>
    </row>
    <row r="44" spans="1:11" ht="22.5" x14ac:dyDescent="0.2">
      <c r="A44" s="617"/>
      <c r="B44" s="618"/>
      <c r="C44" s="1412" t="s">
        <v>527</v>
      </c>
      <c r="D44" s="620"/>
      <c r="E44" s="621">
        <f>48*8</f>
        <v>384</v>
      </c>
      <c r="F44" s="622"/>
      <c r="G44" s="621"/>
      <c r="H44" s="622"/>
      <c r="I44" s="2383"/>
      <c r="J44"/>
      <c r="K44"/>
    </row>
    <row r="45" spans="1:11" x14ac:dyDescent="0.2">
      <c r="A45" s="617"/>
      <c r="B45" s="618"/>
      <c r="C45" s="1413" t="s">
        <v>528</v>
      </c>
      <c r="D45" s="620"/>
      <c r="E45" s="621">
        <v>80</v>
      </c>
      <c r="F45" s="622"/>
      <c r="G45" s="621"/>
      <c r="H45" s="622"/>
      <c r="I45" s="2383"/>
      <c r="J45"/>
      <c r="K45"/>
    </row>
    <row r="46" spans="1:11" x14ac:dyDescent="0.2">
      <c r="A46" s="617"/>
      <c r="B46" s="618"/>
      <c r="C46" s="619" t="s">
        <v>529</v>
      </c>
      <c r="D46" s="620"/>
      <c r="E46" s="621">
        <v>344</v>
      </c>
      <c r="F46" s="622"/>
      <c r="G46" s="621"/>
      <c r="H46" s="622"/>
      <c r="I46" s="2382"/>
      <c r="J46"/>
      <c r="K46"/>
    </row>
    <row r="47" spans="1:11" x14ac:dyDescent="0.2">
      <c r="A47" s="617"/>
      <c r="B47" s="618"/>
      <c r="C47" s="619" t="s">
        <v>531</v>
      </c>
      <c r="D47" s="620"/>
      <c r="E47" s="621">
        <v>80</v>
      </c>
      <c r="F47" s="622"/>
      <c r="G47" s="621"/>
      <c r="H47" s="622"/>
      <c r="I47" s="2382"/>
      <c r="J47"/>
      <c r="K47"/>
    </row>
    <row r="48" spans="1:11" x14ac:dyDescent="0.2">
      <c r="A48" s="617"/>
      <c r="B48" s="618"/>
      <c r="C48" s="619" t="s">
        <v>532</v>
      </c>
      <c r="D48" s="620"/>
      <c r="E48" s="621">
        <v>160</v>
      </c>
      <c r="F48" s="622"/>
      <c r="G48" s="621"/>
      <c r="H48" s="622"/>
      <c r="I48" s="2382"/>
      <c r="J48"/>
      <c r="K48"/>
    </row>
    <row r="49" spans="1:11" x14ac:dyDescent="0.2">
      <c r="A49" s="617"/>
      <c r="B49" s="618"/>
      <c r="C49" s="619" t="s">
        <v>530</v>
      </c>
      <c r="D49" s="620"/>
      <c r="E49" s="621">
        <v>24</v>
      </c>
      <c r="F49" s="622"/>
      <c r="G49" s="621"/>
      <c r="H49" s="622"/>
      <c r="I49" s="2382"/>
      <c r="J49"/>
      <c r="K49"/>
    </row>
    <row r="50" spans="1:11" x14ac:dyDescent="0.2">
      <c r="A50" s="617"/>
      <c r="B50" s="618" t="s">
        <v>315</v>
      </c>
      <c r="C50" s="624" t="s">
        <v>324</v>
      </c>
      <c r="D50" s="625" t="s">
        <v>17</v>
      </c>
      <c r="E50" s="633">
        <f>SUM(E51:E53)</f>
        <v>504</v>
      </c>
      <c r="F50" s="632">
        <f>salaries!H21</f>
        <v>75</v>
      </c>
      <c r="G50" s="633">
        <f>F50*E50</f>
        <v>37800</v>
      </c>
      <c r="H50" s="622"/>
      <c r="I50" s="2382"/>
      <c r="J50"/>
      <c r="K50"/>
    </row>
    <row r="51" spans="1:11" x14ac:dyDescent="0.2">
      <c r="A51" s="617"/>
      <c r="B51" s="618"/>
      <c r="C51" s="619" t="s">
        <v>533</v>
      </c>
      <c r="D51" s="620"/>
      <c r="E51" s="621">
        <v>160</v>
      </c>
      <c r="F51" s="622"/>
      <c r="G51" s="621"/>
      <c r="H51" s="622"/>
      <c r="I51" s="2382"/>
      <c r="J51"/>
      <c r="K51"/>
    </row>
    <row r="52" spans="1:11" x14ac:dyDescent="0.2">
      <c r="A52" s="617"/>
      <c r="B52" s="618"/>
      <c r="C52" s="619" t="s">
        <v>871</v>
      </c>
      <c r="D52" s="620"/>
      <c r="E52" s="621">
        <v>184</v>
      </c>
      <c r="F52" s="622"/>
      <c r="G52" s="621"/>
      <c r="H52" s="622"/>
      <c r="I52" s="2382"/>
      <c r="J52"/>
      <c r="K52"/>
    </row>
    <row r="53" spans="1:11" x14ac:dyDescent="0.2">
      <c r="A53" s="617"/>
      <c r="B53" s="618"/>
      <c r="C53" s="619" t="s">
        <v>623</v>
      </c>
      <c r="D53" s="620"/>
      <c r="E53" s="621">
        <v>160</v>
      </c>
      <c r="F53" s="622"/>
      <c r="G53" s="621"/>
      <c r="H53" s="622"/>
      <c r="I53" s="2382"/>
      <c r="J53"/>
      <c r="K53"/>
    </row>
    <row r="54" spans="1:11" x14ac:dyDescent="0.2">
      <c r="A54" s="617"/>
      <c r="B54" s="618" t="s">
        <v>825</v>
      </c>
      <c r="C54" s="624" t="s">
        <v>324</v>
      </c>
      <c r="D54" s="625" t="s">
        <v>17</v>
      </c>
      <c r="E54" s="626">
        <f>SUM(E55:E57)</f>
        <v>504</v>
      </c>
      <c r="F54" s="632">
        <f>salaries!H23</f>
        <v>36</v>
      </c>
      <c r="G54" s="633">
        <f>F54*E54</f>
        <v>18144</v>
      </c>
      <c r="H54" s="622"/>
      <c r="I54" s="2382"/>
      <c r="J54"/>
      <c r="K54"/>
    </row>
    <row r="55" spans="1:11" x14ac:dyDescent="0.2">
      <c r="A55" s="617"/>
      <c r="B55" s="618"/>
      <c r="C55" s="619" t="s">
        <v>537</v>
      </c>
      <c r="D55" s="620"/>
      <c r="E55" s="621">
        <v>160</v>
      </c>
      <c r="F55" s="622"/>
      <c r="G55" s="621"/>
      <c r="H55" s="622"/>
      <c r="I55" s="2382"/>
      <c r="J55"/>
      <c r="K55"/>
    </row>
    <row r="56" spans="1:11" x14ac:dyDescent="0.2">
      <c r="A56" s="617"/>
      <c r="B56" s="618"/>
      <c r="C56" s="619" t="s">
        <v>871</v>
      </c>
      <c r="D56" s="620"/>
      <c r="E56" s="621">
        <v>184</v>
      </c>
      <c r="F56" s="622"/>
      <c r="G56" s="621"/>
      <c r="H56" s="622"/>
      <c r="I56" s="2382"/>
      <c r="J56"/>
      <c r="K56"/>
    </row>
    <row r="57" spans="1:11" x14ac:dyDescent="0.2">
      <c r="A57" s="627"/>
      <c r="B57" s="628"/>
      <c r="C57" s="684" t="s">
        <v>623</v>
      </c>
      <c r="D57" s="629"/>
      <c r="E57" s="630">
        <v>160</v>
      </c>
      <c r="F57" s="631"/>
      <c r="G57" s="630"/>
      <c r="H57" s="631">
        <f>SUM(G43:G57)</f>
        <v>98824</v>
      </c>
      <c r="I57" s="2382"/>
      <c r="J57"/>
      <c r="K57"/>
    </row>
    <row r="58" spans="1:11" x14ac:dyDescent="0.2">
      <c r="A58" s="634" t="s">
        <v>310</v>
      </c>
      <c r="B58" s="635" t="s">
        <v>217</v>
      </c>
      <c r="C58" s="636" t="s">
        <v>324</v>
      </c>
      <c r="D58" s="637" t="s">
        <v>17</v>
      </c>
      <c r="E58" s="638">
        <f>SUM(E59:E61)</f>
        <v>424</v>
      </c>
      <c r="F58" s="639">
        <f>salaries!H25</f>
        <v>40</v>
      </c>
      <c r="G58" s="638">
        <f>F58*E58</f>
        <v>16960</v>
      </c>
      <c r="H58" s="639"/>
      <c r="I58" s="2382"/>
      <c r="J58"/>
      <c r="K58"/>
    </row>
    <row r="59" spans="1:11" x14ac:dyDescent="0.2">
      <c r="A59" s="640"/>
      <c r="B59" s="641"/>
      <c r="C59" s="642" t="s">
        <v>923</v>
      </c>
      <c r="D59" s="643"/>
      <c r="E59" s="644">
        <v>160</v>
      </c>
      <c r="F59" s="645"/>
      <c r="G59" s="644"/>
      <c r="H59" s="645"/>
      <c r="I59" s="2382"/>
      <c r="J59"/>
      <c r="K59"/>
    </row>
    <row r="60" spans="1:11" x14ac:dyDescent="0.2">
      <c r="A60" s="640"/>
      <c r="B60" s="641"/>
      <c r="C60" s="646" t="s">
        <v>873</v>
      </c>
      <c r="D60" s="643"/>
      <c r="E60" s="644">
        <v>184</v>
      </c>
      <c r="F60" s="645"/>
      <c r="G60" s="644"/>
      <c r="H60" s="645"/>
      <c r="I60" s="2383"/>
      <c r="J60"/>
      <c r="K60"/>
    </row>
    <row r="61" spans="1:11" x14ac:dyDescent="0.2">
      <c r="A61" s="640"/>
      <c r="B61" s="641"/>
      <c r="C61" s="642" t="s">
        <v>522</v>
      </c>
      <c r="D61" s="643"/>
      <c r="E61" s="644">
        <v>80</v>
      </c>
      <c r="F61" s="645"/>
      <c r="G61" s="644"/>
      <c r="H61" s="645"/>
      <c r="I61" s="2382"/>
      <c r="J61"/>
      <c r="K61"/>
    </row>
    <row r="62" spans="1:11" x14ac:dyDescent="0.2">
      <c r="A62" s="647"/>
      <c r="B62" s="641" t="s">
        <v>218</v>
      </c>
      <c r="C62" s="648" t="s">
        <v>324</v>
      </c>
      <c r="D62" s="649" t="s">
        <v>17</v>
      </c>
      <c r="E62" s="650">
        <f>SUM(E63:E65)</f>
        <v>424</v>
      </c>
      <c r="F62" s="682">
        <f>salaries!H26</f>
        <v>44</v>
      </c>
      <c r="G62" s="683">
        <f>F62*E62</f>
        <v>18656</v>
      </c>
      <c r="H62" s="645"/>
      <c r="I62" s="2382"/>
      <c r="J62"/>
      <c r="K62"/>
    </row>
    <row r="63" spans="1:11" x14ac:dyDescent="0.2">
      <c r="A63" s="647"/>
      <c r="B63" s="641"/>
      <c r="C63" s="642" t="s">
        <v>534</v>
      </c>
      <c r="D63" s="643"/>
      <c r="E63" s="644">
        <v>160</v>
      </c>
      <c r="F63" s="645"/>
      <c r="G63" s="644"/>
      <c r="H63" s="645"/>
      <c r="I63" s="2382"/>
      <c r="J63"/>
      <c r="K63"/>
    </row>
    <row r="64" spans="1:11" x14ac:dyDescent="0.2">
      <c r="A64" s="647"/>
      <c r="B64" s="641"/>
      <c r="C64" s="642" t="s">
        <v>874</v>
      </c>
      <c r="D64" s="643"/>
      <c r="E64" s="644">
        <v>184</v>
      </c>
      <c r="F64" s="645"/>
      <c r="G64" s="644"/>
      <c r="H64" s="645"/>
      <c r="I64" s="2382"/>
      <c r="J64"/>
      <c r="K64"/>
    </row>
    <row r="65" spans="1:11" x14ac:dyDescent="0.2">
      <c r="A65" s="651"/>
      <c r="B65" s="652"/>
      <c r="C65" s="653" t="s">
        <v>522</v>
      </c>
      <c r="D65" s="652"/>
      <c r="E65" s="654">
        <v>80</v>
      </c>
      <c r="F65" s="655"/>
      <c r="G65" s="654"/>
      <c r="H65" s="655">
        <f>SUM(G58:G65)</f>
        <v>35616</v>
      </c>
      <c r="I65" s="2382"/>
      <c r="J65"/>
      <c r="K65"/>
    </row>
    <row r="66" spans="1:11" x14ac:dyDescent="0.2">
      <c r="A66" s="669" t="s">
        <v>311</v>
      </c>
      <c r="B66" s="670" t="s">
        <v>213</v>
      </c>
      <c r="C66" s="671" t="s">
        <v>324</v>
      </c>
      <c r="D66" s="672" t="s">
        <v>17</v>
      </c>
      <c r="E66" s="673">
        <f>SUM(E67:E70)</f>
        <v>240</v>
      </c>
      <c r="F66" s="674">
        <f>salaries!H29</f>
        <v>15</v>
      </c>
      <c r="G66" s="673">
        <f>F66*E66</f>
        <v>3600</v>
      </c>
      <c r="H66" s="675"/>
      <c r="I66" s="2382"/>
      <c r="J66"/>
      <c r="K66"/>
    </row>
    <row r="67" spans="1:11" x14ac:dyDescent="0.2">
      <c r="A67" s="656"/>
      <c r="B67" s="657"/>
      <c r="C67" s="676" t="s">
        <v>535</v>
      </c>
      <c r="D67" s="662"/>
      <c r="E67" s="663">
        <v>40</v>
      </c>
      <c r="F67" s="661"/>
      <c r="G67" s="663"/>
      <c r="H67" s="661"/>
      <c r="I67" s="2382"/>
      <c r="J67"/>
      <c r="K67"/>
    </row>
    <row r="68" spans="1:11" x14ac:dyDescent="0.2">
      <c r="A68" s="656"/>
      <c r="B68" s="657"/>
      <c r="C68" s="677" t="s">
        <v>536</v>
      </c>
      <c r="D68" s="662"/>
      <c r="E68" s="663">
        <v>80</v>
      </c>
      <c r="F68" s="661"/>
      <c r="G68" s="663"/>
      <c r="H68" s="661"/>
      <c r="I68" s="2383"/>
      <c r="J68"/>
      <c r="K68"/>
    </row>
    <row r="69" spans="1:11" x14ac:dyDescent="0.2">
      <c r="A69" s="656"/>
      <c r="B69" s="657"/>
      <c r="C69" s="676" t="s">
        <v>550</v>
      </c>
      <c r="D69" s="662"/>
      <c r="E69" s="663">
        <v>80</v>
      </c>
      <c r="F69" s="661"/>
      <c r="G69" s="663"/>
      <c r="H69" s="661"/>
      <c r="I69" s="2382"/>
      <c r="J69"/>
      <c r="K69"/>
    </row>
    <row r="70" spans="1:11" x14ac:dyDescent="0.2">
      <c r="A70" s="656"/>
      <c r="B70" s="657"/>
      <c r="C70" s="676" t="s">
        <v>551</v>
      </c>
      <c r="D70" s="662"/>
      <c r="E70" s="663">
        <v>40</v>
      </c>
      <c r="F70" s="661"/>
      <c r="G70" s="663"/>
      <c r="H70" s="661"/>
      <c r="I70" s="2382"/>
      <c r="J70"/>
      <c r="K70"/>
    </row>
    <row r="71" spans="1:11" s="68" customFormat="1" x14ac:dyDescent="0.2">
      <c r="A71" s="664"/>
      <c r="B71" s="662" t="s">
        <v>815</v>
      </c>
      <c r="C71" s="678" t="s">
        <v>324</v>
      </c>
      <c r="D71" s="658" t="s">
        <v>17</v>
      </c>
      <c r="E71" s="659">
        <f>SUM(E72:E73)</f>
        <v>160</v>
      </c>
      <c r="F71" s="660">
        <f>salaries!H31</f>
        <v>11</v>
      </c>
      <c r="G71" s="659">
        <f>F71*E71</f>
        <v>1760</v>
      </c>
      <c r="H71" s="660"/>
      <c r="I71" s="2471"/>
    </row>
    <row r="72" spans="1:11" s="68" customFormat="1" x14ac:dyDescent="0.2">
      <c r="A72" s="664"/>
      <c r="B72" s="662"/>
      <c r="C72" s="676" t="s">
        <v>552</v>
      </c>
      <c r="D72" s="662"/>
      <c r="E72" s="663">
        <v>80</v>
      </c>
      <c r="F72" s="661"/>
      <c r="G72" s="663"/>
      <c r="H72" s="661"/>
      <c r="I72" s="2474"/>
    </row>
    <row r="73" spans="1:11" s="68" customFormat="1" x14ac:dyDescent="0.2">
      <c r="A73" s="679"/>
      <c r="B73" s="667"/>
      <c r="C73" s="1418" t="s">
        <v>553</v>
      </c>
      <c r="D73" s="667"/>
      <c r="E73" s="668">
        <v>80</v>
      </c>
      <c r="F73" s="680"/>
      <c r="G73" s="668"/>
      <c r="H73" s="680">
        <f>SUM(G66:G73)</f>
        <v>5360</v>
      </c>
      <c r="I73" s="2474"/>
    </row>
    <row r="74" spans="1:11" x14ac:dyDescent="0.2">
      <c r="A74" s="853" t="s">
        <v>407</v>
      </c>
      <c r="B74" s="854" t="s">
        <v>222</v>
      </c>
      <c r="C74" s="838" t="s">
        <v>324</v>
      </c>
      <c r="D74" s="839" t="s">
        <v>17</v>
      </c>
      <c r="E74" s="840">
        <f>SUM(E75:E78)</f>
        <v>240</v>
      </c>
      <c r="F74" s="855">
        <f>salaries!H35</f>
        <v>15</v>
      </c>
      <c r="G74" s="840">
        <f>F74*E74</f>
        <v>3600</v>
      </c>
      <c r="H74" s="856"/>
      <c r="I74" s="2382"/>
      <c r="J74"/>
      <c r="K74"/>
    </row>
    <row r="75" spans="1:11" x14ac:dyDescent="0.2">
      <c r="A75" s="836"/>
      <c r="B75" s="837"/>
      <c r="C75" s="844" t="s">
        <v>535</v>
      </c>
      <c r="D75" s="845"/>
      <c r="E75" s="846">
        <v>40</v>
      </c>
      <c r="F75" s="843"/>
      <c r="G75" s="846"/>
      <c r="H75" s="843"/>
      <c r="I75" s="2382"/>
      <c r="J75"/>
      <c r="K75"/>
    </row>
    <row r="76" spans="1:11" x14ac:dyDescent="0.2">
      <c r="A76" s="836"/>
      <c r="B76" s="837"/>
      <c r="C76" s="847" t="s">
        <v>536</v>
      </c>
      <c r="D76" s="845"/>
      <c r="E76" s="846">
        <v>80</v>
      </c>
      <c r="F76" s="843"/>
      <c r="G76" s="846"/>
      <c r="H76" s="843"/>
      <c r="I76" s="2383"/>
      <c r="J76"/>
      <c r="K76"/>
    </row>
    <row r="77" spans="1:11" x14ac:dyDescent="0.2">
      <c r="A77" s="836"/>
      <c r="B77" s="837"/>
      <c r="C77" s="844" t="s">
        <v>550</v>
      </c>
      <c r="D77" s="845"/>
      <c r="E77" s="846">
        <v>80</v>
      </c>
      <c r="F77" s="843"/>
      <c r="G77" s="846"/>
      <c r="H77" s="843"/>
      <c r="I77" s="2382"/>
      <c r="J77"/>
      <c r="K77"/>
    </row>
    <row r="78" spans="1:11" x14ac:dyDescent="0.2">
      <c r="A78" s="836"/>
      <c r="B78" s="837"/>
      <c r="C78" s="844" t="s">
        <v>551</v>
      </c>
      <c r="D78" s="845"/>
      <c r="E78" s="846">
        <v>40</v>
      </c>
      <c r="F78" s="843"/>
      <c r="G78" s="846"/>
      <c r="H78" s="843"/>
      <c r="I78" s="2382"/>
      <c r="J78"/>
      <c r="K78"/>
    </row>
    <row r="79" spans="1:11" x14ac:dyDescent="0.2">
      <c r="A79" s="836"/>
      <c r="B79" s="837" t="s">
        <v>221</v>
      </c>
      <c r="C79" s="848" t="s">
        <v>324</v>
      </c>
      <c r="D79" s="849" t="s">
        <v>17</v>
      </c>
      <c r="E79" s="861">
        <f>SUM(E80:E81)</f>
        <v>80</v>
      </c>
      <c r="F79" s="860">
        <f>salaries!H34</f>
        <v>15</v>
      </c>
      <c r="G79" s="861">
        <f>F79*E79</f>
        <v>1200</v>
      </c>
      <c r="H79" s="843"/>
      <c r="I79" s="2382"/>
      <c r="J79"/>
      <c r="K79"/>
    </row>
    <row r="80" spans="1:11" x14ac:dyDescent="0.2">
      <c r="A80" s="836"/>
      <c r="B80" s="837"/>
      <c r="C80" s="844" t="s">
        <v>555</v>
      </c>
      <c r="D80" s="845"/>
      <c r="E80" s="846">
        <v>40</v>
      </c>
      <c r="F80" s="843"/>
      <c r="G80" s="846"/>
      <c r="H80" s="843"/>
      <c r="I80" s="2382"/>
      <c r="J80"/>
      <c r="K80"/>
    </row>
    <row r="81" spans="1:11" x14ac:dyDescent="0.2">
      <c r="A81" s="836"/>
      <c r="B81" s="837"/>
      <c r="C81" s="844" t="s">
        <v>600</v>
      </c>
      <c r="D81" s="845"/>
      <c r="E81" s="846">
        <v>40</v>
      </c>
      <c r="F81" s="843"/>
      <c r="G81" s="846"/>
      <c r="H81" s="843"/>
      <c r="I81" s="2382"/>
      <c r="J81"/>
      <c r="K81"/>
    </row>
    <row r="82" spans="1:11" x14ac:dyDescent="0.2">
      <c r="A82" s="836"/>
      <c r="B82" s="837" t="s">
        <v>223</v>
      </c>
      <c r="C82" s="848" t="s">
        <v>324</v>
      </c>
      <c r="D82" s="849" t="s">
        <v>17</v>
      </c>
      <c r="E82" s="842">
        <f>SUM(E83:E84)</f>
        <v>160</v>
      </c>
      <c r="F82" s="860">
        <f>salaries!H36</f>
        <v>12</v>
      </c>
      <c r="G82" s="861">
        <f>F82*E82</f>
        <v>1920</v>
      </c>
      <c r="H82" s="843"/>
      <c r="I82" s="2382"/>
      <c r="J82"/>
      <c r="K82"/>
    </row>
    <row r="83" spans="1:11" x14ac:dyDescent="0.2">
      <c r="A83" s="836"/>
      <c r="B83" s="837"/>
      <c r="C83" s="844" t="s">
        <v>552</v>
      </c>
      <c r="D83" s="845"/>
      <c r="E83" s="846">
        <v>80</v>
      </c>
      <c r="F83" s="843"/>
      <c r="G83" s="846"/>
      <c r="H83" s="843"/>
      <c r="I83" s="2382"/>
      <c r="J83"/>
      <c r="K83"/>
    </row>
    <row r="84" spans="1:11" x14ac:dyDescent="0.2">
      <c r="A84" s="857"/>
      <c r="B84" s="858"/>
      <c r="C84" s="850" t="s">
        <v>553</v>
      </c>
      <c r="D84" s="851"/>
      <c r="E84" s="852">
        <v>80</v>
      </c>
      <c r="F84" s="859"/>
      <c r="G84" s="852"/>
      <c r="H84" s="859">
        <f>SUM(G74:G84)</f>
        <v>6720</v>
      </c>
      <c r="I84" s="2382"/>
      <c r="J84"/>
      <c r="K84"/>
    </row>
    <row r="85" spans="1:11" x14ac:dyDescent="0.2">
      <c r="A85" s="867" t="s">
        <v>408</v>
      </c>
      <c r="B85" s="868" t="s">
        <v>225</v>
      </c>
      <c r="C85" s="869" t="s">
        <v>324</v>
      </c>
      <c r="D85" s="870" t="s">
        <v>17</v>
      </c>
      <c r="E85" s="871">
        <f>SUM(E86:E89)</f>
        <v>240</v>
      </c>
      <c r="F85" s="872">
        <f>salaries!H38</f>
        <v>11</v>
      </c>
      <c r="G85" s="871">
        <f>F85*E85</f>
        <v>2640</v>
      </c>
      <c r="H85" s="873"/>
      <c r="I85" s="2382"/>
      <c r="J85"/>
      <c r="K85"/>
    </row>
    <row r="86" spans="1:11" x14ac:dyDescent="0.2">
      <c r="A86" s="548"/>
      <c r="B86" s="549"/>
      <c r="C86" s="556" t="s">
        <v>535</v>
      </c>
      <c r="D86" s="549"/>
      <c r="E86" s="554">
        <v>40</v>
      </c>
      <c r="F86" s="553"/>
      <c r="G86" s="554"/>
      <c r="H86" s="553"/>
      <c r="I86" s="2382"/>
      <c r="J86"/>
      <c r="K86"/>
    </row>
    <row r="87" spans="1:11" x14ac:dyDescent="0.2">
      <c r="A87" s="548"/>
      <c r="B87" s="549"/>
      <c r="C87" s="862" t="s">
        <v>536</v>
      </c>
      <c r="D87" s="549"/>
      <c r="E87" s="554">
        <v>80</v>
      </c>
      <c r="F87" s="553"/>
      <c r="G87" s="554"/>
      <c r="H87" s="553"/>
      <c r="I87" s="2383"/>
      <c r="J87"/>
      <c r="K87"/>
    </row>
    <row r="88" spans="1:11" x14ac:dyDescent="0.2">
      <c r="A88" s="548"/>
      <c r="B88" s="549"/>
      <c r="C88" s="556" t="s">
        <v>550</v>
      </c>
      <c r="D88" s="549"/>
      <c r="E88" s="554">
        <v>80</v>
      </c>
      <c r="F88" s="553"/>
      <c r="G88" s="554"/>
      <c r="H88" s="553"/>
      <c r="I88" s="2382"/>
      <c r="J88"/>
      <c r="K88"/>
    </row>
    <row r="89" spans="1:11" x14ac:dyDescent="0.2">
      <c r="A89" s="548"/>
      <c r="B89" s="549"/>
      <c r="C89" s="556" t="s">
        <v>551</v>
      </c>
      <c r="D89" s="549"/>
      <c r="E89" s="554">
        <v>40</v>
      </c>
      <c r="F89" s="553"/>
      <c r="G89" s="554"/>
      <c r="H89" s="553"/>
      <c r="I89" s="2382"/>
      <c r="J89"/>
      <c r="K89"/>
    </row>
    <row r="90" spans="1:11" s="105" customFormat="1" x14ac:dyDescent="0.2">
      <c r="A90" s="548"/>
      <c r="B90" s="863" t="s">
        <v>228</v>
      </c>
      <c r="C90" s="555" t="s">
        <v>324</v>
      </c>
      <c r="D90" s="550" t="s">
        <v>17</v>
      </c>
      <c r="E90" s="551">
        <f>SUM(E91:E92)</f>
        <v>160</v>
      </c>
      <c r="F90" s="552">
        <f>salaries!H41</f>
        <v>9</v>
      </c>
      <c r="G90" s="551">
        <f>F90*E90</f>
        <v>1440</v>
      </c>
      <c r="H90" s="552"/>
      <c r="I90" s="2471"/>
    </row>
    <row r="91" spans="1:11" s="105" customFormat="1" x14ac:dyDescent="0.2">
      <c r="A91" s="548"/>
      <c r="B91" s="863"/>
      <c r="C91" s="556" t="s">
        <v>552</v>
      </c>
      <c r="D91" s="549"/>
      <c r="E91" s="554">
        <v>80</v>
      </c>
      <c r="F91" s="552"/>
      <c r="G91" s="551"/>
      <c r="H91" s="552"/>
      <c r="I91" s="2471"/>
    </row>
    <row r="92" spans="1:11" s="105" customFormat="1" x14ac:dyDescent="0.2">
      <c r="A92" s="874"/>
      <c r="B92" s="865"/>
      <c r="C92" s="864" t="s">
        <v>553</v>
      </c>
      <c r="D92" s="865"/>
      <c r="E92" s="866">
        <v>80</v>
      </c>
      <c r="F92" s="875"/>
      <c r="G92" s="866"/>
      <c r="H92" s="875">
        <f>SUM(G85:G92)</f>
        <v>4080</v>
      </c>
      <c r="I92" s="2486"/>
    </row>
    <row r="93" spans="1:11" x14ac:dyDescent="0.2">
      <c r="A93" s="890" t="s">
        <v>409</v>
      </c>
      <c r="B93" s="891" t="s">
        <v>801</v>
      </c>
      <c r="C93" s="892" t="s">
        <v>324</v>
      </c>
      <c r="D93" s="893" t="s">
        <v>17</v>
      </c>
      <c r="E93" s="894">
        <f>SUM(E94:E97)</f>
        <v>240</v>
      </c>
      <c r="F93" s="895">
        <f>salaries!H44</f>
        <v>17</v>
      </c>
      <c r="G93" s="894">
        <f>F93*E93</f>
        <v>4080</v>
      </c>
      <c r="H93" s="896"/>
      <c r="I93" s="2382"/>
      <c r="J93"/>
      <c r="K93"/>
    </row>
    <row r="94" spans="1:11" x14ac:dyDescent="0.2">
      <c r="A94" s="876"/>
      <c r="B94" s="877"/>
      <c r="C94" s="883" t="s">
        <v>535</v>
      </c>
      <c r="D94" s="884"/>
      <c r="E94" s="885">
        <v>40</v>
      </c>
      <c r="F94" s="882"/>
      <c r="G94" s="885"/>
      <c r="H94" s="882"/>
      <c r="I94" s="2382"/>
      <c r="J94"/>
      <c r="K94"/>
    </row>
    <row r="95" spans="1:11" x14ac:dyDescent="0.2">
      <c r="A95" s="876"/>
      <c r="B95" s="877"/>
      <c r="C95" s="886" t="s">
        <v>536</v>
      </c>
      <c r="D95" s="884"/>
      <c r="E95" s="885">
        <v>80</v>
      </c>
      <c r="F95" s="882"/>
      <c r="G95" s="885"/>
      <c r="H95" s="882"/>
      <c r="I95" s="2383"/>
      <c r="J95"/>
      <c r="K95"/>
    </row>
    <row r="96" spans="1:11" x14ac:dyDescent="0.2">
      <c r="A96" s="876"/>
      <c r="B96" s="877"/>
      <c r="C96" s="883" t="s">
        <v>550</v>
      </c>
      <c r="D96" s="884"/>
      <c r="E96" s="885">
        <v>80</v>
      </c>
      <c r="F96" s="882"/>
      <c r="G96" s="885"/>
      <c r="H96" s="882"/>
      <c r="I96" s="2382"/>
      <c r="J96"/>
      <c r="K96"/>
    </row>
    <row r="97" spans="1:11" x14ac:dyDescent="0.2">
      <c r="A97" s="876"/>
      <c r="B97" s="877"/>
      <c r="C97" s="883" t="s">
        <v>551</v>
      </c>
      <c r="D97" s="884"/>
      <c r="E97" s="885">
        <v>40</v>
      </c>
      <c r="F97" s="881"/>
      <c r="G97" s="880"/>
      <c r="H97" s="881"/>
      <c r="I97" s="2471"/>
      <c r="J97"/>
      <c r="K97"/>
    </row>
    <row r="98" spans="1:11" x14ac:dyDescent="0.2">
      <c r="A98" s="876"/>
      <c r="B98" s="877" t="s">
        <v>230</v>
      </c>
      <c r="C98" s="878" t="s">
        <v>324</v>
      </c>
      <c r="D98" s="879" t="s">
        <v>17</v>
      </c>
      <c r="E98" s="880">
        <f>SUM(E99:E100)</f>
        <v>160</v>
      </c>
      <c r="F98" s="881">
        <f>salaries!H43</f>
        <v>23</v>
      </c>
      <c r="G98" s="880">
        <f>F98*E98</f>
        <v>3680</v>
      </c>
      <c r="H98" s="881"/>
      <c r="I98" s="2471"/>
      <c r="J98"/>
      <c r="K98"/>
    </row>
    <row r="99" spans="1:11" x14ac:dyDescent="0.2">
      <c r="A99" s="876"/>
      <c r="B99" s="877"/>
      <c r="C99" s="883" t="s">
        <v>552</v>
      </c>
      <c r="D99" s="884"/>
      <c r="E99" s="885">
        <v>80</v>
      </c>
      <c r="F99" s="881"/>
      <c r="G99" s="880"/>
      <c r="H99" s="881"/>
      <c r="I99" s="2471"/>
      <c r="J99"/>
      <c r="K99"/>
    </row>
    <row r="100" spans="1:11" x14ac:dyDescent="0.2">
      <c r="A100" s="897"/>
      <c r="B100" s="898"/>
      <c r="C100" s="887" t="s">
        <v>553</v>
      </c>
      <c r="D100" s="888"/>
      <c r="E100" s="889">
        <v>80</v>
      </c>
      <c r="F100" s="899"/>
      <c r="G100" s="889"/>
      <c r="H100" s="899">
        <f>SUM(G93:G100)</f>
        <v>7760</v>
      </c>
      <c r="I100" s="2382"/>
      <c r="J100"/>
      <c r="K100"/>
    </row>
    <row r="101" spans="1:11" x14ac:dyDescent="0.2">
      <c r="A101" s="900" t="s">
        <v>410</v>
      </c>
      <c r="B101" s="901" t="s">
        <v>233</v>
      </c>
      <c r="C101" s="902" t="s">
        <v>324</v>
      </c>
      <c r="D101" s="903" t="s">
        <v>17</v>
      </c>
      <c r="E101" s="904">
        <f>SUM(E102:E105)</f>
        <v>240</v>
      </c>
      <c r="F101" s="905">
        <f>salaries!H48</f>
        <v>21</v>
      </c>
      <c r="G101" s="904">
        <f>F101*E101</f>
        <v>5040</v>
      </c>
      <c r="H101" s="906"/>
      <c r="I101" s="2382"/>
      <c r="J101"/>
      <c r="K101"/>
    </row>
    <row r="102" spans="1:11" x14ac:dyDescent="0.2">
      <c r="A102" s="907"/>
      <c r="B102" s="908"/>
      <c r="C102" s="909" t="s">
        <v>535</v>
      </c>
      <c r="D102" s="908"/>
      <c r="E102" s="910">
        <v>40</v>
      </c>
      <c r="F102" s="911"/>
      <c r="G102" s="910"/>
      <c r="H102" s="911"/>
      <c r="I102" s="2382"/>
      <c r="J102"/>
      <c r="K102"/>
    </row>
    <row r="103" spans="1:11" x14ac:dyDescent="0.2">
      <c r="A103" s="907"/>
      <c r="B103" s="908"/>
      <c r="C103" s="912" t="s">
        <v>536</v>
      </c>
      <c r="D103" s="908"/>
      <c r="E103" s="910">
        <v>80</v>
      </c>
      <c r="F103" s="911"/>
      <c r="G103" s="910"/>
      <c r="H103" s="911"/>
      <c r="I103" s="2383"/>
      <c r="J103"/>
      <c r="K103"/>
    </row>
    <row r="104" spans="1:11" x14ac:dyDescent="0.2">
      <c r="A104" s="907"/>
      <c r="B104" s="908"/>
      <c r="C104" s="909" t="s">
        <v>550</v>
      </c>
      <c r="D104" s="908"/>
      <c r="E104" s="910">
        <v>80</v>
      </c>
      <c r="F104" s="911"/>
      <c r="G104" s="910"/>
      <c r="H104" s="911"/>
      <c r="I104" s="2382"/>
      <c r="J104"/>
      <c r="K104"/>
    </row>
    <row r="105" spans="1:11" x14ac:dyDescent="0.2">
      <c r="A105" s="907"/>
      <c r="B105" s="908"/>
      <c r="C105" s="909" t="s">
        <v>551</v>
      </c>
      <c r="D105" s="908"/>
      <c r="E105" s="910">
        <v>40</v>
      </c>
      <c r="F105" s="911"/>
      <c r="G105" s="910"/>
      <c r="H105" s="911"/>
      <c r="I105" s="2382"/>
      <c r="J105"/>
      <c r="K105"/>
    </row>
    <row r="106" spans="1:11" s="68" customFormat="1" x14ac:dyDescent="0.2">
      <c r="A106" s="913"/>
      <c r="B106" s="908" t="s">
        <v>232</v>
      </c>
      <c r="C106" s="916" t="s">
        <v>324</v>
      </c>
      <c r="D106" s="917" t="s">
        <v>17</v>
      </c>
      <c r="E106" s="915">
        <f>SUM(E107:E108)</f>
        <v>160</v>
      </c>
      <c r="F106" s="914">
        <f>salaries!H47</f>
        <v>11</v>
      </c>
      <c r="G106" s="915">
        <f>F106*E106</f>
        <v>1760</v>
      </c>
      <c r="H106" s="914"/>
      <c r="I106" s="2471"/>
    </row>
    <row r="107" spans="1:11" s="68" customFormat="1" x14ac:dyDescent="0.2">
      <c r="A107" s="913"/>
      <c r="B107" s="908"/>
      <c r="C107" s="909" t="s">
        <v>552</v>
      </c>
      <c r="D107" s="908"/>
      <c r="E107" s="910">
        <v>80</v>
      </c>
      <c r="F107" s="914"/>
      <c r="G107" s="915"/>
      <c r="H107" s="914"/>
      <c r="I107" s="2471"/>
    </row>
    <row r="108" spans="1:11" s="68" customFormat="1" x14ac:dyDescent="0.2">
      <c r="A108" s="918"/>
      <c r="B108" s="919"/>
      <c r="C108" s="920" t="s">
        <v>553</v>
      </c>
      <c r="D108" s="919"/>
      <c r="E108" s="921">
        <v>80</v>
      </c>
      <c r="F108" s="922"/>
      <c r="G108" s="921"/>
      <c r="H108" s="922">
        <f>SUM(G101:G108)</f>
        <v>6800</v>
      </c>
      <c r="I108" s="2382"/>
    </row>
    <row r="109" spans="1:11" s="68" customFormat="1" x14ac:dyDescent="0.2">
      <c r="A109" s="952" t="s">
        <v>411</v>
      </c>
      <c r="B109" s="901" t="s">
        <v>242</v>
      </c>
      <c r="C109" s="954" t="s">
        <v>324</v>
      </c>
      <c r="D109" s="955" t="s">
        <v>17</v>
      </c>
      <c r="E109" s="956">
        <f>SUM(E110:E111)</f>
        <v>104</v>
      </c>
      <c r="F109" s="957">
        <f>salaries!H53</f>
        <v>18</v>
      </c>
      <c r="G109" s="956">
        <f>F109*E109</f>
        <v>1872</v>
      </c>
      <c r="H109" s="958"/>
      <c r="I109" s="2382"/>
    </row>
    <row r="110" spans="1:11" s="68" customFormat="1" x14ac:dyDescent="0.2">
      <c r="A110" s="923"/>
      <c r="B110" s="924"/>
      <c r="C110" s="930" t="s">
        <v>536</v>
      </c>
      <c r="D110" s="924"/>
      <c r="E110" s="931">
        <v>80</v>
      </c>
      <c r="F110" s="929"/>
      <c r="G110" s="931"/>
      <c r="H110" s="929"/>
      <c r="I110" s="2382"/>
    </row>
    <row r="111" spans="1:11" s="68" customFormat="1" x14ac:dyDescent="0.2">
      <c r="A111" s="959"/>
      <c r="B111" s="934"/>
      <c r="C111" s="933" t="s">
        <v>600</v>
      </c>
      <c r="D111" s="934"/>
      <c r="E111" s="935">
        <v>24</v>
      </c>
      <c r="F111" s="960"/>
      <c r="G111" s="935"/>
      <c r="H111" s="960">
        <f>SUM(G109:G111)</f>
        <v>1872</v>
      </c>
      <c r="I111" s="2382"/>
    </row>
    <row r="112" spans="1:11" s="68" customFormat="1" x14ac:dyDescent="0.2">
      <c r="A112" s="961" t="s">
        <v>412</v>
      </c>
      <c r="B112" s="968" t="s">
        <v>236</v>
      </c>
      <c r="C112" s="938" t="s">
        <v>324</v>
      </c>
      <c r="D112" s="939" t="s">
        <v>17</v>
      </c>
      <c r="E112" s="940">
        <f>SUM(E113:E116)</f>
        <v>240</v>
      </c>
      <c r="F112" s="962">
        <f>salaries!H55</f>
        <v>21</v>
      </c>
      <c r="G112" s="940">
        <f>F112*E112</f>
        <v>5040</v>
      </c>
      <c r="H112" s="963"/>
      <c r="I112" s="2382"/>
    </row>
    <row r="113" spans="1:11" s="68" customFormat="1" x14ac:dyDescent="0.2">
      <c r="A113" s="936"/>
      <c r="B113" s="944"/>
      <c r="C113" s="945" t="s">
        <v>535</v>
      </c>
      <c r="D113" s="937"/>
      <c r="E113" s="946">
        <v>40</v>
      </c>
      <c r="F113" s="941"/>
      <c r="G113" s="942"/>
      <c r="H113" s="943"/>
      <c r="I113" s="2382"/>
    </row>
    <row r="114" spans="1:11" s="68" customFormat="1" x14ac:dyDescent="0.2">
      <c r="A114" s="936"/>
      <c r="B114" s="944"/>
      <c r="C114" s="945" t="s">
        <v>536</v>
      </c>
      <c r="D114" s="937"/>
      <c r="E114" s="946">
        <v>80</v>
      </c>
      <c r="F114" s="941"/>
      <c r="G114" s="942"/>
      <c r="H114" s="943"/>
      <c r="I114" s="2382"/>
    </row>
    <row r="115" spans="1:11" s="68" customFormat="1" x14ac:dyDescent="0.2">
      <c r="A115" s="936"/>
      <c r="B115" s="944"/>
      <c r="C115" s="945" t="s">
        <v>550</v>
      </c>
      <c r="D115" s="937"/>
      <c r="E115" s="946">
        <v>80</v>
      </c>
      <c r="F115" s="941"/>
      <c r="G115" s="942"/>
      <c r="H115" s="943"/>
      <c r="I115" s="2382"/>
    </row>
    <row r="116" spans="1:11" s="68" customFormat="1" x14ac:dyDescent="0.2">
      <c r="A116" s="936"/>
      <c r="B116" s="944"/>
      <c r="C116" s="945" t="s">
        <v>551</v>
      </c>
      <c r="D116" s="937"/>
      <c r="E116" s="946">
        <v>40</v>
      </c>
      <c r="F116" s="941"/>
      <c r="G116" s="942"/>
      <c r="H116" s="943"/>
      <c r="I116" s="2382"/>
    </row>
    <row r="117" spans="1:11" s="68" customFormat="1" x14ac:dyDescent="0.2">
      <c r="A117" s="936"/>
      <c r="B117" s="944" t="s">
        <v>237</v>
      </c>
      <c r="C117" s="948" t="s">
        <v>324</v>
      </c>
      <c r="D117" s="937" t="s">
        <v>17</v>
      </c>
      <c r="E117" s="942">
        <f>SUM(E118:E119)</f>
        <v>160</v>
      </c>
      <c r="F117" s="941">
        <f>salaries!H56</f>
        <v>20</v>
      </c>
      <c r="G117" s="942">
        <f>F117*E117</f>
        <v>3200</v>
      </c>
      <c r="H117" s="943"/>
      <c r="I117" s="2382"/>
    </row>
    <row r="118" spans="1:11" s="68" customFormat="1" x14ac:dyDescent="0.2">
      <c r="A118" s="936"/>
      <c r="B118" s="944"/>
      <c r="C118" s="945" t="s">
        <v>552</v>
      </c>
      <c r="D118" s="937"/>
      <c r="E118" s="946">
        <v>80</v>
      </c>
      <c r="F118" s="941"/>
      <c r="G118" s="942"/>
      <c r="H118" s="943"/>
      <c r="I118" s="2382"/>
    </row>
    <row r="119" spans="1:11" s="68" customFormat="1" x14ac:dyDescent="0.2">
      <c r="A119" s="964"/>
      <c r="B119" s="950"/>
      <c r="C119" s="949" t="s">
        <v>553</v>
      </c>
      <c r="D119" s="950"/>
      <c r="E119" s="951">
        <v>80</v>
      </c>
      <c r="F119" s="965"/>
      <c r="G119" s="951"/>
      <c r="H119" s="965">
        <f>SUM(G112:G119)</f>
        <v>8240</v>
      </c>
      <c r="I119" s="2382"/>
    </row>
    <row r="120" spans="1:11" x14ac:dyDescent="0.2">
      <c r="A120" s="977" t="s">
        <v>413</v>
      </c>
      <c r="B120" s="978" t="s">
        <v>244</v>
      </c>
      <c r="C120" s="979" t="s">
        <v>329</v>
      </c>
      <c r="D120" s="980" t="s">
        <v>17</v>
      </c>
      <c r="E120" s="981">
        <f>SUM(E121:E122)</f>
        <v>80</v>
      </c>
      <c r="F120" s="982">
        <f>salaries!H59</f>
        <v>27</v>
      </c>
      <c r="G120" s="981">
        <f>F120*E120</f>
        <v>2160</v>
      </c>
      <c r="H120" s="982"/>
      <c r="I120" s="2382"/>
      <c r="J120"/>
      <c r="K120"/>
    </row>
    <row r="121" spans="1:11" x14ac:dyDescent="0.2">
      <c r="A121" s="969"/>
      <c r="B121" s="970"/>
      <c r="C121" s="983" t="s">
        <v>555</v>
      </c>
      <c r="D121" s="973"/>
      <c r="E121" s="974">
        <v>40</v>
      </c>
      <c r="F121" s="972"/>
      <c r="G121" s="971"/>
      <c r="H121" s="975"/>
      <c r="I121" s="2382"/>
      <c r="J121"/>
      <c r="K121"/>
    </row>
    <row r="122" spans="1:11" x14ac:dyDescent="0.2">
      <c r="A122" s="985"/>
      <c r="B122" s="986"/>
      <c r="C122" s="987" t="s">
        <v>600</v>
      </c>
      <c r="D122" s="986"/>
      <c r="E122" s="988">
        <v>40</v>
      </c>
      <c r="F122" s="989"/>
      <c r="G122" s="988"/>
      <c r="H122" s="989">
        <f>SUM(G120:G122)</f>
        <v>2160</v>
      </c>
      <c r="I122" s="2382"/>
      <c r="J122"/>
      <c r="K122"/>
    </row>
    <row r="123" spans="1:11" x14ac:dyDescent="0.2">
      <c r="A123" s="999" t="s">
        <v>414</v>
      </c>
      <c r="B123" s="1000" t="s">
        <v>248</v>
      </c>
      <c r="C123" s="1001" t="s">
        <v>329</v>
      </c>
      <c r="D123" s="1002" t="s">
        <v>17</v>
      </c>
      <c r="E123" s="1003">
        <f>SUM(E124:E125)</f>
        <v>80</v>
      </c>
      <c r="F123" s="1004">
        <f>salaries!H63</f>
        <v>19</v>
      </c>
      <c r="G123" s="1003">
        <f>F123*E123</f>
        <v>1520</v>
      </c>
      <c r="H123" s="1005"/>
      <c r="I123" s="2382"/>
      <c r="J123"/>
      <c r="K123"/>
    </row>
    <row r="124" spans="1:11" x14ac:dyDescent="0.2">
      <c r="A124" s="990"/>
      <c r="B124" s="996"/>
      <c r="C124" s="997" t="s">
        <v>555</v>
      </c>
      <c r="D124" s="996"/>
      <c r="E124" s="998">
        <v>40</v>
      </c>
      <c r="F124" s="995"/>
      <c r="G124" s="998"/>
      <c r="H124" s="995"/>
      <c r="I124" s="2382"/>
      <c r="J124"/>
      <c r="K124"/>
    </row>
    <row r="125" spans="1:11" x14ac:dyDescent="0.2">
      <c r="A125" s="1006"/>
      <c r="B125" s="1007"/>
      <c r="C125" s="1008" t="s">
        <v>600</v>
      </c>
      <c r="D125" s="1007"/>
      <c r="E125" s="1009">
        <v>40</v>
      </c>
      <c r="F125" s="1010"/>
      <c r="G125" s="1009"/>
      <c r="H125" s="1010">
        <f>SUM(G123:G125)</f>
        <v>1520</v>
      </c>
      <c r="I125" s="2382"/>
      <c r="J125"/>
      <c r="K125"/>
    </row>
    <row r="126" spans="1:11" s="47" customFormat="1" x14ac:dyDescent="0.2">
      <c r="A126" s="1061" t="s">
        <v>415</v>
      </c>
      <c r="B126" s="1062" t="s">
        <v>253</v>
      </c>
      <c r="C126" s="1063" t="s">
        <v>329</v>
      </c>
      <c r="D126" s="1064" t="s">
        <v>17</v>
      </c>
      <c r="E126" s="1065">
        <f>SUM(E127:E128)</f>
        <v>80</v>
      </c>
      <c r="F126" s="1066">
        <f>salaries!H68</f>
        <v>24</v>
      </c>
      <c r="G126" s="1065">
        <f>F126*E126</f>
        <v>1920</v>
      </c>
      <c r="H126" s="1067"/>
      <c r="I126" s="2382"/>
    </row>
    <row r="127" spans="1:11" s="47" customFormat="1" x14ac:dyDescent="0.2">
      <c r="A127" s="1011"/>
      <c r="B127" s="1012"/>
      <c r="C127" s="1015" t="s">
        <v>555</v>
      </c>
      <c r="D127" s="1012"/>
      <c r="E127" s="1016">
        <v>40</v>
      </c>
      <c r="F127" s="1014"/>
      <c r="G127" s="1016"/>
      <c r="H127" s="1013"/>
      <c r="I127" s="2382"/>
    </row>
    <row r="128" spans="1:11" s="47" customFormat="1" x14ac:dyDescent="0.2">
      <c r="A128" s="1068"/>
      <c r="B128" s="1069"/>
      <c r="C128" s="1070" t="s">
        <v>600</v>
      </c>
      <c r="D128" s="1069"/>
      <c r="E128" s="1071">
        <v>40</v>
      </c>
      <c r="F128" s="1072"/>
      <c r="G128" s="1071"/>
      <c r="H128" s="1072">
        <f>SUM(G126:G128)</f>
        <v>1920</v>
      </c>
      <c r="I128" s="2382"/>
    </row>
    <row r="129" spans="1:9" s="47" customFormat="1" x14ac:dyDescent="0.2">
      <c r="A129" s="1017" t="s">
        <v>416</v>
      </c>
      <c r="B129" s="1018" t="s">
        <v>255</v>
      </c>
      <c r="C129" s="1019" t="s">
        <v>324</v>
      </c>
      <c r="D129" s="1020" t="s">
        <v>17</v>
      </c>
      <c r="E129" s="1021">
        <f>SUM(E130:E131)</f>
        <v>80</v>
      </c>
      <c r="F129" s="1022">
        <f>salaries!H72</f>
        <v>24</v>
      </c>
      <c r="G129" s="1021">
        <f>F129*E129</f>
        <v>1920</v>
      </c>
      <c r="H129" s="1023"/>
      <c r="I129" s="2382"/>
    </row>
    <row r="130" spans="1:9" s="47" customFormat="1" x14ac:dyDescent="0.2">
      <c r="A130" s="1017"/>
      <c r="B130" s="1018"/>
      <c r="C130" s="1024" t="s">
        <v>555</v>
      </c>
      <c r="D130" s="1018"/>
      <c r="E130" s="1025">
        <v>40</v>
      </c>
      <c r="F130" s="1023"/>
      <c r="G130" s="1025"/>
      <c r="H130" s="1022"/>
      <c r="I130" s="2382"/>
    </row>
    <row r="131" spans="1:9" s="47" customFormat="1" x14ac:dyDescent="0.2">
      <c r="A131" s="1056"/>
      <c r="B131" s="1057"/>
      <c r="C131" s="1058" t="s">
        <v>600</v>
      </c>
      <c r="D131" s="1057"/>
      <c r="E131" s="1059">
        <v>40</v>
      </c>
      <c r="F131" s="1060"/>
      <c r="G131" s="1059"/>
      <c r="H131" s="1060">
        <f>SUM(G129:G131)</f>
        <v>1920</v>
      </c>
      <c r="I131" s="2382"/>
    </row>
    <row r="132" spans="1:9" s="47" customFormat="1" x14ac:dyDescent="0.2">
      <c r="A132" s="1026" t="s">
        <v>417</v>
      </c>
      <c r="B132" s="1027" t="s">
        <v>914</v>
      </c>
      <c r="C132" s="1028" t="s">
        <v>324</v>
      </c>
      <c r="D132" s="1029" t="s">
        <v>17</v>
      </c>
      <c r="E132" s="1030">
        <f>SUM(E133:E134)</f>
        <v>80</v>
      </c>
      <c r="F132" s="1031">
        <f>salaries!H80</f>
        <v>9</v>
      </c>
      <c r="G132" s="1030">
        <f>F132*E132</f>
        <v>720</v>
      </c>
      <c r="H132" s="1032"/>
      <c r="I132" s="2382"/>
    </row>
    <row r="133" spans="1:9" s="47" customFormat="1" x14ac:dyDescent="0.2">
      <c r="A133" s="1026"/>
      <c r="B133" s="1027"/>
      <c r="C133" s="1033" t="s">
        <v>555</v>
      </c>
      <c r="D133" s="1027"/>
      <c r="E133" s="1034">
        <v>40</v>
      </c>
      <c r="F133" s="1032"/>
      <c r="G133" s="1034"/>
      <c r="H133" s="1031"/>
      <c r="I133" s="2382"/>
    </row>
    <row r="134" spans="1:9" s="47" customFormat="1" x14ac:dyDescent="0.2">
      <c r="A134" s="1026"/>
      <c r="B134" s="1027"/>
      <c r="C134" s="1033" t="s">
        <v>600</v>
      </c>
      <c r="D134" s="1027"/>
      <c r="E134" s="1034">
        <v>40</v>
      </c>
      <c r="F134" s="1032"/>
      <c r="G134" s="1034"/>
      <c r="H134" s="1032">
        <f>SUM(G132:G134)</f>
        <v>720</v>
      </c>
      <c r="I134" s="2382"/>
    </row>
    <row r="135" spans="1:9" s="47" customFormat="1" x14ac:dyDescent="0.2">
      <c r="A135" s="1500" t="s">
        <v>418</v>
      </c>
      <c r="B135" s="1517" t="s">
        <v>259</v>
      </c>
      <c r="C135" s="1783" t="s">
        <v>788</v>
      </c>
      <c r="D135" s="1784" t="s">
        <v>17</v>
      </c>
      <c r="E135" s="1785">
        <f>SUM(E136:E142)</f>
        <v>620</v>
      </c>
      <c r="F135" s="1786">
        <f>salaries!H81</f>
        <v>33</v>
      </c>
      <c r="G135" s="1786">
        <f>F135*E135</f>
        <v>20460</v>
      </c>
      <c r="H135" s="1788"/>
      <c r="I135" s="2496"/>
    </row>
    <row r="136" spans="1:9" s="47" customFormat="1" ht="22.5" x14ac:dyDescent="0.2">
      <c r="A136" s="1042"/>
      <c r="B136" s="1043"/>
      <c r="C136" s="2059" t="s">
        <v>945</v>
      </c>
      <c r="D136" s="1045"/>
      <c r="E136" s="1050">
        <v>180</v>
      </c>
      <c r="F136" s="1047"/>
      <c r="G136" s="1047"/>
      <c r="H136" s="1244"/>
      <c r="I136" s="2382"/>
    </row>
    <row r="137" spans="1:9" s="47" customFormat="1" x14ac:dyDescent="0.2">
      <c r="A137" s="1042"/>
      <c r="B137" s="1043"/>
      <c r="C137" s="1049" t="s">
        <v>789</v>
      </c>
      <c r="D137" s="1043"/>
      <c r="E137" s="1050">
        <v>80</v>
      </c>
      <c r="F137" s="1048"/>
      <c r="G137" s="1048"/>
      <c r="H137" s="1244"/>
      <c r="I137" s="2382"/>
    </row>
    <row r="138" spans="1:9" s="47" customFormat="1" x14ac:dyDescent="0.2">
      <c r="A138" s="1042"/>
      <c r="B138" s="1043"/>
      <c r="C138" s="1049" t="s">
        <v>529</v>
      </c>
      <c r="D138" s="1045"/>
      <c r="E138" s="1050">
        <v>80</v>
      </c>
      <c r="F138" s="1047"/>
      <c r="G138" s="1047"/>
      <c r="H138" s="1244"/>
      <c r="I138" s="2382"/>
    </row>
    <row r="139" spans="1:9" s="47" customFormat="1" x14ac:dyDescent="0.2">
      <c r="A139" s="1042"/>
      <c r="B139" s="1043"/>
      <c r="C139" s="1049" t="s">
        <v>623</v>
      </c>
      <c r="D139" s="1045"/>
      <c r="E139" s="1050">
        <v>80</v>
      </c>
      <c r="F139" s="1047"/>
      <c r="G139" s="1047"/>
      <c r="H139" s="1244"/>
      <c r="I139" s="2382"/>
    </row>
    <row r="140" spans="1:9" s="47" customFormat="1" x14ac:dyDescent="0.2">
      <c r="A140" s="1042"/>
      <c r="B140" s="1043"/>
      <c r="C140" s="1049" t="s">
        <v>550</v>
      </c>
      <c r="D140" s="1045"/>
      <c r="E140" s="1050">
        <v>80</v>
      </c>
      <c r="F140" s="1047"/>
      <c r="G140" s="1047"/>
      <c r="H140" s="1244"/>
      <c r="I140" s="2382"/>
    </row>
    <row r="141" spans="1:9" s="47" customFormat="1" x14ac:dyDescent="0.2">
      <c r="A141" s="1042"/>
      <c r="B141" s="1043"/>
      <c r="C141" s="1049" t="s">
        <v>551</v>
      </c>
      <c r="D141" s="1045"/>
      <c r="E141" s="1050">
        <v>40</v>
      </c>
      <c r="F141" s="1047"/>
      <c r="G141" s="1047"/>
      <c r="H141" s="1244"/>
      <c r="I141" s="2382"/>
    </row>
    <row r="142" spans="1:9" s="47" customFormat="1" x14ac:dyDescent="0.2">
      <c r="A142" s="1042"/>
      <c r="B142" s="1043"/>
      <c r="C142" s="1049" t="s">
        <v>536</v>
      </c>
      <c r="D142" s="1045"/>
      <c r="E142" s="1050">
        <v>80</v>
      </c>
      <c r="F142" s="1047"/>
      <c r="G142" s="1047"/>
      <c r="H142" s="1244"/>
      <c r="I142" s="2382"/>
    </row>
    <row r="143" spans="1:9" s="47" customFormat="1" x14ac:dyDescent="0.2">
      <c r="A143" s="1042"/>
      <c r="B143" s="1043" t="s">
        <v>261</v>
      </c>
      <c r="C143" s="1157" t="s">
        <v>329</v>
      </c>
      <c r="D143" s="1158" t="s">
        <v>17</v>
      </c>
      <c r="E143" s="1159">
        <f>SUM(E144:E147)</f>
        <v>280</v>
      </c>
      <c r="F143" s="1160">
        <f>salaries!H83</f>
        <v>23</v>
      </c>
      <c r="G143" s="1160">
        <f>F143*E143</f>
        <v>6440</v>
      </c>
      <c r="H143" s="1244"/>
      <c r="I143" s="2382"/>
    </row>
    <row r="144" spans="1:9" s="47" customFormat="1" x14ac:dyDescent="0.2">
      <c r="A144" s="1042"/>
      <c r="B144" s="1043"/>
      <c r="C144" s="1049" t="s">
        <v>941</v>
      </c>
      <c r="D144" s="1158"/>
      <c r="E144" s="1050">
        <v>80</v>
      </c>
      <c r="F144" s="1160"/>
      <c r="G144" s="1160"/>
      <c r="H144" s="1244"/>
      <c r="I144" s="2382"/>
    </row>
    <row r="145" spans="1:9" s="47" customFormat="1" x14ac:dyDescent="0.2">
      <c r="A145" s="1042"/>
      <c r="B145" s="1043"/>
      <c r="C145" s="1049" t="s">
        <v>535</v>
      </c>
      <c r="D145" s="1158"/>
      <c r="E145" s="1050">
        <v>40</v>
      </c>
      <c r="F145" s="1160"/>
      <c r="G145" s="1160"/>
      <c r="H145" s="1244"/>
      <c r="I145" s="2382"/>
    </row>
    <row r="146" spans="1:9" s="47" customFormat="1" x14ac:dyDescent="0.2">
      <c r="A146" s="1042"/>
      <c r="B146" s="1043"/>
      <c r="C146" s="1049" t="s">
        <v>552</v>
      </c>
      <c r="D146" s="1045"/>
      <c r="E146" s="1050">
        <v>80</v>
      </c>
      <c r="F146" s="1047"/>
      <c r="G146" s="1047"/>
      <c r="H146" s="1244"/>
      <c r="I146" s="2382"/>
    </row>
    <row r="147" spans="1:9" s="47" customFormat="1" x14ac:dyDescent="0.2">
      <c r="A147" s="1051"/>
      <c r="B147" s="1052"/>
      <c r="C147" s="1053" t="s">
        <v>601</v>
      </c>
      <c r="D147" s="1052"/>
      <c r="E147" s="1054">
        <v>80</v>
      </c>
      <c r="F147" s="1055"/>
      <c r="G147" s="1055"/>
      <c r="H147" s="1789">
        <f>SUM(G135:G147)</f>
        <v>26900</v>
      </c>
      <c r="I147" s="2382"/>
    </row>
    <row r="148" spans="1:9" s="47" customFormat="1" x14ac:dyDescent="0.2">
      <c r="A148" s="1073" t="s">
        <v>419</v>
      </c>
      <c r="B148" s="1074" t="s">
        <v>263</v>
      </c>
      <c r="C148" s="1075" t="s">
        <v>324</v>
      </c>
      <c r="D148" s="1076" t="s">
        <v>17</v>
      </c>
      <c r="E148" s="1077">
        <f>SUM(E149:E150)</f>
        <v>80</v>
      </c>
      <c r="F148" s="1078">
        <f>salaries!H85</f>
        <v>18</v>
      </c>
      <c r="G148" s="1077">
        <f>F148*E148</f>
        <v>1440</v>
      </c>
      <c r="H148" s="1079"/>
      <c r="I148" s="2382"/>
    </row>
    <row r="149" spans="1:9" s="47" customFormat="1" x14ac:dyDescent="0.2">
      <c r="A149" s="1080"/>
      <c r="B149" s="1081"/>
      <c r="C149" s="1082" t="s">
        <v>555</v>
      </c>
      <c r="D149" s="1419"/>
      <c r="E149" s="1083">
        <v>40</v>
      </c>
      <c r="F149" s="1421"/>
      <c r="G149" s="1420"/>
      <c r="H149" s="1084"/>
      <c r="I149" s="2382"/>
    </row>
    <row r="150" spans="1:9" s="47" customFormat="1" x14ac:dyDescent="0.2">
      <c r="A150" s="1085"/>
      <c r="B150" s="1086"/>
      <c r="C150" s="1087" t="s">
        <v>600</v>
      </c>
      <c r="D150" s="1086"/>
      <c r="E150" s="1088">
        <v>40</v>
      </c>
      <c r="F150" s="1089"/>
      <c r="G150" s="1088"/>
      <c r="H150" s="1089">
        <f>SUM(G148:G150)</f>
        <v>1440</v>
      </c>
      <c r="I150" s="2382"/>
    </row>
    <row r="151" spans="1:9" s="47" customFormat="1" x14ac:dyDescent="0.2">
      <c r="A151" s="1090" t="s">
        <v>420</v>
      </c>
      <c r="B151" s="1091" t="s">
        <v>267</v>
      </c>
      <c r="C151" s="1092" t="s">
        <v>324</v>
      </c>
      <c r="D151" s="1093" t="s">
        <v>17</v>
      </c>
      <c r="E151" s="1094">
        <f>SUM(E152:E153)</f>
        <v>80</v>
      </c>
      <c r="F151" s="1095">
        <f>salaries!H89</f>
        <v>18</v>
      </c>
      <c r="G151" s="1094">
        <f>F151*E151</f>
        <v>1440</v>
      </c>
      <c r="H151" s="1096"/>
      <c r="I151" s="2382"/>
    </row>
    <row r="152" spans="1:9" s="47" customFormat="1" x14ac:dyDescent="0.2">
      <c r="A152" s="1097"/>
      <c r="B152" s="1098"/>
      <c r="C152" s="1099" t="s">
        <v>555</v>
      </c>
      <c r="D152" s="1423"/>
      <c r="E152" s="1100">
        <v>40</v>
      </c>
      <c r="F152" s="1425"/>
      <c r="G152" s="1424"/>
      <c r="H152" s="1101"/>
      <c r="I152" s="2382"/>
    </row>
    <row r="153" spans="1:9" s="47" customFormat="1" x14ac:dyDescent="0.2">
      <c r="A153" s="1102"/>
      <c r="B153" s="1103"/>
      <c r="C153" s="1104" t="s">
        <v>586</v>
      </c>
      <c r="D153" s="1103"/>
      <c r="E153" s="1105">
        <v>40</v>
      </c>
      <c r="F153" s="1106"/>
      <c r="G153" s="1105"/>
      <c r="H153" s="1106">
        <f>SUM(G151:G153)</f>
        <v>1440</v>
      </c>
      <c r="I153" s="2382"/>
    </row>
    <row r="154" spans="1:9" s="47" customFormat="1" x14ac:dyDescent="0.2">
      <c r="A154" s="1107" t="s">
        <v>949</v>
      </c>
      <c r="B154" s="1108" t="s">
        <v>271</v>
      </c>
      <c r="C154" s="1109" t="s">
        <v>324</v>
      </c>
      <c r="D154" s="1110" t="s">
        <v>17</v>
      </c>
      <c r="E154" s="1111">
        <f>SUM(E155:E156)</f>
        <v>24</v>
      </c>
      <c r="F154" s="1112">
        <f>salaries!H93</f>
        <v>52</v>
      </c>
      <c r="G154" s="1111">
        <f>F154*E154</f>
        <v>1248</v>
      </c>
      <c r="H154" s="1113"/>
      <c r="I154" s="2382"/>
    </row>
    <row r="155" spans="1:9" s="47" customFormat="1" x14ac:dyDescent="0.2">
      <c r="A155" s="1114"/>
      <c r="B155" s="1115"/>
      <c r="C155" s="1116" t="s">
        <v>555</v>
      </c>
      <c r="D155" s="1426"/>
      <c r="E155" s="1117">
        <v>24</v>
      </c>
      <c r="F155" s="1428"/>
      <c r="G155" s="1427"/>
      <c r="H155" s="1118"/>
      <c r="I155" s="2382"/>
    </row>
    <row r="156" spans="1:9" s="47" customFormat="1" x14ac:dyDescent="0.2">
      <c r="A156" s="1119"/>
      <c r="B156" s="1120"/>
      <c r="C156" s="1121" t="s">
        <v>600</v>
      </c>
      <c r="D156" s="1120"/>
      <c r="E156" s="1122">
        <v>0</v>
      </c>
      <c r="F156" s="1123"/>
      <c r="G156" s="1122"/>
      <c r="H156" s="1123">
        <f>SUM(G154:G156)</f>
        <v>1248</v>
      </c>
      <c r="I156" s="2382"/>
    </row>
    <row r="157" spans="1:9" s="47" customFormat="1" x14ac:dyDescent="0.2">
      <c r="A157" s="1124" t="s">
        <v>421</v>
      </c>
      <c r="B157" s="1125" t="s">
        <v>275</v>
      </c>
      <c r="C157" s="1126" t="s">
        <v>324</v>
      </c>
      <c r="D157" s="1127" t="s">
        <v>17</v>
      </c>
      <c r="E157" s="1128">
        <f>SUM(E158:E159)</f>
        <v>80</v>
      </c>
      <c r="F157" s="1129">
        <f>salaries!H97</f>
        <v>25</v>
      </c>
      <c r="G157" s="1128">
        <f>F157*E157</f>
        <v>2000</v>
      </c>
      <c r="H157" s="1130"/>
      <c r="I157" s="2382"/>
    </row>
    <row r="158" spans="1:9" s="47" customFormat="1" x14ac:dyDescent="0.2">
      <c r="A158" s="1131"/>
      <c r="B158" s="1132"/>
      <c r="C158" s="1133" t="s">
        <v>555</v>
      </c>
      <c r="D158" s="1429"/>
      <c r="E158" s="1134">
        <v>40</v>
      </c>
      <c r="F158" s="1136"/>
      <c r="G158" s="1430"/>
      <c r="H158" s="1135"/>
      <c r="I158" s="2382"/>
    </row>
    <row r="159" spans="1:9" s="47" customFormat="1" x14ac:dyDescent="0.2">
      <c r="A159" s="1137"/>
      <c r="B159" s="1138"/>
      <c r="C159" s="1139" t="s">
        <v>600</v>
      </c>
      <c r="D159" s="1138"/>
      <c r="E159" s="1140">
        <v>40</v>
      </c>
      <c r="F159" s="1141"/>
      <c r="G159" s="1140"/>
      <c r="H159" s="1141">
        <f>SUM(G157:G159)</f>
        <v>2000</v>
      </c>
      <c r="I159" s="2382"/>
    </row>
    <row r="160" spans="1:9" s="47" customFormat="1" x14ac:dyDescent="0.2">
      <c r="A160" s="548" t="s">
        <v>422</v>
      </c>
      <c r="B160" s="549" t="s">
        <v>279</v>
      </c>
      <c r="C160" s="555" t="s">
        <v>324</v>
      </c>
      <c r="D160" s="550" t="s">
        <v>17</v>
      </c>
      <c r="E160" s="551">
        <f>SUM(E161:E162)</f>
        <v>80</v>
      </c>
      <c r="F160" s="552">
        <f>salaries!H101</f>
        <v>17</v>
      </c>
      <c r="G160" s="551">
        <f>F160*E160</f>
        <v>1360</v>
      </c>
      <c r="H160" s="553"/>
      <c r="I160" s="2382"/>
    </row>
    <row r="161" spans="1:11" s="47" customFormat="1" x14ac:dyDescent="0.2">
      <c r="A161" s="548"/>
      <c r="B161" s="549"/>
      <c r="C161" s="556" t="s">
        <v>555</v>
      </c>
      <c r="D161" s="550"/>
      <c r="E161" s="554">
        <v>40</v>
      </c>
      <c r="F161" s="552"/>
      <c r="G161" s="551"/>
      <c r="H161" s="553"/>
      <c r="I161" s="2382"/>
    </row>
    <row r="162" spans="1:11" s="47" customFormat="1" x14ac:dyDescent="0.2">
      <c r="A162" s="548"/>
      <c r="B162" s="549"/>
      <c r="C162" s="556" t="s">
        <v>600</v>
      </c>
      <c r="D162" s="549"/>
      <c r="E162" s="554">
        <v>40</v>
      </c>
      <c r="F162" s="553"/>
      <c r="G162" s="554"/>
      <c r="H162" s="553">
        <f>SUM(G160:G162)</f>
        <v>1360</v>
      </c>
      <c r="I162" s="2382"/>
    </row>
    <row r="163" spans="1:11" s="47" customFormat="1" x14ac:dyDescent="0.2">
      <c r="A163" s="2132" t="s">
        <v>950</v>
      </c>
      <c r="B163" s="2133" t="s">
        <v>284</v>
      </c>
      <c r="C163" s="2134" t="s">
        <v>324</v>
      </c>
      <c r="D163" s="2135" t="s">
        <v>17</v>
      </c>
      <c r="E163" s="2136">
        <f>SUM(E164:E165)</f>
        <v>80</v>
      </c>
      <c r="F163" s="2137">
        <f>salaries!H106</f>
        <v>0</v>
      </c>
      <c r="G163" s="2136">
        <f>F163*E163</f>
        <v>0</v>
      </c>
      <c r="H163" s="2138"/>
      <c r="I163" s="2382"/>
    </row>
    <row r="164" spans="1:11" s="47" customFormat="1" x14ac:dyDescent="0.2">
      <c r="A164" s="2081"/>
      <c r="B164" s="2082"/>
      <c r="C164" s="2088" t="s">
        <v>555</v>
      </c>
      <c r="D164" s="2084"/>
      <c r="E164" s="2089">
        <v>40</v>
      </c>
      <c r="F164" s="2086"/>
      <c r="G164" s="2085"/>
      <c r="H164" s="2087"/>
      <c r="I164" s="2382"/>
    </row>
    <row r="165" spans="1:11" s="47" customFormat="1" x14ac:dyDescent="0.2">
      <c r="A165" s="2139"/>
      <c r="B165" s="2140"/>
      <c r="C165" s="2141" t="s">
        <v>600</v>
      </c>
      <c r="D165" s="2140"/>
      <c r="E165" s="2142">
        <v>40</v>
      </c>
      <c r="F165" s="2143"/>
      <c r="G165" s="2142"/>
      <c r="H165" s="2143">
        <f>SUM(G163:G165)</f>
        <v>0</v>
      </c>
      <c r="I165" s="2382"/>
    </row>
    <row r="166" spans="1:11" s="47" customFormat="1" x14ac:dyDescent="0.2">
      <c r="A166" s="2094" t="s">
        <v>951</v>
      </c>
      <c r="B166" s="2095" t="s">
        <v>287</v>
      </c>
      <c r="C166" s="2096" t="s">
        <v>324</v>
      </c>
      <c r="D166" s="2097" t="s">
        <v>17</v>
      </c>
      <c r="E166" s="2098">
        <f>SUM(E167:E168)</f>
        <v>24</v>
      </c>
      <c r="F166" s="2099">
        <f>salaries!H109</f>
        <v>57</v>
      </c>
      <c r="G166" s="2098">
        <f>F166*E166</f>
        <v>1368</v>
      </c>
      <c r="H166" s="2100"/>
      <c r="I166" s="2382"/>
    </row>
    <row r="167" spans="1:11" s="47" customFormat="1" x14ac:dyDescent="0.2">
      <c r="A167" s="2094"/>
      <c r="B167" s="2095"/>
      <c r="C167" s="2101" t="s">
        <v>555</v>
      </c>
      <c r="D167" s="2097"/>
      <c r="E167" s="2102">
        <v>24</v>
      </c>
      <c r="F167" s="2099"/>
      <c r="G167" s="2098"/>
      <c r="H167" s="2100"/>
      <c r="I167" s="2382"/>
    </row>
    <row r="168" spans="1:11" s="47" customFormat="1" x14ac:dyDescent="0.2">
      <c r="A168" s="2094"/>
      <c r="B168" s="2095"/>
      <c r="C168" s="2101" t="s">
        <v>600</v>
      </c>
      <c r="D168" s="2095"/>
      <c r="E168" s="2102">
        <v>0</v>
      </c>
      <c r="F168" s="2100"/>
      <c r="G168" s="2102"/>
      <c r="H168" s="2100">
        <f>SUM(G166:G168)</f>
        <v>1368</v>
      </c>
      <c r="I168" s="2382"/>
    </row>
    <row r="169" spans="1:11" s="47" customFormat="1" x14ac:dyDescent="0.2">
      <c r="A169" s="2144" t="s">
        <v>952</v>
      </c>
      <c r="B169" s="2145" t="s">
        <v>291</v>
      </c>
      <c r="C169" s="2146" t="s">
        <v>324</v>
      </c>
      <c r="D169" s="2147" t="s">
        <v>17</v>
      </c>
      <c r="E169" s="2148">
        <f>SUM(E170:E171)</f>
        <v>80</v>
      </c>
      <c r="F169" s="2149">
        <f>salaries!H113</f>
        <v>16</v>
      </c>
      <c r="G169" s="2148">
        <f>F169*E169</f>
        <v>1280</v>
      </c>
      <c r="H169" s="2150"/>
      <c r="I169" s="2382"/>
    </row>
    <row r="170" spans="1:11" s="47" customFormat="1" x14ac:dyDescent="0.2">
      <c r="A170" s="2107"/>
      <c r="B170" s="2108"/>
      <c r="C170" s="2113" t="s">
        <v>555</v>
      </c>
      <c r="D170" s="2109"/>
      <c r="E170" s="2114">
        <v>40</v>
      </c>
      <c r="F170" s="2111"/>
      <c r="G170" s="2110"/>
      <c r="H170" s="2112"/>
      <c r="I170" s="2382"/>
    </row>
    <row r="171" spans="1:11" s="47" customFormat="1" x14ac:dyDescent="0.2">
      <c r="A171" s="2151"/>
      <c r="B171" s="2152"/>
      <c r="C171" s="2153" t="s">
        <v>600</v>
      </c>
      <c r="D171" s="2152"/>
      <c r="E171" s="2154">
        <v>40</v>
      </c>
      <c r="F171" s="2155"/>
      <c r="G171" s="2154"/>
      <c r="H171" s="2155">
        <f>SUM(G169:G171)</f>
        <v>1280</v>
      </c>
      <c r="I171" s="2382"/>
    </row>
    <row r="172" spans="1:11" x14ac:dyDescent="0.2">
      <c r="A172" s="78" t="s">
        <v>8</v>
      </c>
      <c r="B172" s="12"/>
      <c r="C172" s="219"/>
      <c r="D172" s="12" t="s">
        <v>34</v>
      </c>
      <c r="E172" s="145" t="s">
        <v>334</v>
      </c>
      <c r="F172" s="27"/>
      <c r="G172" s="27" t="s">
        <v>35</v>
      </c>
      <c r="H172" s="28">
        <f>SUM(H6:H171)</f>
        <v>318724</v>
      </c>
      <c r="I172" s="2495"/>
      <c r="J172" s="180"/>
      <c r="K172" s="180"/>
    </row>
    <row r="173" spans="1:11" x14ac:dyDescent="0.2">
      <c r="A173" s="76" t="s">
        <v>24</v>
      </c>
      <c r="B173" s="6"/>
      <c r="C173" s="227"/>
      <c r="D173" s="6"/>
      <c r="E173" s="144"/>
      <c r="F173" s="21"/>
      <c r="G173" s="21"/>
      <c r="H173" s="22">
        <f t="shared" ref="H173" si="0">SUM(G173:G173)</f>
        <v>0</v>
      </c>
      <c r="I173" s="2471"/>
    </row>
    <row r="174" spans="1:11" s="302" customFormat="1" x14ac:dyDescent="0.2">
      <c r="A174" s="759" t="s">
        <v>309</v>
      </c>
      <c r="B174" s="1913" t="s">
        <v>541</v>
      </c>
      <c r="C174" s="1914" t="s">
        <v>542</v>
      </c>
      <c r="D174" s="1913" t="s">
        <v>14</v>
      </c>
      <c r="E174" s="1915">
        <v>1</v>
      </c>
      <c r="F174" s="1915">
        <v>750</v>
      </c>
      <c r="G174" s="1915">
        <f>F174</f>
        <v>750</v>
      </c>
      <c r="H174" s="1915">
        <f>SUM(G174:G174)</f>
        <v>750</v>
      </c>
      <c r="I174" s="2475"/>
      <c r="J174" s="159"/>
      <c r="K174" s="159"/>
    </row>
    <row r="175" spans="1:11" s="302" customFormat="1" x14ac:dyDescent="0.2">
      <c r="A175" s="765" t="s">
        <v>311</v>
      </c>
      <c r="B175" s="1916" t="s">
        <v>541</v>
      </c>
      <c r="C175" s="1917" t="s">
        <v>543</v>
      </c>
      <c r="D175" s="1916" t="s">
        <v>14</v>
      </c>
      <c r="E175" s="1918">
        <v>1</v>
      </c>
      <c r="F175" s="1918">
        <v>500</v>
      </c>
      <c r="G175" s="1918">
        <v>500</v>
      </c>
      <c r="H175" s="1918">
        <f>SUM(G175:G175)</f>
        <v>500</v>
      </c>
      <c r="I175" s="2475"/>
      <c r="J175" s="159"/>
      <c r="K175" s="159"/>
    </row>
    <row r="176" spans="1:11" s="302" customFormat="1" x14ac:dyDescent="0.2">
      <c r="A176" s="768" t="s">
        <v>407</v>
      </c>
      <c r="B176" s="1919" t="s">
        <v>541</v>
      </c>
      <c r="C176" s="1920" t="s">
        <v>544</v>
      </c>
      <c r="D176" s="1919" t="s">
        <v>14</v>
      </c>
      <c r="E176" s="1921">
        <v>1</v>
      </c>
      <c r="F176" s="1921">
        <v>500</v>
      </c>
      <c r="G176" s="1921">
        <v>500</v>
      </c>
      <c r="H176" s="1921">
        <f>SUM(G176:G176)</f>
        <v>500</v>
      </c>
      <c r="I176" s="2475"/>
      <c r="J176" s="159"/>
      <c r="K176" s="159"/>
    </row>
    <row r="177" spans="1:11" s="302" customFormat="1" x14ac:dyDescent="0.2">
      <c r="A177" s="771" t="s">
        <v>408</v>
      </c>
      <c r="B177" s="1922" t="s">
        <v>541</v>
      </c>
      <c r="C177" s="1923" t="s">
        <v>545</v>
      </c>
      <c r="D177" s="1922" t="s">
        <v>14</v>
      </c>
      <c r="E177" s="1924">
        <v>1</v>
      </c>
      <c r="F177" s="1924">
        <v>500</v>
      </c>
      <c r="G177" s="1924">
        <v>500</v>
      </c>
      <c r="H177" s="1924">
        <f>SUM(G177:G177)</f>
        <v>500</v>
      </c>
      <c r="I177" s="2475"/>
      <c r="J177" s="159"/>
      <c r="K177" s="159"/>
    </row>
    <row r="178" spans="1:11" s="302" customFormat="1" x14ac:dyDescent="0.2">
      <c r="A178" s="1656" t="s">
        <v>409</v>
      </c>
      <c r="B178" s="2041" t="s">
        <v>541</v>
      </c>
      <c r="C178" s="2042" t="s">
        <v>546</v>
      </c>
      <c r="D178" s="2041" t="s">
        <v>14</v>
      </c>
      <c r="E178" s="2043">
        <v>1</v>
      </c>
      <c r="F178" s="2043">
        <v>750</v>
      </c>
      <c r="G178" s="2043">
        <f>F178</f>
        <v>750</v>
      </c>
      <c r="H178" s="2043">
        <f>SUM(G178:G178)</f>
        <v>750</v>
      </c>
      <c r="I178" s="2475"/>
      <c r="J178" s="159"/>
      <c r="K178" s="159"/>
    </row>
    <row r="179" spans="1:11" s="302" customFormat="1" x14ac:dyDescent="0.2">
      <c r="A179" s="900" t="s">
        <v>410</v>
      </c>
      <c r="B179" s="2048" t="s">
        <v>541</v>
      </c>
      <c r="C179" s="2046" t="s">
        <v>547</v>
      </c>
      <c r="D179" s="2048" t="s">
        <v>14</v>
      </c>
      <c r="E179" s="2047">
        <v>1</v>
      </c>
      <c r="F179" s="2050">
        <v>750</v>
      </c>
      <c r="G179" s="2047">
        <f>F179</f>
        <v>750</v>
      </c>
      <c r="H179" s="2050"/>
      <c r="I179" s="2475"/>
      <c r="J179" s="159"/>
      <c r="K179" s="159"/>
    </row>
    <row r="180" spans="1:11" s="302" customFormat="1" x14ac:dyDescent="0.2">
      <c r="A180" s="1347"/>
      <c r="B180" s="2044" t="s">
        <v>920</v>
      </c>
      <c r="C180" s="1348" t="s">
        <v>921</v>
      </c>
      <c r="D180" s="2044" t="s">
        <v>14</v>
      </c>
      <c r="E180" s="2049">
        <v>1</v>
      </c>
      <c r="F180" s="2045">
        <v>2400</v>
      </c>
      <c r="G180" s="2049">
        <f>F180</f>
        <v>2400</v>
      </c>
      <c r="H180" s="2045">
        <f>SUM(G179:G180)</f>
        <v>3150</v>
      </c>
      <c r="I180" s="2475"/>
      <c r="J180" s="159"/>
      <c r="K180" s="159"/>
    </row>
    <row r="181" spans="1:11" s="302" customFormat="1" x14ac:dyDescent="0.2">
      <c r="A181" s="804" t="s">
        <v>418</v>
      </c>
      <c r="B181" s="1925" t="s">
        <v>541</v>
      </c>
      <c r="C181" s="1926" t="s">
        <v>548</v>
      </c>
      <c r="D181" s="1925" t="s">
        <v>14</v>
      </c>
      <c r="E181" s="1927">
        <v>1</v>
      </c>
      <c r="F181" s="1927">
        <v>750</v>
      </c>
      <c r="G181" s="1927">
        <f>F181</f>
        <v>750</v>
      </c>
      <c r="H181" s="1927">
        <f>SUM(G181:G181)</f>
        <v>750</v>
      </c>
      <c r="I181" s="2475"/>
      <c r="J181" s="159"/>
      <c r="K181" s="159"/>
    </row>
    <row r="182" spans="1:11" s="302" customFormat="1" x14ac:dyDescent="0.2">
      <c r="A182" s="784" t="s">
        <v>412</v>
      </c>
      <c r="B182" s="1928" t="s">
        <v>541</v>
      </c>
      <c r="C182" s="1929" t="s">
        <v>549</v>
      </c>
      <c r="D182" s="1928" t="s">
        <v>14</v>
      </c>
      <c r="E182" s="1930">
        <v>1</v>
      </c>
      <c r="F182" s="1930">
        <v>500</v>
      </c>
      <c r="G182" s="1930">
        <v>500</v>
      </c>
      <c r="H182" s="1930">
        <f>SUM(G182:G182)</f>
        <v>500</v>
      </c>
      <c r="I182" s="2475"/>
      <c r="J182" s="159"/>
      <c r="K182" s="159"/>
    </row>
    <row r="183" spans="1:11" x14ac:dyDescent="0.2">
      <c r="A183" s="78" t="s">
        <v>74</v>
      </c>
      <c r="B183" s="12"/>
      <c r="C183" s="228"/>
      <c r="D183" s="12"/>
      <c r="E183" s="145"/>
      <c r="F183" s="27"/>
      <c r="G183" s="27"/>
      <c r="H183" s="28">
        <f>SUM(H174:H182)</f>
        <v>7400</v>
      </c>
      <c r="I183" s="2471"/>
    </row>
    <row r="184" spans="1:11" x14ac:dyDescent="0.2">
      <c r="A184" s="76" t="s">
        <v>25</v>
      </c>
      <c r="B184" s="6"/>
      <c r="C184" s="217"/>
      <c r="D184" s="6"/>
      <c r="E184" s="144"/>
      <c r="F184" s="21"/>
      <c r="G184" s="21"/>
      <c r="H184" s="22">
        <f>SUM(G184:G184)</f>
        <v>0</v>
      </c>
      <c r="I184" s="2471"/>
    </row>
    <row r="185" spans="1:11" x14ac:dyDescent="0.2">
      <c r="A185" s="83" t="s">
        <v>107</v>
      </c>
      <c r="B185" s="2006" t="s">
        <v>875</v>
      </c>
      <c r="C185" s="222" t="s">
        <v>917</v>
      </c>
      <c r="D185" s="112" t="s">
        <v>16</v>
      </c>
      <c r="E185" s="115">
        <v>7</v>
      </c>
      <c r="F185" s="125">
        <v>300</v>
      </c>
      <c r="G185" s="107">
        <f t="shared" ref="G185:G190" si="1">F185*E185</f>
        <v>2100</v>
      </c>
      <c r="H185" s="115"/>
      <c r="I185" s="2489"/>
      <c r="J185"/>
      <c r="K185"/>
    </row>
    <row r="186" spans="1:11" x14ac:dyDescent="0.2">
      <c r="A186" s="92"/>
      <c r="B186" s="124" t="s">
        <v>628</v>
      </c>
      <c r="C186" s="222" t="s">
        <v>886</v>
      </c>
      <c r="D186" s="112" t="s">
        <v>36</v>
      </c>
      <c r="E186" s="115">
        <v>17</v>
      </c>
      <c r="F186" s="125">
        <v>150</v>
      </c>
      <c r="G186" s="107">
        <f t="shared" si="1"/>
        <v>2550</v>
      </c>
      <c r="H186" s="115">
        <f>SUM(G185:G186)</f>
        <v>4650</v>
      </c>
      <c r="I186" s="2490"/>
      <c r="J186"/>
      <c r="K186"/>
    </row>
    <row r="187" spans="1:11" s="38" customFormat="1" x14ac:dyDescent="0.2">
      <c r="A187" s="1576" t="s">
        <v>203</v>
      </c>
      <c r="B187" s="2016" t="s">
        <v>876</v>
      </c>
      <c r="C187" s="1904" t="s">
        <v>880</v>
      </c>
      <c r="D187" s="1905" t="s">
        <v>16</v>
      </c>
      <c r="E187" s="1906">
        <v>7</v>
      </c>
      <c r="F187" s="1907">
        <v>300</v>
      </c>
      <c r="G187" s="1908">
        <f t="shared" si="1"/>
        <v>2100</v>
      </c>
      <c r="H187" s="1906"/>
      <c r="I187" s="2383"/>
    </row>
    <row r="188" spans="1:11" s="38" customFormat="1" x14ac:dyDescent="0.2">
      <c r="A188" s="571"/>
      <c r="B188" s="1909"/>
      <c r="C188" s="1910" t="s">
        <v>885</v>
      </c>
      <c r="D188" s="1911" t="s">
        <v>36</v>
      </c>
      <c r="E188" s="575">
        <v>17</v>
      </c>
      <c r="F188" s="1912">
        <v>150</v>
      </c>
      <c r="G188" s="574">
        <f t="shared" si="1"/>
        <v>2550</v>
      </c>
      <c r="H188" s="575">
        <f>SUM(G187:G188)</f>
        <v>4650</v>
      </c>
      <c r="I188" s="2383"/>
    </row>
    <row r="189" spans="1:11" s="38" customFormat="1" x14ac:dyDescent="0.2">
      <c r="A189" s="557" t="s">
        <v>204</v>
      </c>
      <c r="B189" s="2008" t="s">
        <v>876</v>
      </c>
      <c r="C189" s="1179" t="s">
        <v>881</v>
      </c>
      <c r="D189" s="1180" t="s">
        <v>16</v>
      </c>
      <c r="E189" s="547">
        <v>5</v>
      </c>
      <c r="F189" s="1181">
        <v>300</v>
      </c>
      <c r="G189" s="564">
        <f t="shared" si="1"/>
        <v>1500</v>
      </c>
      <c r="H189" s="547"/>
      <c r="I189" s="2491"/>
    </row>
    <row r="190" spans="1:11" s="38" customFormat="1" x14ac:dyDescent="0.2">
      <c r="A190" s="557"/>
      <c r="B190" s="1182"/>
      <c r="C190" s="1179" t="s">
        <v>884</v>
      </c>
      <c r="D190" s="1180" t="s">
        <v>36</v>
      </c>
      <c r="E190" s="547">
        <v>13</v>
      </c>
      <c r="F190" s="1181">
        <v>150</v>
      </c>
      <c r="G190" s="564">
        <f t="shared" si="1"/>
        <v>1950</v>
      </c>
      <c r="H190" s="547">
        <f>SUM(G189:G190)</f>
        <v>3450</v>
      </c>
      <c r="I190" s="2491"/>
    </row>
    <row r="191" spans="1:11" x14ac:dyDescent="0.2">
      <c r="A191" s="598" t="s">
        <v>308</v>
      </c>
      <c r="B191" s="2017" t="s">
        <v>876</v>
      </c>
      <c r="C191" s="1896" t="s">
        <v>882</v>
      </c>
      <c r="D191" s="1897" t="s">
        <v>73</v>
      </c>
      <c r="E191" s="604">
        <v>6</v>
      </c>
      <c r="F191" s="1898">
        <v>300</v>
      </c>
      <c r="G191" s="1899">
        <f t="shared" ref="G191:G250" si="2">F191*E191</f>
        <v>1800</v>
      </c>
      <c r="H191" s="604"/>
      <c r="I191" s="322"/>
      <c r="J191"/>
      <c r="K191"/>
    </row>
    <row r="192" spans="1:11" x14ac:dyDescent="0.2">
      <c r="A192" s="608"/>
      <c r="B192" s="1900"/>
      <c r="C192" s="1901" t="s">
        <v>560</v>
      </c>
      <c r="D192" s="1902" t="s">
        <v>36</v>
      </c>
      <c r="E192" s="609">
        <v>14</v>
      </c>
      <c r="F192" s="1903">
        <v>150</v>
      </c>
      <c r="G192" s="597">
        <f t="shared" si="2"/>
        <v>2100</v>
      </c>
      <c r="H192" s="609">
        <f>SUM(G191:G192)</f>
        <v>3900</v>
      </c>
      <c r="I192" s="177"/>
      <c r="J192"/>
      <c r="K192"/>
    </row>
    <row r="193" spans="1:11" x14ac:dyDescent="0.2">
      <c r="A193" s="617" t="s">
        <v>309</v>
      </c>
      <c r="B193" s="1448" t="s">
        <v>96</v>
      </c>
      <c r="C193" s="1188" t="s">
        <v>878</v>
      </c>
      <c r="D193" s="1728" t="s">
        <v>15</v>
      </c>
      <c r="E193" s="622">
        <v>1</v>
      </c>
      <c r="F193" s="1214">
        <v>204</v>
      </c>
      <c r="G193" s="621">
        <f t="shared" si="2"/>
        <v>204</v>
      </c>
      <c r="H193" s="622"/>
      <c r="I193" s="2189" t="s">
        <v>1013</v>
      </c>
      <c r="J193"/>
      <c r="K193"/>
    </row>
    <row r="194" spans="1:11" x14ac:dyDescent="0.2">
      <c r="A194" s="617"/>
      <c r="B194" s="1187"/>
      <c r="C194" s="1188" t="s">
        <v>879</v>
      </c>
      <c r="D194" s="1189" t="s">
        <v>36</v>
      </c>
      <c r="E194" s="622">
        <v>3</v>
      </c>
      <c r="F194" s="1190">
        <v>120</v>
      </c>
      <c r="G194" s="621">
        <f t="shared" si="2"/>
        <v>360</v>
      </c>
      <c r="H194" s="622">
        <f>SUM(G193:G194)</f>
        <v>564</v>
      </c>
      <c r="I194" s="324"/>
      <c r="J194"/>
      <c r="K194"/>
    </row>
    <row r="195" spans="1:11" x14ac:dyDescent="0.2">
      <c r="A195" s="634" t="s">
        <v>310</v>
      </c>
      <c r="B195" s="2018" t="s">
        <v>876</v>
      </c>
      <c r="C195" s="1886" t="s">
        <v>883</v>
      </c>
      <c r="D195" s="1887" t="s">
        <v>73</v>
      </c>
      <c r="E195" s="1888">
        <v>6</v>
      </c>
      <c r="F195" s="1889">
        <v>300</v>
      </c>
      <c r="G195" s="1890">
        <f t="shared" si="2"/>
        <v>1800</v>
      </c>
      <c r="H195" s="1888"/>
      <c r="I195" s="322"/>
      <c r="J195"/>
      <c r="K195"/>
    </row>
    <row r="196" spans="1:11" x14ac:dyDescent="0.2">
      <c r="A196" s="1891"/>
      <c r="B196" s="1892"/>
      <c r="C196" s="1893" t="s">
        <v>877</v>
      </c>
      <c r="D196" s="1894" t="s">
        <v>36</v>
      </c>
      <c r="E196" s="655">
        <v>14</v>
      </c>
      <c r="F196" s="1895">
        <v>150</v>
      </c>
      <c r="G196" s="654">
        <f t="shared" si="2"/>
        <v>2100</v>
      </c>
      <c r="H196" s="655">
        <f>SUM(G195:G196)</f>
        <v>3900</v>
      </c>
      <c r="I196" s="324"/>
      <c r="J196"/>
      <c r="K196"/>
    </row>
    <row r="197" spans="1:11" x14ac:dyDescent="0.2">
      <c r="A197" s="656" t="s">
        <v>311</v>
      </c>
      <c r="B197" s="665" t="s">
        <v>554</v>
      </c>
      <c r="C197" s="1195" t="s">
        <v>68</v>
      </c>
      <c r="D197" s="1196" t="s">
        <v>16</v>
      </c>
      <c r="E197" s="661">
        <v>1</v>
      </c>
      <c r="F197" s="1197">
        <v>400</v>
      </c>
      <c r="G197" s="663">
        <f t="shared" si="2"/>
        <v>400</v>
      </c>
      <c r="H197" s="661"/>
      <c r="I197" s="322"/>
      <c r="J197"/>
      <c r="K197"/>
    </row>
    <row r="198" spans="1:11" x14ac:dyDescent="0.2">
      <c r="A198" s="656"/>
      <c r="B198" s="665"/>
      <c r="C198" s="1195" t="s">
        <v>558</v>
      </c>
      <c r="D198" s="1196" t="s">
        <v>36</v>
      </c>
      <c r="E198" s="661">
        <v>3</v>
      </c>
      <c r="F198" s="1197">
        <v>150</v>
      </c>
      <c r="G198" s="663">
        <f t="shared" si="2"/>
        <v>450</v>
      </c>
      <c r="H198" s="661"/>
      <c r="I198" s="322"/>
      <c r="J198"/>
      <c r="K198"/>
    </row>
    <row r="199" spans="1:11" x14ac:dyDescent="0.2">
      <c r="A199" s="656"/>
      <c r="B199" s="665" t="s">
        <v>556</v>
      </c>
      <c r="C199" s="1195" t="s">
        <v>557</v>
      </c>
      <c r="D199" s="1196" t="s">
        <v>15</v>
      </c>
      <c r="E199" s="661">
        <v>1</v>
      </c>
      <c r="F199" s="1197">
        <v>500</v>
      </c>
      <c r="G199" s="663">
        <f t="shared" si="2"/>
        <v>500</v>
      </c>
      <c r="H199" s="661">
        <f>SUM(G197:G199)</f>
        <v>1350</v>
      </c>
      <c r="I199" s="177"/>
      <c r="J199"/>
      <c r="K199"/>
    </row>
    <row r="200" spans="1:11" x14ac:dyDescent="0.2">
      <c r="A200" s="853" t="s">
        <v>407</v>
      </c>
      <c r="B200" s="1379" t="s">
        <v>554</v>
      </c>
      <c r="C200" s="1879" t="s">
        <v>72</v>
      </c>
      <c r="D200" s="1880" t="s">
        <v>16</v>
      </c>
      <c r="E200" s="856">
        <v>1</v>
      </c>
      <c r="F200" s="1881">
        <v>400</v>
      </c>
      <c r="G200" s="1882">
        <f t="shared" si="2"/>
        <v>400</v>
      </c>
      <c r="H200" s="856"/>
      <c r="I200" s="322"/>
      <c r="J200"/>
      <c r="K200"/>
    </row>
    <row r="201" spans="1:11" x14ac:dyDescent="0.2">
      <c r="A201" s="836"/>
      <c r="B201" s="1198"/>
      <c r="C201" s="1199" t="s">
        <v>558</v>
      </c>
      <c r="D201" s="1200" t="s">
        <v>36</v>
      </c>
      <c r="E201" s="843">
        <v>3</v>
      </c>
      <c r="F201" s="1201">
        <v>150</v>
      </c>
      <c r="G201" s="846">
        <f t="shared" si="2"/>
        <v>450</v>
      </c>
      <c r="H201" s="843"/>
      <c r="I201" s="322"/>
      <c r="J201"/>
      <c r="K201"/>
    </row>
    <row r="202" spans="1:11" x14ac:dyDescent="0.2">
      <c r="A202" s="857"/>
      <c r="B202" s="1380" t="s">
        <v>556</v>
      </c>
      <c r="C202" s="1883" t="s">
        <v>557</v>
      </c>
      <c r="D202" s="1884" t="s">
        <v>15</v>
      </c>
      <c r="E202" s="859">
        <v>1</v>
      </c>
      <c r="F202" s="1885">
        <v>500</v>
      </c>
      <c r="G202" s="852">
        <f t="shared" si="2"/>
        <v>500</v>
      </c>
      <c r="H202" s="859">
        <f>SUM(G200:G202)</f>
        <v>1350</v>
      </c>
      <c r="I202" s="177"/>
      <c r="J202"/>
      <c r="K202"/>
    </row>
    <row r="203" spans="1:11" x14ac:dyDescent="0.2">
      <c r="A203" s="548" t="s">
        <v>408</v>
      </c>
      <c r="B203" s="1202" t="s">
        <v>554</v>
      </c>
      <c r="C203" s="1203" t="s">
        <v>69</v>
      </c>
      <c r="D203" s="1204" t="s">
        <v>16</v>
      </c>
      <c r="E203" s="553">
        <v>1</v>
      </c>
      <c r="F203" s="1205">
        <v>400</v>
      </c>
      <c r="G203" s="554">
        <f t="shared" si="2"/>
        <v>400</v>
      </c>
      <c r="H203" s="553"/>
      <c r="I203" s="322"/>
      <c r="J203"/>
      <c r="K203"/>
    </row>
    <row r="204" spans="1:11" x14ac:dyDescent="0.2">
      <c r="A204" s="548"/>
      <c r="B204" s="1202"/>
      <c r="C204" s="1203" t="s">
        <v>558</v>
      </c>
      <c r="D204" s="1204" t="s">
        <v>36</v>
      </c>
      <c r="E204" s="553">
        <v>3</v>
      </c>
      <c r="F204" s="1205">
        <v>150</v>
      </c>
      <c r="G204" s="554">
        <f t="shared" si="2"/>
        <v>450</v>
      </c>
      <c r="H204" s="553"/>
      <c r="I204" s="322"/>
      <c r="J204"/>
      <c r="K204"/>
    </row>
    <row r="205" spans="1:11" x14ac:dyDescent="0.2">
      <c r="A205" s="548"/>
      <c r="B205" s="1202" t="s">
        <v>556</v>
      </c>
      <c r="C205" s="1203" t="s">
        <v>557</v>
      </c>
      <c r="D205" s="1204" t="s">
        <v>15</v>
      </c>
      <c r="E205" s="553">
        <v>1</v>
      </c>
      <c r="F205" s="1205">
        <v>500</v>
      </c>
      <c r="G205" s="554">
        <f t="shared" si="2"/>
        <v>500</v>
      </c>
      <c r="H205" s="553">
        <f>SUM(G203:G205)</f>
        <v>1350</v>
      </c>
      <c r="I205" s="177"/>
      <c r="J205"/>
      <c r="K205"/>
    </row>
    <row r="206" spans="1:11" x14ac:dyDescent="0.2">
      <c r="A206" s="890" t="s">
        <v>409</v>
      </c>
      <c r="B206" s="1869" t="s">
        <v>554</v>
      </c>
      <c r="C206" s="1870" t="s">
        <v>70</v>
      </c>
      <c r="D206" s="1871" t="s">
        <v>73</v>
      </c>
      <c r="E206" s="896">
        <v>1</v>
      </c>
      <c r="F206" s="1872">
        <v>100</v>
      </c>
      <c r="G206" s="1873">
        <f t="shared" si="2"/>
        <v>100</v>
      </c>
      <c r="H206" s="896"/>
      <c r="I206" s="322"/>
      <c r="J206"/>
      <c r="K206"/>
    </row>
    <row r="207" spans="1:11" x14ac:dyDescent="0.2">
      <c r="A207" s="876"/>
      <c r="B207" s="1206"/>
      <c r="C207" s="1207" t="s">
        <v>558</v>
      </c>
      <c r="D207" s="1208" t="s">
        <v>36</v>
      </c>
      <c r="E207" s="882">
        <v>3</v>
      </c>
      <c r="F207" s="1209">
        <v>150</v>
      </c>
      <c r="G207" s="885">
        <f t="shared" si="2"/>
        <v>450</v>
      </c>
      <c r="H207" s="882"/>
      <c r="I207" s="322"/>
      <c r="J207"/>
      <c r="K207"/>
    </row>
    <row r="208" spans="1:11" x14ac:dyDescent="0.2">
      <c r="A208" s="1874"/>
      <c r="B208" s="1875" t="s">
        <v>556</v>
      </c>
      <c r="C208" s="1876" t="s">
        <v>557</v>
      </c>
      <c r="D208" s="1877" t="s">
        <v>15</v>
      </c>
      <c r="E208" s="899">
        <v>1</v>
      </c>
      <c r="F208" s="1878">
        <v>500</v>
      </c>
      <c r="G208" s="889">
        <f t="shared" si="2"/>
        <v>500</v>
      </c>
      <c r="H208" s="899">
        <f>SUM(G206:G208)</f>
        <v>1050</v>
      </c>
      <c r="I208" s="177"/>
      <c r="J208"/>
      <c r="K208"/>
    </row>
    <row r="209" spans="1:11" x14ac:dyDescent="0.2">
      <c r="A209" s="907" t="s">
        <v>410</v>
      </c>
      <c r="B209" s="1211" t="s">
        <v>554</v>
      </c>
      <c r="C209" s="1212" t="s">
        <v>95</v>
      </c>
      <c r="D209" s="1213" t="s">
        <v>16</v>
      </c>
      <c r="E209" s="911">
        <v>1</v>
      </c>
      <c r="F209" s="1214">
        <v>150</v>
      </c>
      <c r="G209" s="910">
        <f t="shared" si="2"/>
        <v>150</v>
      </c>
      <c r="H209" s="911"/>
      <c r="I209" s="322"/>
      <c r="J209"/>
      <c r="K209"/>
    </row>
    <row r="210" spans="1:11" x14ac:dyDescent="0.2">
      <c r="A210" s="907"/>
      <c r="B210" s="1211"/>
      <c r="C210" s="1212" t="s">
        <v>558</v>
      </c>
      <c r="D210" s="1213" t="s">
        <v>36</v>
      </c>
      <c r="E210" s="911">
        <v>3</v>
      </c>
      <c r="F210" s="1214">
        <v>150</v>
      </c>
      <c r="G210" s="910">
        <f t="shared" si="2"/>
        <v>450</v>
      </c>
      <c r="H210" s="911"/>
      <c r="I210" s="322"/>
      <c r="J210"/>
      <c r="K210"/>
    </row>
    <row r="211" spans="1:11" x14ac:dyDescent="0.2">
      <c r="A211" s="907"/>
      <c r="B211" s="1211" t="s">
        <v>556</v>
      </c>
      <c r="C211" s="1212" t="s">
        <v>557</v>
      </c>
      <c r="D211" s="1213" t="s">
        <v>15</v>
      </c>
      <c r="E211" s="911">
        <v>1</v>
      </c>
      <c r="F211" s="1214">
        <v>500</v>
      </c>
      <c r="G211" s="910">
        <f t="shared" si="2"/>
        <v>500</v>
      </c>
      <c r="H211" s="911">
        <f>SUM(G209:G211)</f>
        <v>1100</v>
      </c>
      <c r="I211" s="177"/>
      <c r="J211"/>
      <c r="K211"/>
    </row>
    <row r="212" spans="1:11" x14ac:dyDescent="0.2">
      <c r="A212" s="952" t="s">
        <v>411</v>
      </c>
      <c r="B212" s="1861" t="s">
        <v>554</v>
      </c>
      <c r="C212" s="1862" t="s">
        <v>627</v>
      </c>
      <c r="D212" s="1863" t="s">
        <v>16</v>
      </c>
      <c r="E212" s="958">
        <v>1</v>
      </c>
      <c r="F212" s="1864">
        <v>200</v>
      </c>
      <c r="G212" s="1865">
        <f t="shared" si="2"/>
        <v>200</v>
      </c>
      <c r="H212" s="958"/>
      <c r="I212" s="322"/>
      <c r="J212"/>
      <c r="K212"/>
    </row>
    <row r="213" spans="1:11" x14ac:dyDescent="0.2">
      <c r="A213" s="923"/>
      <c r="B213" s="1215"/>
      <c r="C213" s="1216" t="s">
        <v>558</v>
      </c>
      <c r="D213" s="1217" t="s">
        <v>36</v>
      </c>
      <c r="E213" s="929">
        <v>3</v>
      </c>
      <c r="F213" s="1218">
        <v>170</v>
      </c>
      <c r="G213" s="931">
        <f t="shared" si="2"/>
        <v>510</v>
      </c>
      <c r="H213" s="929"/>
      <c r="I213" s="322"/>
      <c r="J213"/>
      <c r="K213"/>
    </row>
    <row r="214" spans="1:11" x14ac:dyDescent="0.2">
      <c r="A214" s="959"/>
      <c r="B214" s="1866" t="s">
        <v>556</v>
      </c>
      <c r="C214" s="1867" t="s">
        <v>557</v>
      </c>
      <c r="D214" s="1868" t="s">
        <v>15</v>
      </c>
      <c r="E214" s="960">
        <v>1</v>
      </c>
      <c r="F214" s="1655">
        <v>500</v>
      </c>
      <c r="G214" s="935">
        <f t="shared" si="2"/>
        <v>500</v>
      </c>
      <c r="H214" s="960">
        <f>SUM(G212:G214)</f>
        <v>1210</v>
      </c>
      <c r="I214" s="324"/>
      <c r="J214"/>
      <c r="K214"/>
    </row>
    <row r="215" spans="1:11" x14ac:dyDescent="0.2">
      <c r="A215" s="936" t="s">
        <v>412</v>
      </c>
      <c r="B215" s="1219" t="s">
        <v>554</v>
      </c>
      <c r="C215" s="1220" t="s">
        <v>474</v>
      </c>
      <c r="D215" s="1221" t="s">
        <v>16</v>
      </c>
      <c r="E215" s="943">
        <v>1</v>
      </c>
      <c r="F215" s="1222">
        <v>300</v>
      </c>
      <c r="G215" s="946">
        <f t="shared" si="2"/>
        <v>300</v>
      </c>
      <c r="H215" s="943"/>
      <c r="I215" s="322"/>
      <c r="J215"/>
      <c r="K215"/>
    </row>
    <row r="216" spans="1:11" x14ac:dyDescent="0.2">
      <c r="A216" s="936"/>
      <c r="B216" s="1219"/>
      <c r="C216" s="1220" t="s">
        <v>558</v>
      </c>
      <c r="D216" s="1221" t="s">
        <v>36</v>
      </c>
      <c r="E216" s="943">
        <v>3</v>
      </c>
      <c r="F216" s="1222">
        <v>170</v>
      </c>
      <c r="G216" s="946">
        <f t="shared" si="2"/>
        <v>510</v>
      </c>
      <c r="H216" s="943"/>
      <c r="I216" s="322"/>
      <c r="J216"/>
      <c r="K216"/>
    </row>
    <row r="217" spans="1:11" x14ac:dyDescent="0.2">
      <c r="A217" s="936"/>
      <c r="B217" s="1219" t="s">
        <v>556</v>
      </c>
      <c r="C217" s="1220" t="s">
        <v>557</v>
      </c>
      <c r="D217" s="1221" t="s">
        <v>15</v>
      </c>
      <c r="E217" s="943">
        <v>1</v>
      </c>
      <c r="F217" s="1222">
        <v>500</v>
      </c>
      <c r="G217" s="946">
        <f t="shared" si="2"/>
        <v>500</v>
      </c>
      <c r="H217" s="943">
        <f>SUM(G215:G217)</f>
        <v>1310</v>
      </c>
      <c r="I217" s="177"/>
      <c r="J217"/>
      <c r="K217"/>
    </row>
    <row r="218" spans="1:11" x14ac:dyDescent="0.2">
      <c r="A218" s="977" t="s">
        <v>413</v>
      </c>
      <c r="B218" s="1852" t="s">
        <v>554</v>
      </c>
      <c r="C218" s="1853" t="s">
        <v>68</v>
      </c>
      <c r="D218" s="1854" t="s">
        <v>16</v>
      </c>
      <c r="E218" s="1855">
        <v>1</v>
      </c>
      <c r="F218" s="1856">
        <v>400</v>
      </c>
      <c r="G218" s="1857">
        <f t="shared" si="2"/>
        <v>400</v>
      </c>
      <c r="H218" s="1855"/>
      <c r="I218" s="322"/>
      <c r="J218"/>
      <c r="K218"/>
    </row>
    <row r="219" spans="1:11" x14ac:dyDescent="0.2">
      <c r="A219" s="969"/>
      <c r="B219" s="1223"/>
      <c r="C219" s="1224" t="s">
        <v>558</v>
      </c>
      <c r="D219" s="1225" t="s">
        <v>36</v>
      </c>
      <c r="E219" s="975">
        <v>3</v>
      </c>
      <c r="F219" s="1226">
        <v>150</v>
      </c>
      <c r="G219" s="976">
        <f t="shared" si="2"/>
        <v>450</v>
      </c>
      <c r="H219" s="975"/>
      <c r="I219" s="322"/>
      <c r="J219"/>
      <c r="K219"/>
    </row>
    <row r="220" spans="1:11" x14ac:dyDescent="0.2">
      <c r="A220" s="985"/>
      <c r="B220" s="1858" t="s">
        <v>556</v>
      </c>
      <c r="C220" s="1859" t="s">
        <v>557</v>
      </c>
      <c r="D220" s="1860" t="s">
        <v>15</v>
      </c>
      <c r="E220" s="989">
        <v>1</v>
      </c>
      <c r="F220" s="2188">
        <v>98</v>
      </c>
      <c r="G220" s="988">
        <f t="shared" si="2"/>
        <v>98</v>
      </c>
      <c r="H220" s="989">
        <f>SUM(G218:G220)</f>
        <v>948</v>
      </c>
      <c r="I220" s="2189" t="s">
        <v>1007</v>
      </c>
      <c r="J220"/>
      <c r="K220"/>
    </row>
    <row r="221" spans="1:11" x14ac:dyDescent="0.2">
      <c r="A221" s="990" t="s">
        <v>414</v>
      </c>
      <c r="B221" s="1227" t="s">
        <v>554</v>
      </c>
      <c r="C221" s="1228" t="s">
        <v>68</v>
      </c>
      <c r="D221" s="1229" t="s">
        <v>16</v>
      </c>
      <c r="E221" s="995">
        <v>1</v>
      </c>
      <c r="F221" s="1230">
        <v>400</v>
      </c>
      <c r="G221" s="998">
        <f t="shared" si="2"/>
        <v>400</v>
      </c>
      <c r="H221" s="995"/>
      <c r="I221" s="322"/>
      <c r="J221"/>
      <c r="K221"/>
    </row>
    <row r="222" spans="1:11" x14ac:dyDescent="0.2">
      <c r="A222" s="990"/>
      <c r="B222" s="1227"/>
      <c r="C222" s="1228" t="s">
        <v>558</v>
      </c>
      <c r="D222" s="1229" t="s">
        <v>36</v>
      </c>
      <c r="E222" s="995">
        <v>3</v>
      </c>
      <c r="F222" s="1230">
        <v>150</v>
      </c>
      <c r="G222" s="998">
        <f t="shared" si="2"/>
        <v>450</v>
      </c>
      <c r="H222" s="995"/>
      <c r="I222" s="322"/>
      <c r="J222"/>
      <c r="K222"/>
    </row>
    <row r="223" spans="1:11" x14ac:dyDescent="0.2">
      <c r="A223" s="990"/>
      <c r="B223" s="1227" t="s">
        <v>556</v>
      </c>
      <c r="C223" s="1228" t="s">
        <v>557</v>
      </c>
      <c r="D223" s="1229" t="s">
        <v>15</v>
      </c>
      <c r="E223" s="995">
        <v>1</v>
      </c>
      <c r="F223" s="1230">
        <v>100</v>
      </c>
      <c r="G223" s="998">
        <f t="shared" si="2"/>
        <v>100</v>
      </c>
      <c r="H223" s="995">
        <f>SUM(G221:G223)</f>
        <v>950</v>
      </c>
      <c r="I223" s="2382"/>
      <c r="J223"/>
      <c r="K223"/>
    </row>
    <row r="224" spans="1:11" x14ac:dyDescent="0.2">
      <c r="A224" s="1061" t="s">
        <v>415</v>
      </c>
      <c r="B224" s="1844" t="s">
        <v>554</v>
      </c>
      <c r="C224" s="1845" t="s">
        <v>70</v>
      </c>
      <c r="D224" s="1846" t="s">
        <v>16</v>
      </c>
      <c r="E224" s="1067">
        <v>1</v>
      </c>
      <c r="F224" s="1847">
        <v>25</v>
      </c>
      <c r="G224" s="1848">
        <f t="shared" si="2"/>
        <v>25</v>
      </c>
      <c r="H224" s="1067"/>
      <c r="I224" s="322"/>
      <c r="J224"/>
      <c r="K224"/>
    </row>
    <row r="225" spans="1:11" x14ac:dyDescent="0.2">
      <c r="A225" s="1011"/>
      <c r="B225" s="1231"/>
      <c r="C225" s="1232" t="s">
        <v>558</v>
      </c>
      <c r="D225" s="1233" t="s">
        <v>36</v>
      </c>
      <c r="E225" s="1014">
        <v>3</v>
      </c>
      <c r="F225" s="1234">
        <v>150</v>
      </c>
      <c r="G225" s="1016">
        <f t="shared" si="2"/>
        <v>450</v>
      </c>
      <c r="H225" s="1014"/>
      <c r="I225" s="322"/>
      <c r="J225"/>
      <c r="K225"/>
    </row>
    <row r="226" spans="1:11" x14ac:dyDescent="0.2">
      <c r="A226" s="1068"/>
      <c r="B226" s="1849" t="s">
        <v>556</v>
      </c>
      <c r="C226" s="1850" t="s">
        <v>557</v>
      </c>
      <c r="D226" s="1851" t="s">
        <v>15</v>
      </c>
      <c r="E226" s="1072">
        <v>1</v>
      </c>
      <c r="F226" s="2188">
        <v>105</v>
      </c>
      <c r="G226" s="1071">
        <f t="shared" si="2"/>
        <v>105</v>
      </c>
      <c r="H226" s="1072">
        <f>SUM(G224:G226)</f>
        <v>580</v>
      </c>
      <c r="I226" s="2189" t="s">
        <v>1006</v>
      </c>
      <c r="J226"/>
      <c r="K226"/>
    </row>
    <row r="227" spans="1:11" x14ac:dyDescent="0.2">
      <c r="A227" s="1017" t="s">
        <v>416</v>
      </c>
      <c r="B227" s="1235" t="s">
        <v>554</v>
      </c>
      <c r="C227" s="1236" t="s">
        <v>95</v>
      </c>
      <c r="D227" s="1237" t="s">
        <v>16</v>
      </c>
      <c r="E227" s="1023">
        <v>1</v>
      </c>
      <c r="F227" s="1238">
        <v>100</v>
      </c>
      <c r="G227" s="1025">
        <f t="shared" si="2"/>
        <v>100</v>
      </c>
      <c r="H227" s="1023"/>
      <c r="I227" s="322"/>
      <c r="J227"/>
      <c r="K227"/>
    </row>
    <row r="228" spans="1:11" x14ac:dyDescent="0.2">
      <c r="A228" s="1017"/>
      <c r="B228" s="1235"/>
      <c r="C228" s="1236" t="s">
        <v>558</v>
      </c>
      <c r="D228" s="1237" t="s">
        <v>36</v>
      </c>
      <c r="E228" s="1023">
        <v>3</v>
      </c>
      <c r="F228" s="1238">
        <v>150</v>
      </c>
      <c r="G228" s="1025">
        <f t="shared" si="2"/>
        <v>450</v>
      </c>
      <c r="H228" s="1023"/>
      <c r="I228" s="322"/>
      <c r="J228"/>
      <c r="K228"/>
    </row>
    <row r="229" spans="1:11" x14ac:dyDescent="0.2">
      <c r="A229" s="1017"/>
      <c r="B229" s="1235" t="s">
        <v>556</v>
      </c>
      <c r="C229" s="1236" t="s">
        <v>557</v>
      </c>
      <c r="D229" s="1237" t="s">
        <v>15</v>
      </c>
      <c r="E229" s="1023">
        <v>1</v>
      </c>
      <c r="F229" s="1214">
        <v>105</v>
      </c>
      <c r="G229" s="1025">
        <f t="shared" si="2"/>
        <v>105</v>
      </c>
      <c r="H229" s="1023">
        <f>SUM(G227:G229)</f>
        <v>655</v>
      </c>
      <c r="I229" s="2189" t="s">
        <v>1006</v>
      </c>
      <c r="J229"/>
      <c r="K229"/>
    </row>
    <row r="230" spans="1:11" x14ac:dyDescent="0.2">
      <c r="A230" s="1833" t="s">
        <v>417</v>
      </c>
      <c r="B230" s="1834" t="s">
        <v>554</v>
      </c>
      <c r="C230" s="1835" t="s">
        <v>95</v>
      </c>
      <c r="D230" s="1836" t="s">
        <v>16</v>
      </c>
      <c r="E230" s="1837">
        <v>1</v>
      </c>
      <c r="F230" s="1838">
        <v>100</v>
      </c>
      <c r="G230" s="1839">
        <f t="shared" si="2"/>
        <v>100</v>
      </c>
      <c r="H230" s="1837"/>
      <c r="I230" s="322"/>
      <c r="J230"/>
      <c r="K230"/>
    </row>
    <row r="231" spans="1:11" x14ac:dyDescent="0.2">
      <c r="A231" s="1026"/>
      <c r="B231" s="1239"/>
      <c r="C231" s="1240" t="s">
        <v>558</v>
      </c>
      <c r="D231" s="1035" t="s">
        <v>36</v>
      </c>
      <c r="E231" s="1032">
        <v>3</v>
      </c>
      <c r="F231" s="1036">
        <v>150</v>
      </c>
      <c r="G231" s="1034">
        <f t="shared" si="2"/>
        <v>450</v>
      </c>
      <c r="H231" s="1032"/>
      <c r="I231" s="322"/>
      <c r="J231"/>
      <c r="K231"/>
    </row>
    <row r="232" spans="1:11" x14ac:dyDescent="0.2">
      <c r="A232" s="1037"/>
      <c r="B232" s="1840" t="s">
        <v>556</v>
      </c>
      <c r="C232" s="1841" t="s">
        <v>557</v>
      </c>
      <c r="D232" s="1842" t="s">
        <v>15</v>
      </c>
      <c r="E232" s="1041">
        <v>1</v>
      </c>
      <c r="F232" s="2188">
        <v>101</v>
      </c>
      <c r="G232" s="1040">
        <f t="shared" si="2"/>
        <v>101</v>
      </c>
      <c r="H232" s="1041">
        <f>SUM(G230:G232)</f>
        <v>651</v>
      </c>
      <c r="I232" s="2189" t="s">
        <v>1008</v>
      </c>
      <c r="J232"/>
      <c r="K232"/>
    </row>
    <row r="233" spans="1:11" x14ac:dyDescent="0.2">
      <c r="A233" s="1042" t="s">
        <v>418</v>
      </c>
      <c r="B233" s="2019" t="s">
        <v>876</v>
      </c>
      <c r="C233" s="1242" t="s">
        <v>561</v>
      </c>
      <c r="D233" s="1243" t="s">
        <v>16</v>
      </c>
      <c r="E233" s="1048">
        <v>5</v>
      </c>
      <c r="F233" s="1244">
        <v>200</v>
      </c>
      <c r="G233" s="1050">
        <f t="shared" si="2"/>
        <v>1000</v>
      </c>
      <c r="H233" s="1048"/>
      <c r="I233" s="322"/>
      <c r="J233"/>
      <c r="K233"/>
    </row>
    <row r="234" spans="1:11" x14ac:dyDescent="0.2">
      <c r="A234" s="1042"/>
      <c r="B234" s="1241"/>
      <c r="C234" s="1242" t="s">
        <v>559</v>
      </c>
      <c r="D234" s="1243" t="s">
        <v>36</v>
      </c>
      <c r="E234" s="1048">
        <v>15</v>
      </c>
      <c r="F234" s="1244">
        <v>150</v>
      </c>
      <c r="G234" s="1050">
        <f t="shared" si="2"/>
        <v>2250</v>
      </c>
      <c r="H234" s="1048"/>
      <c r="I234" s="322"/>
      <c r="J234"/>
      <c r="K234"/>
    </row>
    <row r="235" spans="1:11" x14ac:dyDescent="0.2">
      <c r="A235" s="1042"/>
      <c r="B235" s="1241" t="s">
        <v>556</v>
      </c>
      <c r="C235" s="1242" t="s">
        <v>557</v>
      </c>
      <c r="D235" s="1243" t="s">
        <v>15</v>
      </c>
      <c r="E235" s="1048">
        <v>1</v>
      </c>
      <c r="F235" s="1214">
        <v>93</v>
      </c>
      <c r="G235" s="1050">
        <f t="shared" si="2"/>
        <v>93</v>
      </c>
      <c r="H235" s="1048">
        <f>SUM(G233:G235)</f>
        <v>3343</v>
      </c>
      <c r="I235" s="2189" t="s">
        <v>1009</v>
      </c>
      <c r="J235"/>
      <c r="K235"/>
    </row>
    <row r="236" spans="1:11" x14ac:dyDescent="0.2">
      <c r="A236" s="1073" t="s">
        <v>419</v>
      </c>
      <c r="B236" s="1825" t="s">
        <v>554</v>
      </c>
      <c r="C236" s="1826" t="s">
        <v>69</v>
      </c>
      <c r="D236" s="1827" t="s">
        <v>16</v>
      </c>
      <c r="E236" s="1079">
        <v>1</v>
      </c>
      <c r="F236" s="1828">
        <v>350</v>
      </c>
      <c r="G236" s="1829">
        <f t="shared" si="2"/>
        <v>350</v>
      </c>
      <c r="H236" s="1079"/>
      <c r="I236" s="322"/>
      <c r="J236"/>
      <c r="K236"/>
    </row>
    <row r="237" spans="1:11" x14ac:dyDescent="0.2">
      <c r="A237" s="1080"/>
      <c r="B237" s="1245"/>
      <c r="C237" s="1246" t="s">
        <v>558</v>
      </c>
      <c r="D237" s="1247" t="s">
        <v>36</v>
      </c>
      <c r="E237" s="1084">
        <v>3</v>
      </c>
      <c r="F237" s="1248">
        <v>150</v>
      </c>
      <c r="G237" s="1083">
        <f t="shared" si="2"/>
        <v>450</v>
      </c>
      <c r="H237" s="1084"/>
      <c r="I237" s="322"/>
      <c r="J237"/>
      <c r="K237"/>
    </row>
    <row r="238" spans="1:11" x14ac:dyDescent="0.2">
      <c r="A238" s="1085"/>
      <c r="B238" s="1830" t="s">
        <v>556</v>
      </c>
      <c r="C238" s="1831" t="s">
        <v>557</v>
      </c>
      <c r="D238" s="1832" t="s">
        <v>15</v>
      </c>
      <c r="E238" s="1089">
        <v>1</v>
      </c>
      <c r="F238" s="2188">
        <v>103</v>
      </c>
      <c r="G238" s="1088">
        <f t="shared" si="2"/>
        <v>103</v>
      </c>
      <c r="H238" s="1089">
        <f>SUM(G236:G238)</f>
        <v>903</v>
      </c>
      <c r="I238" s="2189" t="s">
        <v>1010</v>
      </c>
      <c r="J238"/>
      <c r="K238"/>
    </row>
    <row r="239" spans="1:11" x14ac:dyDescent="0.2">
      <c r="A239" s="1097" t="s">
        <v>420</v>
      </c>
      <c r="B239" s="1249" t="s">
        <v>554</v>
      </c>
      <c r="C239" s="1250" t="s">
        <v>71</v>
      </c>
      <c r="D239" s="1251" t="s">
        <v>16</v>
      </c>
      <c r="E239" s="1101">
        <v>1</v>
      </c>
      <c r="F239" s="1252">
        <v>200</v>
      </c>
      <c r="G239" s="1100">
        <f t="shared" si="2"/>
        <v>200</v>
      </c>
      <c r="H239" s="1101"/>
      <c r="I239" s="322"/>
      <c r="J239"/>
      <c r="K239"/>
    </row>
    <row r="240" spans="1:11" x14ac:dyDescent="0.2">
      <c r="A240" s="1097"/>
      <c r="B240" s="1249"/>
      <c r="C240" s="1250" t="s">
        <v>558</v>
      </c>
      <c r="D240" s="1251" t="s">
        <v>36</v>
      </c>
      <c r="E240" s="1101">
        <v>3</v>
      </c>
      <c r="F240" s="1252">
        <v>170</v>
      </c>
      <c r="G240" s="1100">
        <f t="shared" si="2"/>
        <v>510</v>
      </c>
      <c r="H240" s="1101"/>
      <c r="I240" s="322"/>
      <c r="J240"/>
      <c r="K240"/>
    </row>
    <row r="241" spans="1:11" x14ac:dyDescent="0.2">
      <c r="A241" s="1097"/>
      <c r="B241" s="1249" t="s">
        <v>556</v>
      </c>
      <c r="C241" s="1250" t="s">
        <v>557</v>
      </c>
      <c r="D241" s="1251" t="s">
        <v>15</v>
      </c>
      <c r="E241" s="1101">
        <v>1</v>
      </c>
      <c r="F241" s="1214">
        <v>101</v>
      </c>
      <c r="G241" s="1100">
        <f t="shared" si="2"/>
        <v>101</v>
      </c>
      <c r="H241" s="1101">
        <f>SUM(G239:G241)</f>
        <v>811</v>
      </c>
      <c r="I241" s="2189" t="s">
        <v>1008</v>
      </c>
      <c r="J241"/>
      <c r="K241"/>
    </row>
    <row r="242" spans="1:11" x14ac:dyDescent="0.2">
      <c r="A242" s="1107" t="s">
        <v>949</v>
      </c>
      <c r="B242" s="1818" t="s">
        <v>554</v>
      </c>
      <c r="C242" s="1819" t="s">
        <v>969</v>
      </c>
      <c r="D242" s="2066" t="s">
        <v>971</v>
      </c>
      <c r="E242" s="1113">
        <v>1</v>
      </c>
      <c r="F242" s="2384">
        <v>202</v>
      </c>
      <c r="G242" s="1820">
        <f t="shared" si="2"/>
        <v>202</v>
      </c>
      <c r="H242" s="1113"/>
      <c r="I242" s="2189" t="s">
        <v>1011</v>
      </c>
      <c r="J242"/>
      <c r="K242"/>
    </row>
    <row r="243" spans="1:11" x14ac:dyDescent="0.2">
      <c r="A243" s="1114"/>
      <c r="B243" s="1253"/>
      <c r="C243" s="1254" t="s">
        <v>970</v>
      </c>
      <c r="D243" s="1255" t="s">
        <v>36</v>
      </c>
      <c r="E243" s="1118">
        <v>3</v>
      </c>
      <c r="F243" s="1256">
        <v>150</v>
      </c>
      <c r="G243" s="1117">
        <f t="shared" si="2"/>
        <v>450</v>
      </c>
      <c r="H243" s="1118"/>
      <c r="I243" s="2383"/>
      <c r="J243"/>
      <c r="K243"/>
    </row>
    <row r="244" spans="1:11" x14ac:dyDescent="0.2">
      <c r="A244" s="1119"/>
      <c r="B244" s="1821" t="s">
        <v>556</v>
      </c>
      <c r="C244" s="1822" t="s">
        <v>557</v>
      </c>
      <c r="D244" s="1823" t="s">
        <v>15</v>
      </c>
      <c r="E244" s="1123">
        <v>0</v>
      </c>
      <c r="F244" s="1824">
        <v>0</v>
      </c>
      <c r="G244" s="1122">
        <f t="shared" si="2"/>
        <v>0</v>
      </c>
      <c r="H244" s="1123">
        <f>SUM(G242:G244)</f>
        <v>652</v>
      </c>
      <c r="I244" s="2382"/>
      <c r="J244"/>
      <c r="K244"/>
    </row>
    <row r="245" spans="1:11" x14ac:dyDescent="0.2">
      <c r="A245" s="1131" t="s">
        <v>421</v>
      </c>
      <c r="B245" s="1257" t="s">
        <v>554</v>
      </c>
      <c r="C245" s="1258" t="s">
        <v>474</v>
      </c>
      <c r="D245" s="1259" t="s">
        <v>16</v>
      </c>
      <c r="E245" s="1135">
        <v>1</v>
      </c>
      <c r="F245" s="1260">
        <v>300</v>
      </c>
      <c r="G245" s="1134">
        <f t="shared" si="2"/>
        <v>300</v>
      </c>
      <c r="H245" s="1135"/>
      <c r="I245" s="322"/>
      <c r="J245"/>
      <c r="K245"/>
    </row>
    <row r="246" spans="1:11" x14ac:dyDescent="0.2">
      <c r="A246" s="1131"/>
      <c r="B246" s="1257"/>
      <c r="C246" s="1258" t="s">
        <v>558</v>
      </c>
      <c r="D246" s="1259" t="s">
        <v>36</v>
      </c>
      <c r="E246" s="1135">
        <v>3</v>
      </c>
      <c r="F246" s="1260">
        <v>170</v>
      </c>
      <c r="G246" s="1134">
        <f t="shared" si="2"/>
        <v>510</v>
      </c>
      <c r="H246" s="1135"/>
      <c r="I246" s="322"/>
      <c r="J246"/>
      <c r="K246"/>
    </row>
    <row r="247" spans="1:11" x14ac:dyDescent="0.2">
      <c r="A247" s="1131"/>
      <c r="B247" s="1257" t="s">
        <v>556</v>
      </c>
      <c r="C247" s="1258" t="s">
        <v>557</v>
      </c>
      <c r="D247" s="1259" t="s">
        <v>15</v>
      </c>
      <c r="E247" s="1135">
        <v>1</v>
      </c>
      <c r="F247" s="1214">
        <v>99</v>
      </c>
      <c r="G247" s="1134">
        <f t="shared" si="2"/>
        <v>99</v>
      </c>
      <c r="H247" s="1135">
        <f>SUM(G245:G247)</f>
        <v>909</v>
      </c>
      <c r="I247" s="2189" t="s">
        <v>1012</v>
      </c>
      <c r="J247"/>
      <c r="K247"/>
    </row>
    <row r="248" spans="1:11" x14ac:dyDescent="0.2">
      <c r="A248" s="867" t="s">
        <v>422</v>
      </c>
      <c r="B248" s="1809" t="s">
        <v>554</v>
      </c>
      <c r="C248" s="1810" t="s">
        <v>474</v>
      </c>
      <c r="D248" s="1811" t="s">
        <v>16</v>
      </c>
      <c r="E248" s="873">
        <v>1</v>
      </c>
      <c r="F248" s="1812">
        <v>300</v>
      </c>
      <c r="G248" s="1813">
        <f t="shared" si="2"/>
        <v>300</v>
      </c>
      <c r="H248" s="873"/>
      <c r="I248" s="322"/>
      <c r="J248"/>
      <c r="K248"/>
    </row>
    <row r="249" spans="1:11" x14ac:dyDescent="0.2">
      <c r="A249" s="548"/>
      <c r="B249" s="1202"/>
      <c r="C249" s="1203" t="s">
        <v>558</v>
      </c>
      <c r="D249" s="1204" t="s">
        <v>36</v>
      </c>
      <c r="E249" s="553">
        <v>3</v>
      </c>
      <c r="F249" s="1205">
        <v>170</v>
      </c>
      <c r="G249" s="554">
        <f t="shared" si="2"/>
        <v>510</v>
      </c>
      <c r="H249" s="553"/>
      <c r="I249" s="322"/>
      <c r="J249"/>
      <c r="K249"/>
    </row>
    <row r="250" spans="1:11" x14ac:dyDescent="0.2">
      <c r="A250" s="874"/>
      <c r="B250" s="1814" t="s">
        <v>556</v>
      </c>
      <c r="C250" s="1815" t="s">
        <v>557</v>
      </c>
      <c r="D250" s="1816" t="s">
        <v>15</v>
      </c>
      <c r="E250" s="875">
        <v>1</v>
      </c>
      <c r="F250" s="1817">
        <v>300</v>
      </c>
      <c r="G250" s="866">
        <f t="shared" si="2"/>
        <v>300</v>
      </c>
      <c r="H250" s="875">
        <f>SUM(G248:G250)</f>
        <v>1110</v>
      </c>
      <c r="I250" s="2382"/>
      <c r="J250"/>
      <c r="K250"/>
    </row>
    <row r="251" spans="1:11" x14ac:dyDescent="0.2">
      <c r="A251" s="2132" t="s">
        <v>950</v>
      </c>
      <c r="B251" s="2170" t="s">
        <v>554</v>
      </c>
      <c r="C251" s="2171" t="s">
        <v>70</v>
      </c>
      <c r="D251" s="2172" t="s">
        <v>16</v>
      </c>
      <c r="E251" s="2138">
        <v>0</v>
      </c>
      <c r="F251" s="2173">
        <v>24</v>
      </c>
      <c r="G251" s="2174">
        <f t="shared" ref="G251:G253" si="3">F251*E251</f>
        <v>0</v>
      </c>
      <c r="H251" s="2138"/>
      <c r="I251" s="2385"/>
      <c r="J251"/>
      <c r="K251"/>
    </row>
    <row r="252" spans="1:11" x14ac:dyDescent="0.2">
      <c r="A252" s="2081"/>
      <c r="B252" s="2119"/>
      <c r="C252" s="2120" t="s">
        <v>558</v>
      </c>
      <c r="D252" s="2121" t="s">
        <v>36</v>
      </c>
      <c r="E252" s="2087">
        <v>0</v>
      </c>
      <c r="F252" s="2122">
        <v>150</v>
      </c>
      <c r="G252" s="2089">
        <f t="shared" si="3"/>
        <v>0</v>
      </c>
      <c r="H252" s="2087"/>
      <c r="I252" s="2383"/>
      <c r="J252"/>
      <c r="K252"/>
    </row>
    <row r="253" spans="1:11" x14ac:dyDescent="0.2">
      <c r="A253" s="2139"/>
      <c r="B253" s="2175" t="s">
        <v>556</v>
      </c>
      <c r="C253" s="2176" t="s">
        <v>557</v>
      </c>
      <c r="D253" s="2177" t="s">
        <v>15</v>
      </c>
      <c r="E253" s="2143">
        <v>0</v>
      </c>
      <c r="F253" s="2178">
        <v>500</v>
      </c>
      <c r="G253" s="2142">
        <f t="shared" si="3"/>
        <v>0</v>
      </c>
      <c r="H253" s="2143">
        <f>SUM(G251:G253)</f>
        <v>0</v>
      </c>
      <c r="I253" s="2382"/>
      <c r="J253"/>
      <c r="K253"/>
    </row>
    <row r="254" spans="1:11" x14ac:dyDescent="0.2">
      <c r="A254" s="2156" t="s">
        <v>951</v>
      </c>
      <c r="B254" s="2157" t="s">
        <v>554</v>
      </c>
      <c r="C254" s="2158" t="s">
        <v>978</v>
      </c>
      <c r="D254" s="2159" t="s">
        <v>16</v>
      </c>
      <c r="E254" s="2160">
        <v>1</v>
      </c>
      <c r="F254" s="2161">
        <v>200</v>
      </c>
      <c r="G254" s="2162">
        <f t="shared" ref="G254:G256" si="4">F254*E254</f>
        <v>200</v>
      </c>
      <c r="H254" s="2160"/>
      <c r="I254" s="2383"/>
      <c r="J254"/>
      <c r="K254"/>
    </row>
    <row r="255" spans="1:11" x14ac:dyDescent="0.2">
      <c r="A255" s="2094"/>
      <c r="B255" s="2127"/>
      <c r="C255" s="2128" t="s">
        <v>558</v>
      </c>
      <c r="D255" s="2129" t="s">
        <v>36</v>
      </c>
      <c r="E255" s="2100">
        <v>3</v>
      </c>
      <c r="F255" s="2130">
        <v>150</v>
      </c>
      <c r="G255" s="2102">
        <f t="shared" si="4"/>
        <v>450</v>
      </c>
      <c r="H255" s="2100"/>
      <c r="I255" s="2383"/>
      <c r="J255"/>
      <c r="K255"/>
    </row>
    <row r="256" spans="1:11" x14ac:dyDescent="0.2">
      <c r="A256" s="2163"/>
      <c r="B256" s="2164" t="s">
        <v>556</v>
      </c>
      <c r="C256" s="2165" t="s">
        <v>557</v>
      </c>
      <c r="D256" s="2166" t="s">
        <v>15</v>
      </c>
      <c r="E256" s="2167">
        <v>0</v>
      </c>
      <c r="F256" s="2168">
        <v>0</v>
      </c>
      <c r="G256" s="2169">
        <f t="shared" si="4"/>
        <v>0</v>
      </c>
      <c r="H256" s="2167">
        <f>SUM(G254:G256)</f>
        <v>650</v>
      </c>
      <c r="I256" s="2382"/>
      <c r="J256"/>
      <c r="K256"/>
    </row>
    <row r="257" spans="1:11" x14ac:dyDescent="0.2">
      <c r="A257" s="2144" t="s">
        <v>952</v>
      </c>
      <c r="B257" s="2179" t="s">
        <v>554</v>
      </c>
      <c r="C257" s="2180" t="s">
        <v>979</v>
      </c>
      <c r="D257" s="2181" t="s">
        <v>16</v>
      </c>
      <c r="E257" s="2150">
        <v>1</v>
      </c>
      <c r="F257" s="2182">
        <v>350</v>
      </c>
      <c r="G257" s="2183">
        <f t="shared" ref="G257:G259" si="5">F257*E257</f>
        <v>350</v>
      </c>
      <c r="H257" s="2150"/>
      <c r="I257" s="2383"/>
      <c r="J257"/>
      <c r="K257"/>
    </row>
    <row r="258" spans="1:11" x14ac:dyDescent="0.2">
      <c r="A258" s="2107"/>
      <c r="B258" s="2123"/>
      <c r="C258" s="2124" t="s">
        <v>558</v>
      </c>
      <c r="D258" s="2125" t="s">
        <v>36</v>
      </c>
      <c r="E258" s="2112">
        <v>3</v>
      </c>
      <c r="F258" s="2126">
        <v>150</v>
      </c>
      <c r="G258" s="2114">
        <f t="shared" si="5"/>
        <v>450</v>
      </c>
      <c r="H258" s="2112"/>
      <c r="I258" s="2383"/>
      <c r="J258"/>
      <c r="K258"/>
    </row>
    <row r="259" spans="1:11" x14ac:dyDescent="0.2">
      <c r="A259" s="2151"/>
      <c r="B259" s="2184" t="s">
        <v>556</v>
      </c>
      <c r="C259" s="2185" t="s">
        <v>557</v>
      </c>
      <c r="D259" s="2186" t="s">
        <v>15</v>
      </c>
      <c r="E259" s="2155">
        <v>1</v>
      </c>
      <c r="F259" s="2187">
        <v>100</v>
      </c>
      <c r="G259" s="2154">
        <f t="shared" si="5"/>
        <v>100</v>
      </c>
      <c r="H259" s="2155">
        <f>SUM(G257:G259)</f>
        <v>900</v>
      </c>
      <c r="I259" s="2382"/>
      <c r="J259"/>
      <c r="K259"/>
    </row>
    <row r="260" spans="1:11" x14ac:dyDescent="0.2">
      <c r="A260" s="152" t="s">
        <v>9</v>
      </c>
      <c r="B260" s="153"/>
      <c r="C260" s="228"/>
      <c r="D260" s="153"/>
      <c r="E260" s="1431"/>
      <c r="F260" s="154"/>
      <c r="G260" s="154"/>
      <c r="H260" s="155">
        <f>SUM(H185:H259)</f>
        <v>42896</v>
      </c>
    </row>
    <row r="261" spans="1:11" x14ac:dyDescent="0.2">
      <c r="A261" s="76" t="s">
        <v>27</v>
      </c>
      <c r="B261" s="6"/>
      <c r="C261" s="217"/>
      <c r="D261" s="6"/>
      <c r="E261" s="144"/>
      <c r="F261" s="21"/>
      <c r="G261" s="21"/>
      <c r="H261" s="22"/>
    </row>
    <row r="262" spans="1:11" x14ac:dyDescent="0.2">
      <c r="A262" s="77"/>
      <c r="B262" s="43" t="s">
        <v>37</v>
      </c>
      <c r="C262" s="220"/>
      <c r="D262" s="43"/>
      <c r="E262" s="128"/>
      <c r="F262" s="44"/>
      <c r="G262" s="23">
        <f>F262*E262</f>
        <v>0</v>
      </c>
      <c r="H262" s="24">
        <f>SUM(G261:G262)</f>
        <v>0</v>
      </c>
    </row>
    <row r="263" spans="1:11" x14ac:dyDescent="0.2">
      <c r="A263" s="78" t="s">
        <v>10</v>
      </c>
      <c r="B263" s="12"/>
      <c r="C263" s="219"/>
      <c r="D263" s="12"/>
      <c r="E263" s="145"/>
      <c r="F263" s="27"/>
      <c r="G263" s="27"/>
      <c r="H263" s="28">
        <v>0</v>
      </c>
    </row>
    <row r="264" spans="1:11" x14ac:dyDescent="0.2">
      <c r="A264" s="76" t="s">
        <v>76</v>
      </c>
      <c r="B264" s="6"/>
      <c r="C264" s="217"/>
      <c r="D264" s="6"/>
      <c r="E264" s="144"/>
      <c r="F264" s="21"/>
      <c r="G264" s="21"/>
      <c r="H264" s="22">
        <f>SUM(G264:G264)</f>
        <v>0</v>
      </c>
    </row>
    <row r="265" spans="1:11" x14ac:dyDescent="0.2">
      <c r="A265" s="610" t="s">
        <v>309</v>
      </c>
      <c r="B265" s="1439" t="s">
        <v>26</v>
      </c>
      <c r="C265" s="1440" t="s">
        <v>86</v>
      </c>
      <c r="D265" s="1441" t="s">
        <v>14</v>
      </c>
      <c r="E265" s="1442">
        <v>1</v>
      </c>
      <c r="F265" s="1443">
        <v>10000</v>
      </c>
      <c r="G265" s="1444">
        <f>F265*E265</f>
        <v>10000</v>
      </c>
      <c r="H265" s="1287"/>
    </row>
    <row r="266" spans="1:11" x14ac:dyDescent="0.2">
      <c r="A266" s="617"/>
      <c r="B266" s="1187" t="s">
        <v>564</v>
      </c>
      <c r="C266" s="1188" t="s">
        <v>566</v>
      </c>
      <c r="D266" s="1445"/>
      <c r="E266" s="1446"/>
      <c r="F266" s="1298"/>
      <c r="G266" s="1447">
        <f>F266*E266</f>
        <v>0</v>
      </c>
      <c r="H266" s="1290"/>
    </row>
    <row r="267" spans="1:11" x14ac:dyDescent="0.2">
      <c r="A267" s="617"/>
      <c r="B267" s="1187" t="s">
        <v>563</v>
      </c>
      <c r="C267" s="1188" t="s">
        <v>562</v>
      </c>
      <c r="D267" s="1445"/>
      <c r="E267" s="1446"/>
      <c r="F267" s="1298"/>
      <c r="G267" s="1447">
        <f>F267*E267</f>
        <v>0</v>
      </c>
      <c r="H267" s="1290"/>
    </row>
    <row r="268" spans="1:11" x14ac:dyDescent="0.2">
      <c r="A268" s="617"/>
      <c r="B268" s="1448" t="s">
        <v>61</v>
      </c>
      <c r="C268" s="1188" t="s">
        <v>121</v>
      </c>
      <c r="D268" s="1449" t="s">
        <v>109</v>
      </c>
      <c r="E268" s="1450">
        <v>5</v>
      </c>
      <c r="F268" s="1290">
        <v>1000</v>
      </c>
      <c r="G268" s="1447">
        <f>F268*E268</f>
        <v>5000</v>
      </c>
      <c r="H268" s="1290"/>
    </row>
    <row r="269" spans="1:11" s="73" customFormat="1" x14ac:dyDescent="0.2">
      <c r="A269" s="627"/>
      <c r="B269" s="1451" t="s">
        <v>887</v>
      </c>
      <c r="C269" s="1452" t="s">
        <v>565</v>
      </c>
      <c r="D269" s="1451" t="s">
        <v>14</v>
      </c>
      <c r="E269" s="1453">
        <v>2</v>
      </c>
      <c r="F269" s="1414">
        <v>1000</v>
      </c>
      <c r="G269" s="1453">
        <f>F269*E269</f>
        <v>2000</v>
      </c>
      <c r="H269" s="1414">
        <f>SUM(G265:G269)</f>
        <v>17000</v>
      </c>
      <c r="I269" s="96"/>
      <c r="J269" s="94"/>
      <c r="K269" s="94"/>
    </row>
    <row r="270" spans="1:11" x14ac:dyDescent="0.2">
      <c r="A270" s="1458" t="s">
        <v>311</v>
      </c>
      <c r="B270" s="1459" t="s">
        <v>59</v>
      </c>
      <c r="C270" s="1460" t="s">
        <v>567</v>
      </c>
      <c r="D270" s="1459" t="s">
        <v>14</v>
      </c>
      <c r="E270" s="1461">
        <v>1</v>
      </c>
      <c r="F270" s="1462">
        <v>500</v>
      </c>
      <c r="G270" s="1463">
        <f t="shared" ref="G270:G281" si="6">F270*E270</f>
        <v>500</v>
      </c>
      <c r="H270" s="1462"/>
      <c r="I270" s="96"/>
    </row>
    <row r="271" spans="1:11" x14ac:dyDescent="0.2">
      <c r="A271" s="1415"/>
      <c r="B271" s="1523" t="s">
        <v>571</v>
      </c>
      <c r="C271" s="1454" t="s">
        <v>572</v>
      </c>
      <c r="D271" s="1523" t="s">
        <v>16</v>
      </c>
      <c r="E271" s="1455">
        <v>2</v>
      </c>
      <c r="F271" s="1456">
        <v>400</v>
      </c>
      <c r="G271" s="1457">
        <f t="shared" si="6"/>
        <v>800</v>
      </c>
      <c r="H271" s="1456"/>
      <c r="I271" s="96"/>
    </row>
    <row r="272" spans="1:11" x14ac:dyDescent="0.2">
      <c r="A272" s="1464"/>
      <c r="B272" s="1518" t="s">
        <v>556</v>
      </c>
      <c r="C272" s="1466" t="s">
        <v>568</v>
      </c>
      <c r="D272" s="1465" t="s">
        <v>14</v>
      </c>
      <c r="E272" s="1467">
        <v>1</v>
      </c>
      <c r="F272" s="1468">
        <v>500</v>
      </c>
      <c r="G272" s="1469">
        <f>F272*E272</f>
        <v>500</v>
      </c>
      <c r="H272" s="1468">
        <f>SUM(G270:G272)</f>
        <v>1800</v>
      </c>
      <c r="I272" s="96"/>
    </row>
    <row r="273" spans="1:9" x14ac:dyDescent="0.2">
      <c r="A273" s="853" t="s">
        <v>407</v>
      </c>
      <c r="B273" s="1478" t="s">
        <v>59</v>
      </c>
      <c r="C273" s="1479" t="s">
        <v>567</v>
      </c>
      <c r="D273" s="1478" t="s">
        <v>14</v>
      </c>
      <c r="E273" s="1480">
        <v>1</v>
      </c>
      <c r="F273" s="1314">
        <v>500</v>
      </c>
      <c r="G273" s="1481">
        <f t="shared" si="6"/>
        <v>500</v>
      </c>
      <c r="H273" s="1314"/>
      <c r="I273" s="96"/>
    </row>
    <row r="274" spans="1:9" x14ac:dyDescent="0.2">
      <c r="A274" s="836"/>
      <c r="B274" s="845" t="s">
        <v>571</v>
      </c>
      <c r="C274" s="844" t="s">
        <v>573</v>
      </c>
      <c r="D274" s="845" t="s">
        <v>16</v>
      </c>
      <c r="E274" s="1519">
        <v>2</v>
      </c>
      <c r="F274" s="1318">
        <v>300</v>
      </c>
      <c r="G274" s="1520">
        <f t="shared" si="6"/>
        <v>600</v>
      </c>
      <c r="H274" s="1318"/>
      <c r="I274" s="96"/>
    </row>
    <row r="275" spans="1:9" x14ac:dyDescent="0.2">
      <c r="A275" s="857"/>
      <c r="B275" s="851" t="s">
        <v>556</v>
      </c>
      <c r="C275" s="1483" t="s">
        <v>568</v>
      </c>
      <c r="D275" s="1482" t="s">
        <v>14</v>
      </c>
      <c r="E275" s="1484">
        <v>1</v>
      </c>
      <c r="F275" s="1322">
        <v>500</v>
      </c>
      <c r="G275" s="1485">
        <f t="shared" si="6"/>
        <v>500</v>
      </c>
      <c r="H275" s="1322">
        <f>SUM(G273:G275)</f>
        <v>1600</v>
      </c>
      <c r="I275" s="96"/>
    </row>
    <row r="276" spans="1:9" x14ac:dyDescent="0.2">
      <c r="A276" s="867" t="s">
        <v>408</v>
      </c>
      <c r="B276" s="1470" t="s">
        <v>59</v>
      </c>
      <c r="C276" s="1471" t="s">
        <v>567</v>
      </c>
      <c r="D276" s="1470" t="s">
        <v>14</v>
      </c>
      <c r="E276" s="1472">
        <v>1</v>
      </c>
      <c r="F276" s="1473">
        <v>500</v>
      </c>
      <c r="G276" s="1474">
        <f t="shared" si="6"/>
        <v>500</v>
      </c>
      <c r="H276" s="1473"/>
      <c r="I276" s="96"/>
    </row>
    <row r="277" spans="1:9" x14ac:dyDescent="0.2">
      <c r="A277" s="548"/>
      <c r="B277" s="549" t="s">
        <v>571</v>
      </c>
      <c r="C277" s="556" t="s">
        <v>573</v>
      </c>
      <c r="D277" s="549" t="s">
        <v>16</v>
      </c>
      <c r="E277" s="1521">
        <v>2</v>
      </c>
      <c r="F277" s="1327">
        <v>350</v>
      </c>
      <c r="G277" s="1522">
        <f t="shared" si="6"/>
        <v>700</v>
      </c>
      <c r="H277" s="1327"/>
      <c r="I277" s="96"/>
    </row>
    <row r="278" spans="1:9" x14ac:dyDescent="0.2">
      <c r="A278" s="874"/>
      <c r="B278" s="865" t="s">
        <v>556</v>
      </c>
      <c r="C278" s="1438" t="s">
        <v>568</v>
      </c>
      <c r="D278" s="1475" t="s">
        <v>14</v>
      </c>
      <c r="E278" s="1476">
        <v>1</v>
      </c>
      <c r="F278" s="1332">
        <v>500</v>
      </c>
      <c r="G278" s="1477">
        <f t="shared" si="6"/>
        <v>500</v>
      </c>
      <c r="H278" s="1332">
        <f>SUM(G276:G278)</f>
        <v>1700</v>
      </c>
      <c r="I278" s="96"/>
    </row>
    <row r="279" spans="1:9" x14ac:dyDescent="0.2">
      <c r="A279" s="876" t="s">
        <v>409</v>
      </c>
      <c r="B279" s="1486" t="s">
        <v>59</v>
      </c>
      <c r="C279" s="883" t="s">
        <v>567</v>
      </c>
      <c r="D279" s="1486" t="s">
        <v>14</v>
      </c>
      <c r="E279" s="1487">
        <v>1</v>
      </c>
      <c r="F279" s="1337">
        <v>750</v>
      </c>
      <c r="G279" s="1488">
        <f t="shared" si="6"/>
        <v>750</v>
      </c>
      <c r="H279" s="1337"/>
      <c r="I279" s="96"/>
    </row>
    <row r="280" spans="1:9" x14ac:dyDescent="0.2">
      <c r="A280" s="876"/>
      <c r="B280" s="884" t="s">
        <v>571</v>
      </c>
      <c r="C280" s="883" t="s">
        <v>573</v>
      </c>
      <c r="D280" s="884" t="s">
        <v>73</v>
      </c>
      <c r="E280" s="1487">
        <v>2</v>
      </c>
      <c r="F280" s="1337">
        <v>25</v>
      </c>
      <c r="G280" s="1488">
        <f t="shared" si="6"/>
        <v>50</v>
      </c>
      <c r="H280" s="1337"/>
      <c r="I280" s="96"/>
    </row>
    <row r="281" spans="1:9" x14ac:dyDescent="0.2">
      <c r="A281" s="876"/>
      <c r="B281" s="884" t="s">
        <v>556</v>
      </c>
      <c r="C281" s="883" t="s">
        <v>568</v>
      </c>
      <c r="D281" s="1486" t="s">
        <v>14</v>
      </c>
      <c r="E281" s="1487">
        <v>1</v>
      </c>
      <c r="F281" s="1337">
        <v>500</v>
      </c>
      <c r="G281" s="1488">
        <f t="shared" si="6"/>
        <v>500</v>
      </c>
      <c r="H281" s="1337">
        <f>SUM(G279:G281)</f>
        <v>1300</v>
      </c>
      <c r="I281" s="170"/>
    </row>
    <row r="282" spans="1:9" x14ac:dyDescent="0.2">
      <c r="A282" s="900" t="s">
        <v>410</v>
      </c>
      <c r="B282" s="1495" t="s">
        <v>59</v>
      </c>
      <c r="C282" s="1496" t="s">
        <v>567</v>
      </c>
      <c r="D282" s="1495" t="s">
        <v>14</v>
      </c>
      <c r="E282" s="1497">
        <v>1</v>
      </c>
      <c r="F282" s="1498">
        <v>750</v>
      </c>
      <c r="G282" s="1499">
        <f>F282*E282</f>
        <v>750</v>
      </c>
      <c r="H282" s="1498"/>
      <c r="I282" s="96"/>
    </row>
    <row r="283" spans="1:9" x14ac:dyDescent="0.2">
      <c r="A283" s="907"/>
      <c r="B283" s="908" t="s">
        <v>571</v>
      </c>
      <c r="C283" s="909" t="s">
        <v>573</v>
      </c>
      <c r="D283" s="908" t="s">
        <v>16</v>
      </c>
      <c r="E283" s="1489">
        <v>2</v>
      </c>
      <c r="F283" s="1346">
        <v>100</v>
      </c>
      <c r="G283" s="1490">
        <f>F283*E283</f>
        <v>200</v>
      </c>
      <c r="H283" s="1346"/>
      <c r="I283" s="96"/>
    </row>
    <row r="284" spans="1:9" x14ac:dyDescent="0.2">
      <c r="A284" s="1347"/>
      <c r="B284" s="919" t="s">
        <v>556</v>
      </c>
      <c r="C284" s="1492" t="s">
        <v>568</v>
      </c>
      <c r="D284" s="1491" t="s">
        <v>14</v>
      </c>
      <c r="E284" s="1493">
        <v>1</v>
      </c>
      <c r="F284" s="1351">
        <v>500</v>
      </c>
      <c r="G284" s="1494">
        <f>F284*E284</f>
        <v>500</v>
      </c>
      <c r="H284" s="1351">
        <f>SUM(G282:G284)</f>
        <v>1450</v>
      </c>
      <c r="I284" s="96"/>
    </row>
    <row r="285" spans="1:9" x14ac:dyDescent="0.2">
      <c r="A285" s="1500" t="s">
        <v>418</v>
      </c>
      <c r="B285" s="1517" t="s">
        <v>59</v>
      </c>
      <c r="C285" s="1502" t="s">
        <v>567</v>
      </c>
      <c r="D285" s="1501" t="s">
        <v>38</v>
      </c>
      <c r="E285" s="1503">
        <v>1</v>
      </c>
      <c r="F285" s="1504">
        <v>750</v>
      </c>
      <c r="G285" s="1505">
        <f t="shared" ref="G285:G291" si="7">F285*E285</f>
        <v>750</v>
      </c>
      <c r="H285" s="1504"/>
      <c r="I285" s="96"/>
    </row>
    <row r="286" spans="1:9" x14ac:dyDescent="0.2">
      <c r="A286" s="1042"/>
      <c r="B286" s="1043" t="s">
        <v>571</v>
      </c>
      <c r="C286" s="1049" t="s">
        <v>573</v>
      </c>
      <c r="D286" s="1043" t="s">
        <v>16</v>
      </c>
      <c r="E286" s="1507">
        <v>2</v>
      </c>
      <c r="F286" s="1508">
        <v>200</v>
      </c>
      <c r="G286" s="1509">
        <f t="shared" si="7"/>
        <v>400</v>
      </c>
      <c r="H286" s="1508"/>
      <c r="I286" s="96"/>
    </row>
    <row r="287" spans="1:9" x14ac:dyDescent="0.2">
      <c r="A287" s="1042"/>
      <c r="B287" s="1043" t="s">
        <v>556</v>
      </c>
      <c r="C287" s="1049" t="s">
        <v>568</v>
      </c>
      <c r="D287" s="1506" t="s">
        <v>38</v>
      </c>
      <c r="E287" s="1507">
        <v>1</v>
      </c>
      <c r="F287" s="1508">
        <v>750</v>
      </c>
      <c r="G287" s="1509">
        <f>F287*E287</f>
        <v>750</v>
      </c>
      <c r="H287" s="1508"/>
      <c r="I287" s="96"/>
    </row>
    <row r="288" spans="1:9" x14ac:dyDescent="0.2">
      <c r="A288" s="1051"/>
      <c r="B288" s="1052"/>
      <c r="C288" s="1053"/>
      <c r="D288" s="1510"/>
      <c r="E288" s="1511">
        <v>0</v>
      </c>
      <c r="F288" s="1512">
        <v>0</v>
      </c>
      <c r="G288" s="1513">
        <f t="shared" si="7"/>
        <v>0</v>
      </c>
      <c r="H288" s="1512">
        <f>SUM(G285:G288)</f>
        <v>1900</v>
      </c>
      <c r="I288" s="96"/>
    </row>
    <row r="289" spans="1:9" x14ac:dyDescent="0.2">
      <c r="A289" s="936" t="s">
        <v>412</v>
      </c>
      <c r="B289" s="944" t="s">
        <v>59</v>
      </c>
      <c r="C289" s="945" t="s">
        <v>567</v>
      </c>
      <c r="D289" s="1514" t="s">
        <v>38</v>
      </c>
      <c r="E289" s="1515">
        <v>1</v>
      </c>
      <c r="F289" s="1373">
        <v>500</v>
      </c>
      <c r="G289" s="1516">
        <f t="shared" si="7"/>
        <v>500</v>
      </c>
      <c r="H289" s="1373"/>
      <c r="I289" s="96"/>
    </row>
    <row r="290" spans="1:9" x14ac:dyDescent="0.2">
      <c r="A290" s="936"/>
      <c r="B290" s="944" t="s">
        <v>571</v>
      </c>
      <c r="C290" s="945" t="s">
        <v>573</v>
      </c>
      <c r="D290" s="944" t="s">
        <v>16</v>
      </c>
      <c r="E290" s="1515">
        <v>2</v>
      </c>
      <c r="F290" s="1373">
        <v>300</v>
      </c>
      <c r="G290" s="1516">
        <f t="shared" si="7"/>
        <v>600</v>
      </c>
      <c r="H290" s="1373"/>
      <c r="I290" s="96"/>
    </row>
    <row r="291" spans="1:9" x14ac:dyDescent="0.2">
      <c r="A291" s="936"/>
      <c r="B291" s="944" t="s">
        <v>556</v>
      </c>
      <c r="C291" s="945" t="s">
        <v>568</v>
      </c>
      <c r="D291" s="1514" t="s">
        <v>38</v>
      </c>
      <c r="E291" s="1515">
        <v>1</v>
      </c>
      <c r="F291" s="1373">
        <v>500</v>
      </c>
      <c r="G291" s="1516">
        <f t="shared" si="7"/>
        <v>500</v>
      </c>
      <c r="H291" s="1373">
        <f>SUM(G289:G291)</f>
        <v>1600</v>
      </c>
      <c r="I291" s="96"/>
    </row>
    <row r="292" spans="1:9" x14ac:dyDescent="0.2">
      <c r="A292" s="1011" t="s">
        <v>415</v>
      </c>
      <c r="B292" s="1012"/>
      <c r="C292" s="1015"/>
      <c r="D292" s="2375"/>
      <c r="E292" s="2376"/>
      <c r="F292" s="2377">
        <v>0</v>
      </c>
      <c r="G292" s="2378">
        <f t="shared" ref="G292:G293" si="8">F292*E292</f>
        <v>0</v>
      </c>
      <c r="H292" s="2377"/>
      <c r="I292" s="2475"/>
    </row>
    <row r="293" spans="1:9" x14ac:dyDescent="0.2">
      <c r="A293" s="1011"/>
      <c r="B293" s="1012" t="s">
        <v>571</v>
      </c>
      <c r="C293" s="1015" t="s">
        <v>573</v>
      </c>
      <c r="D293" s="1012" t="s">
        <v>16</v>
      </c>
      <c r="E293" s="2376">
        <v>2</v>
      </c>
      <c r="F293" s="2377">
        <v>300</v>
      </c>
      <c r="G293" s="2378">
        <f t="shared" si="8"/>
        <v>600</v>
      </c>
      <c r="H293" s="2377"/>
      <c r="I293" s="2072"/>
    </row>
    <row r="294" spans="1:9" x14ac:dyDescent="0.2">
      <c r="A294" s="1011"/>
      <c r="B294" s="1012"/>
      <c r="C294" s="1015" t="s">
        <v>1001</v>
      </c>
      <c r="D294" s="2375"/>
      <c r="E294" s="2376"/>
      <c r="F294" s="2377"/>
      <c r="G294" s="2378"/>
      <c r="H294" s="2377">
        <f>SUM(G292:G294)</f>
        <v>600</v>
      </c>
      <c r="I294" s="2072"/>
    </row>
    <row r="295" spans="1:9" x14ac:dyDescent="0.2">
      <c r="A295" s="78" t="s">
        <v>211</v>
      </c>
      <c r="B295" s="50"/>
      <c r="C295" s="219"/>
      <c r="D295" s="50"/>
      <c r="E295" s="145"/>
      <c r="F295" s="51"/>
      <c r="G295" s="27"/>
      <c r="H295" s="51">
        <f>SUM(H265:H294)</f>
        <v>28950</v>
      </c>
    </row>
    <row r="296" spans="1:9" x14ac:dyDescent="0.2">
      <c r="A296" s="79" t="s">
        <v>13</v>
      </c>
      <c r="B296" s="18"/>
      <c r="C296" s="224"/>
      <c r="D296" s="18"/>
      <c r="E296" s="146"/>
      <c r="F296" s="33"/>
      <c r="G296" s="33"/>
      <c r="H296" s="34">
        <f>WP2_SEC1_subtotal+WP2_SEC2_subtotal+WP2_SEC3_subtotal+WP2_SEC4_subtotal+WP2_SEC5_subtotal</f>
        <v>397970</v>
      </c>
    </row>
    <row r="297" spans="1:9" ht="14.25" x14ac:dyDescent="0.2">
      <c r="A297" s="140" t="s">
        <v>87</v>
      </c>
      <c r="B297" s="141" t="s">
        <v>122</v>
      </c>
      <c r="C297" s="225"/>
      <c r="D297" s="141"/>
      <c r="E297" s="142"/>
      <c r="F297" s="142"/>
      <c r="G297" s="142"/>
      <c r="H297" s="186">
        <f>H172*0.6</f>
        <v>191234.4</v>
      </c>
      <c r="I297" s="200"/>
    </row>
    <row r="298" spans="1:9" ht="15.75" x14ac:dyDescent="0.25">
      <c r="A298" s="79" t="s">
        <v>11</v>
      </c>
      <c r="B298" s="10"/>
      <c r="C298" s="224"/>
      <c r="D298" s="10"/>
      <c r="E298" s="146"/>
      <c r="F298" s="31"/>
      <c r="G298" s="31"/>
      <c r="H298" s="32">
        <f>H297+H296</f>
        <v>589204.4</v>
      </c>
    </row>
  </sheetData>
  <sheetProtection password="A72F" sheet="1" objects="1" scenarios="1"/>
  <phoneticPr fontId="0" type="noConversion"/>
  <dataValidations count="100">
    <dataValidation type="list" allowBlank="1" showInputMessage="1" showErrorMessage="1" error="This name is not cecognized" sqref="A1 A138:A146 A274 A164 A161 A258 A255 A252 A249 A246 A243 A240 A237 A234 A231 A228 A225 A222 A219 A216 A213 A210 A207 A204 A201 A198 A158 A155 A152 A149 A136 A113:A118 A180 A170 A167 A271:A272 A277:A278 A280:A281 A283:A284 A286:A288 A290:A291 A293:A294">
      <formula1>partners_list</formula1>
    </dataValidation>
    <dataValidation type="list" allowBlank="1" showInputMessage="1" showErrorMessage="1" error="This name is not cecognized" sqref="B6:B16">
      <formula1>CO_employees</formula1>
    </dataValidation>
    <dataValidation type="list" allowBlank="1" showInputMessage="1" showErrorMessage="1" error="This name is not cecognized" sqref="B17:B24">
      <formula1>P2_employees</formula1>
    </dataValidation>
    <dataValidation type="list" allowBlank="1" showInputMessage="1" showErrorMessage="1" error="This name is not cecognized" sqref="B25:B34">
      <formula1>P3_employees</formula1>
    </dataValidation>
    <dataValidation type="list" allowBlank="1" showInputMessage="1" showErrorMessage="1" error="This name is not cecognized" sqref="B35:B42">
      <formula1>P4_employees</formula1>
    </dataValidation>
    <dataValidation type="list" allowBlank="1" showInputMessage="1" showErrorMessage="1" error="This name is not cecognized" sqref="B43:B57">
      <formula1>P5_employees</formula1>
    </dataValidation>
    <dataValidation type="list" allowBlank="1" showInputMessage="1" showErrorMessage="1" error="This name is not cecognized" sqref="B58:B65">
      <formula1>P6_employees</formula1>
    </dataValidation>
    <dataValidation type="list" allowBlank="1" showInputMessage="1" showErrorMessage="1" error="This name is not cecognized" sqref="B66:B73">
      <formula1>P7_employees</formula1>
    </dataValidation>
    <dataValidation type="list" allowBlank="1" showInputMessage="1" showErrorMessage="1" error="This name is not cecognized" sqref="B74:B84">
      <formula1>P8_employees</formula1>
    </dataValidation>
    <dataValidation type="list" allowBlank="1" showInputMessage="1" showErrorMessage="1" error="This name is not cecognized" sqref="B85:B92">
      <formula1>P9_employees</formula1>
    </dataValidation>
    <dataValidation type="list" allowBlank="1" showInputMessage="1" showErrorMessage="1" error="This name is not cecognized" sqref="B93:B100">
      <formula1>P10_employees</formula1>
    </dataValidation>
    <dataValidation type="list" allowBlank="1" showInputMessage="1" showErrorMessage="1" error="This name is not cecognized" sqref="B101:B108">
      <formula1>P11_employees</formula1>
    </dataValidation>
    <dataValidation type="list" allowBlank="1" showInputMessage="1" showErrorMessage="1" error="This name is not cecognized" sqref="B129:B131">
      <formula1>P17_employees</formula1>
    </dataValidation>
    <dataValidation type="list" allowBlank="1" showInputMessage="1" showErrorMessage="1" error="This name is not cecognized" sqref="B132:B134">
      <formula1>P18_employees</formula1>
    </dataValidation>
    <dataValidation type="list" allowBlank="1" showInputMessage="1" showErrorMessage="1" error="This name is not cecognized" sqref="B126:B128">
      <formula1>P16_employees</formula1>
    </dataValidation>
    <dataValidation type="list" allowBlank="1" showInputMessage="1" showErrorMessage="1" error="This name is not cecognized" sqref="B109:B111">
      <formula1>P12_employees</formula1>
    </dataValidation>
    <dataValidation type="list" allowBlank="1" showInputMessage="1" showErrorMessage="1" error="This name is not cecognized" sqref="B148:B150">
      <formula1>P20_employees</formula1>
    </dataValidation>
    <dataValidation type="list" allowBlank="1" showInputMessage="1" showErrorMessage="1" error="This name is not cecognized" sqref="B151:B153">
      <formula1>P21_employees</formula1>
    </dataValidation>
    <dataValidation type="list" allowBlank="1" showInputMessage="1" showErrorMessage="1" error="This name is not cecognized" sqref="B157:B159">
      <formula1>P23_employees</formula1>
    </dataValidation>
    <dataValidation type="list" allowBlank="1" showInputMessage="1" showErrorMessage="1" error="This name is not cecognized" sqref="B123:B125">
      <formula1>P15_employees</formula1>
    </dataValidation>
    <dataValidation type="list" allowBlank="1" showInputMessage="1" showErrorMessage="1" error="This name is not cecognized" sqref="B120:B122">
      <formula1>P14_employees</formula1>
    </dataValidation>
    <dataValidation type="list" allowBlank="1" showInputMessage="1" showErrorMessage="1" error="This name is not cecognized" sqref="B112:B119">
      <formula1>P13_employees</formula1>
    </dataValidation>
    <dataValidation type="list" allowBlank="1" showInputMessage="1" showErrorMessage="1" error="This name is not cecognized" sqref="B160:B162">
      <formula1>P24_employees</formula1>
    </dataValidation>
    <dataValidation type="list" allowBlank="1" showInputMessage="1" showErrorMessage="1" error="This name is not cecognized" sqref="B135:B147">
      <formula1>P19_employees</formula1>
    </dataValidation>
    <dataValidation type="list" allowBlank="1" showInputMessage="1" showErrorMessage="1" error="This name is not cecognized" sqref="B154:B156">
      <formula1>P22_employees</formula1>
    </dataValidation>
    <dataValidation type="list" allowBlank="1" showInputMessage="1" showErrorMessage="1" error="This name is not cecognized" sqref="B163:B165">
      <formula1>P25_employees</formula1>
    </dataValidation>
    <dataValidation type="list" allowBlank="1" showInputMessage="1" showErrorMessage="1" error="This name is not cecognized" sqref="B169:B171">
      <formula1>P27_employees</formula1>
    </dataValidation>
    <dataValidation type="list" allowBlank="1" showInputMessage="1" showErrorMessage="1" error="This name is not cecognized" sqref="B166:B168">
      <formula1>P26_employees</formula1>
    </dataValidation>
    <dataValidation type="list" allowBlank="1" showInputMessage="1" showErrorMessage="1" error="This name is not cecognized" sqref="A6">
      <formula1>partners_list</formula1>
    </dataValidation>
    <dataValidation type="list" allowBlank="1" showInputMessage="1" showErrorMessage="1" error="This name is not cecognized" sqref="A17">
      <formula1>partners_list</formula1>
    </dataValidation>
    <dataValidation type="list" allowBlank="1" showInputMessage="1" showErrorMessage="1" error="This name is not cecognized" sqref="A25">
      <formula1>partners_list</formula1>
    </dataValidation>
    <dataValidation type="list" allowBlank="1" showInputMessage="1" showErrorMessage="1" error="This name is not cecognized" sqref="A35">
      <formula1>partners_list</formula1>
    </dataValidation>
    <dataValidation type="list" allowBlank="1" showInputMessage="1" showErrorMessage="1" error="This name is not cecognized" sqref="A43">
      <formula1>partners_list</formula1>
    </dataValidation>
    <dataValidation type="list" allowBlank="1" showInputMessage="1" showErrorMessage="1" error="This name is not cecognized" sqref="A58">
      <formula1>partners_list</formula1>
    </dataValidation>
    <dataValidation type="list" allowBlank="1" showInputMessage="1" showErrorMessage="1" error="This name is not cecognized" sqref="A66">
      <formula1>partners_list</formula1>
    </dataValidation>
    <dataValidation type="list" allowBlank="1" showInputMessage="1" showErrorMessage="1" error="This name is not cecognized" sqref="A74">
      <formula1>partners_list</formula1>
    </dataValidation>
    <dataValidation type="list" allowBlank="1" showInputMessage="1" showErrorMessage="1" error="This name is not cecognized" sqref="A85">
      <formula1>partners_list</formula1>
    </dataValidation>
    <dataValidation type="list" allowBlank="1" showInputMessage="1" showErrorMessage="1" error="This name is not cecognized" sqref="A93">
      <formula1>partners_list</formula1>
    </dataValidation>
    <dataValidation type="list" allowBlank="1" showInputMessage="1" showErrorMessage="1" error="This name is not cecognized" sqref="A101">
      <formula1>partners_list</formula1>
    </dataValidation>
    <dataValidation type="list" allowBlank="1" showInputMessage="1" showErrorMessage="1" error="This name is not cecognized" sqref="A109">
      <formula1>partners_list</formula1>
    </dataValidation>
    <dataValidation type="list" allowBlank="1" showInputMessage="1" showErrorMessage="1" error="This name is not cecognized" sqref="A112">
      <formula1>partners_list</formula1>
    </dataValidation>
    <dataValidation type="list" allowBlank="1" showInputMessage="1" showErrorMessage="1" error="This name is not cecognized" sqref="A120">
      <formula1>partners_list</formula1>
    </dataValidation>
    <dataValidation type="list" allowBlank="1" showInputMessage="1" showErrorMessage="1" error="This name is not cecognized" sqref="A123">
      <formula1>partners_list</formula1>
    </dataValidation>
    <dataValidation type="list" allowBlank="1" showInputMessage="1" showErrorMessage="1" error="This name is not cecognized" sqref="A126">
      <formula1>partners_list</formula1>
    </dataValidation>
    <dataValidation type="list" allowBlank="1" showInputMessage="1" showErrorMessage="1" error="This name is not cecognized" sqref="A129">
      <formula1>partners_list</formula1>
    </dataValidation>
    <dataValidation type="list" allowBlank="1" showInputMessage="1" showErrorMessage="1" error="This name is not cecognized" sqref="A132">
      <formula1>partners_list</formula1>
    </dataValidation>
    <dataValidation type="list" allowBlank="1" showInputMessage="1" showErrorMessage="1" error="This name is not cecognized" sqref="A135">
      <formula1>partners_list</formula1>
    </dataValidation>
    <dataValidation type="list" allowBlank="1" showInputMessage="1" showErrorMessage="1" error="This name is not cecognized" sqref="A148">
      <formula1>partners_list</formula1>
    </dataValidation>
    <dataValidation type="list" allowBlank="1" showInputMessage="1" showErrorMessage="1" error="This name is not cecognized" sqref="A151">
      <formula1>partners_list</formula1>
    </dataValidation>
    <dataValidation type="list" allowBlank="1" showInputMessage="1" showErrorMessage="1" error="This name is not cecognized" sqref="A154">
      <formula1>partners_list</formula1>
    </dataValidation>
    <dataValidation type="list" allowBlank="1" showInputMessage="1" showErrorMessage="1" error="This name is not cecognized" sqref="A157">
      <formula1>partners_list</formula1>
    </dataValidation>
    <dataValidation type="list" allowBlank="1" showInputMessage="1" showErrorMessage="1" error="This name is not cecognized" sqref="A160">
      <formula1>partners_list</formula1>
    </dataValidation>
    <dataValidation type="list" allowBlank="1" showInputMessage="1" showErrorMessage="1" error="This name is not cecognized" sqref="A163">
      <formula1>partners_list</formula1>
    </dataValidation>
    <dataValidation type="list" allowBlank="1" showInputMessage="1" showErrorMessage="1" error="This name is not cecognized" sqref="A166">
      <formula1>partners_list</formula1>
    </dataValidation>
    <dataValidation type="list" allowBlank="1" showInputMessage="1" showErrorMessage="1" error="This name is not cecognized" sqref="A169">
      <formula1>partners_list</formula1>
    </dataValidation>
    <dataValidation type="list" allowBlank="1" showInputMessage="1" showErrorMessage="1" error="This name is not cecognized" sqref="A174">
      <formula1>partners_list</formula1>
    </dataValidation>
    <dataValidation type="list" allowBlank="1" showInputMessage="1" showErrorMessage="1" error="This name is not cecognized" sqref="A175">
      <formula1>partners_list</formula1>
    </dataValidation>
    <dataValidation type="list" allowBlank="1" showInputMessage="1" showErrorMessage="1" error="This name is not cecognized" sqref="A176">
      <formula1>partners_list</formula1>
    </dataValidation>
    <dataValidation type="list" allowBlank="1" showInputMessage="1" showErrorMessage="1" error="This name is not cecognized" sqref="A177">
      <formula1>partners_list</formula1>
    </dataValidation>
    <dataValidation type="list" allowBlank="1" showInputMessage="1" showErrorMessage="1" error="This name is not cecognized" sqref="A178">
      <formula1>partners_list</formula1>
    </dataValidation>
    <dataValidation type="list" allowBlank="1" showInputMessage="1" showErrorMessage="1" error="This name is not cecognized" sqref="A179">
      <formula1>partners_list</formula1>
    </dataValidation>
    <dataValidation type="list" allowBlank="1" showInputMessage="1" showErrorMessage="1" error="This name is not cecognized" sqref="A181">
      <formula1>partners_list</formula1>
    </dataValidation>
    <dataValidation type="list" allowBlank="1" showInputMessage="1" showErrorMessage="1" error="This name is not cecognized" sqref="A182">
      <formula1>partners_list</formula1>
    </dataValidation>
    <dataValidation type="list" allowBlank="1" showInputMessage="1" showErrorMessage="1" error="This name is not cecognized" sqref="A185">
      <formula1>partners_list</formula1>
    </dataValidation>
    <dataValidation type="list" allowBlank="1" showInputMessage="1" showErrorMessage="1" error="This name is not cecognized" sqref="A187">
      <formula1>partners_list</formula1>
    </dataValidation>
    <dataValidation type="list" allowBlank="1" showInputMessage="1" showErrorMessage="1" error="This name is not cecognized" sqref="A189">
      <formula1>partners_list</formula1>
    </dataValidation>
    <dataValidation type="list" allowBlank="1" showInputMessage="1" showErrorMessage="1" error="This name is not cecognized" sqref="A191">
      <formula1>partners_list</formula1>
    </dataValidation>
    <dataValidation type="list" allowBlank="1" showInputMessage="1" showErrorMessage="1" error="This name is not cecognized" sqref="A193">
      <formula1>partners_list</formula1>
    </dataValidation>
    <dataValidation type="list" allowBlank="1" showInputMessage="1" showErrorMessage="1" error="This name is not cecognized" sqref="A195">
      <formula1>partners_list</formula1>
    </dataValidation>
    <dataValidation type="list" allowBlank="1" showInputMessage="1" showErrorMessage="1" error="This name is not cecognized" sqref="A197">
      <formula1>partners_list</formula1>
    </dataValidation>
    <dataValidation type="list" allowBlank="1" showInputMessage="1" showErrorMessage="1" error="This name is not cecognized" sqref="A200">
      <formula1>partners_list</formula1>
    </dataValidation>
    <dataValidation type="list" allowBlank="1" showInputMessage="1" showErrorMessage="1" error="This name is not cecognized" sqref="A203">
      <formula1>partners_list</formula1>
    </dataValidation>
    <dataValidation type="list" allowBlank="1" showInputMessage="1" showErrorMessage="1" error="This name is not cecognized" sqref="A206">
      <formula1>partners_list</formula1>
    </dataValidation>
    <dataValidation type="list" allowBlank="1" showInputMessage="1" showErrorMessage="1" error="This name is not cecognized" sqref="A209">
      <formula1>partners_list</formula1>
    </dataValidation>
    <dataValidation type="list" allowBlank="1" showInputMessage="1" showErrorMessage="1" error="This name is not cecognized" sqref="A212">
      <formula1>partners_list</formula1>
    </dataValidation>
    <dataValidation type="list" allowBlank="1" showInputMessage="1" showErrorMessage="1" error="This name is not cecognized" sqref="A215">
      <formula1>partners_list</formula1>
    </dataValidation>
    <dataValidation type="list" allowBlank="1" showInputMessage="1" showErrorMessage="1" error="This name is not cecognized" sqref="A218">
      <formula1>partners_list</formula1>
    </dataValidation>
    <dataValidation type="list" allowBlank="1" showInputMessage="1" showErrorMessage="1" error="This name is not cecognized" sqref="A221">
      <formula1>partners_list</formula1>
    </dataValidation>
    <dataValidation type="list" allowBlank="1" showInputMessage="1" showErrorMessage="1" error="This name is not cecognized" sqref="A224">
      <formula1>partners_list</formula1>
    </dataValidation>
    <dataValidation type="list" allowBlank="1" showInputMessage="1" showErrorMessage="1" error="This name is not cecognized" sqref="A227">
      <formula1>partners_list</formula1>
    </dataValidation>
    <dataValidation type="list" allowBlank="1" showInputMessage="1" showErrorMessage="1" error="This name is not cecognized" sqref="A230">
      <formula1>partners_list</formula1>
    </dataValidation>
    <dataValidation type="list" allowBlank="1" showInputMessage="1" showErrorMessage="1" error="This name is not cecognized" sqref="A233">
      <formula1>partners_list</formula1>
    </dataValidation>
    <dataValidation type="list" allowBlank="1" showInputMessage="1" showErrorMessage="1" error="This name is not cecognized" sqref="A236">
      <formula1>partners_list</formula1>
    </dataValidation>
    <dataValidation type="list" allowBlank="1" showInputMessage="1" showErrorMessage="1" error="This name is not cecognized" sqref="A239">
      <formula1>partners_list</formula1>
    </dataValidation>
    <dataValidation type="list" allowBlank="1" showInputMessage="1" showErrorMessage="1" error="This name is not cecognized" sqref="A242">
      <formula1>partners_list</formula1>
    </dataValidation>
    <dataValidation type="list" allowBlank="1" showInputMessage="1" showErrorMessage="1" error="This name is not cecognized" sqref="A245">
      <formula1>partners_list</formula1>
    </dataValidation>
    <dataValidation type="list" allowBlank="1" showInputMessage="1" showErrorMessage="1" error="This name is not cecognized" sqref="A248">
      <formula1>partners_list</formula1>
    </dataValidation>
    <dataValidation type="list" allowBlank="1" showInputMessage="1" showErrorMessage="1" error="This name is not cecognized" sqref="A251">
      <formula1>partners_list</formula1>
    </dataValidation>
    <dataValidation type="list" allowBlank="1" showInputMessage="1" showErrorMessage="1" error="This name is not cecognized" sqref="A254">
      <formula1>partners_list</formula1>
    </dataValidation>
    <dataValidation type="list" allowBlank="1" showInputMessage="1" showErrorMessage="1" error="This name is not cecognized" sqref="A257">
      <formula1>partners_list</formula1>
    </dataValidation>
    <dataValidation type="list" allowBlank="1" showInputMessage="1" showErrorMessage="1" error="This name is not cecognized" sqref="A262">
      <formula1>partners_list</formula1>
    </dataValidation>
    <dataValidation type="list" allowBlank="1" showInputMessage="1" showErrorMessage="1" error="This name is not cecognized" sqref="A265">
      <formula1>partners_list</formula1>
    </dataValidation>
    <dataValidation type="list" allowBlank="1" showInputMessage="1" showErrorMessage="1" error="This name is not cecognized" sqref="A270">
      <formula1>partners_list</formula1>
    </dataValidation>
    <dataValidation type="list" allowBlank="1" showInputMessage="1" showErrorMessage="1" error="This name is not cecognized" sqref="A273">
      <formula1>partners_list</formula1>
    </dataValidation>
    <dataValidation type="list" allowBlank="1" showInputMessage="1" showErrorMessage="1" error="This name is not cecognized" sqref="A276">
      <formula1>partners_list</formula1>
    </dataValidation>
    <dataValidation type="list" allowBlank="1" showInputMessage="1" showErrorMessage="1" error="This name is not cecognized" sqref="A279">
      <formula1>partners_list</formula1>
    </dataValidation>
    <dataValidation type="list" allowBlank="1" showInputMessage="1" showErrorMessage="1" error="This name is not cecognized" sqref="A282">
      <formula1>partners_list</formula1>
    </dataValidation>
    <dataValidation type="list" allowBlank="1" showInputMessage="1" showErrorMessage="1" error="This name is not cecognized" sqref="A285">
      <formula1>partners_list</formula1>
    </dataValidation>
    <dataValidation type="list" allowBlank="1" showInputMessage="1" showErrorMessage="1" error="This name is not cecognized" sqref="A289">
      <formula1>partners_list</formula1>
    </dataValidation>
    <dataValidation type="list" allowBlank="1" showInputMessage="1" showErrorMessage="1" error="This name is not cecognized" sqref="A292">
      <formula1>partners_list</formula1>
    </dataValidation>
  </dataValidations>
  <pageMargins left="0.43307086614173229" right="0.59055118110236227" top="0.59055118110236227" bottom="0.55118110236220474" header="0.51181102362204722" footer="0.51181102362204722"/>
  <pageSetup paperSize="9" scale="75" orientation="landscape" r:id="rId1"/>
  <headerFooter alignWithMargins="0"/>
  <rowBreaks count="4" manualBreakCount="4">
    <brk id="44" max="7" man="1"/>
    <brk id="95" max="7" man="1"/>
    <brk id="228" max="7" man="1"/>
    <brk id="263"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210" r:id="rId4" name="Button 66">
              <controlPr defaultSize="0" print="0" autoFill="0" autoPict="0" macro="[0]!btnAddPartnerToSection_Click">
                <anchor moveWithCells="1" sizeWithCells="1">
                  <from>
                    <xdr:col>3</xdr:col>
                    <xdr:colOff>47625</xdr:colOff>
                    <xdr:row>0</xdr:row>
                    <xdr:rowOff>180975</xdr:rowOff>
                  </from>
                  <to>
                    <xdr:col>5</xdr:col>
                    <xdr:colOff>295275</xdr:colOff>
                    <xdr:row>1</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K337"/>
  <sheetViews>
    <sheetView zoomScaleNormal="100" workbookViewId="0">
      <selection activeCell="C25" sqref="C25"/>
    </sheetView>
  </sheetViews>
  <sheetFormatPr defaultColWidth="9.140625" defaultRowHeight="12.75" x14ac:dyDescent="0.2"/>
  <cols>
    <col min="1" max="1" width="12" style="74" customWidth="1"/>
    <col min="2" max="2" width="21.42578125" style="1" customWidth="1"/>
    <col min="3" max="3" width="60.7109375" style="229" customWidth="1"/>
    <col min="4" max="4" width="12.85546875" style="1" customWidth="1"/>
    <col min="5" max="5" width="13.5703125" style="19" customWidth="1"/>
    <col min="6" max="6" width="13.140625" style="19" customWidth="1"/>
    <col min="7" max="7" width="13.28515625" style="19" customWidth="1"/>
    <col min="8" max="8" width="13.7109375" style="19" customWidth="1"/>
    <col min="9" max="9" width="35.28515625" style="68" customWidth="1"/>
    <col min="10" max="256" width="11.42578125" customWidth="1"/>
  </cols>
  <sheetData>
    <row r="1" spans="1:9" ht="20.25" x14ac:dyDescent="0.3">
      <c r="A1" s="328" t="s">
        <v>143</v>
      </c>
      <c r="I1" s="2072"/>
    </row>
    <row r="2" spans="1:9" s="35" customFormat="1" ht="18" x14ac:dyDescent="0.25">
      <c r="A2" s="334" t="s">
        <v>147</v>
      </c>
      <c r="B2" s="334"/>
      <c r="C2" s="340"/>
      <c r="D2" s="334"/>
      <c r="E2" s="336"/>
      <c r="F2" s="336"/>
      <c r="G2" s="336"/>
      <c r="H2" s="336"/>
      <c r="I2" s="2484"/>
    </row>
    <row r="3" spans="1:9" x14ac:dyDescent="0.2">
      <c r="I3" s="2072"/>
    </row>
    <row r="4" spans="1:9" x14ac:dyDescent="0.2">
      <c r="A4" s="75" t="s">
        <v>0</v>
      </c>
      <c r="B4" s="13" t="s">
        <v>1</v>
      </c>
      <c r="C4" s="230" t="s">
        <v>2</v>
      </c>
      <c r="D4" s="13" t="s">
        <v>3</v>
      </c>
      <c r="E4" s="20" t="s">
        <v>4</v>
      </c>
      <c r="F4" s="20" t="s">
        <v>7</v>
      </c>
      <c r="G4" s="20" t="s">
        <v>5</v>
      </c>
      <c r="H4" s="20" t="s">
        <v>6</v>
      </c>
      <c r="I4" s="2494"/>
    </row>
    <row r="5" spans="1:9" x14ac:dyDescent="0.2">
      <c r="A5" s="76" t="s">
        <v>23</v>
      </c>
      <c r="B5" s="6"/>
      <c r="C5" s="231"/>
      <c r="D5" s="6"/>
      <c r="E5" s="21"/>
      <c r="F5" s="21"/>
      <c r="G5" s="21"/>
      <c r="H5" s="22">
        <f>SUM(G5:G5)</f>
        <v>0</v>
      </c>
      <c r="I5" s="2072"/>
    </row>
    <row r="6" spans="1:9" x14ac:dyDescent="0.2">
      <c r="A6" s="83" t="s">
        <v>107</v>
      </c>
      <c r="B6" s="121" t="s">
        <v>150</v>
      </c>
      <c r="C6" s="240" t="s">
        <v>324</v>
      </c>
      <c r="D6" s="241" t="s">
        <v>17</v>
      </c>
      <c r="E6" s="242">
        <f>SUM(E7:E7)</f>
        <v>24</v>
      </c>
      <c r="F6" s="243">
        <f>salaries!H3</f>
        <v>26</v>
      </c>
      <c r="G6" s="242">
        <f>F6*E6</f>
        <v>624</v>
      </c>
      <c r="H6" s="88"/>
      <c r="I6" s="2471"/>
    </row>
    <row r="7" spans="1:9" x14ac:dyDescent="0.2">
      <c r="A7" s="83"/>
      <c r="B7" s="86"/>
      <c r="C7" s="239" t="s">
        <v>360</v>
      </c>
      <c r="D7" s="238"/>
      <c r="E7" s="178">
        <v>24</v>
      </c>
      <c r="F7" s="69"/>
      <c r="G7" s="70"/>
      <c r="H7" s="69"/>
      <c r="I7" s="2471"/>
    </row>
    <row r="8" spans="1:9" x14ac:dyDescent="0.2">
      <c r="A8" s="83"/>
      <c r="B8" s="124" t="s">
        <v>155</v>
      </c>
      <c r="C8" s="240" t="s">
        <v>329</v>
      </c>
      <c r="D8" s="244" t="s">
        <v>17</v>
      </c>
      <c r="E8" s="242">
        <f>SUM(E9:E11)</f>
        <v>264</v>
      </c>
      <c r="F8" s="245">
        <f>salaries!H4</f>
        <v>29</v>
      </c>
      <c r="G8" s="242">
        <f>F8*E8</f>
        <v>7656</v>
      </c>
      <c r="H8" s="69"/>
      <c r="I8" s="2471"/>
    </row>
    <row r="9" spans="1:9" x14ac:dyDescent="0.2">
      <c r="A9" s="83"/>
      <c r="B9" s="86"/>
      <c r="C9" s="239" t="s">
        <v>363</v>
      </c>
      <c r="D9" s="238"/>
      <c r="E9" s="178">
        <v>80</v>
      </c>
      <c r="F9" s="69"/>
      <c r="G9" s="70"/>
      <c r="H9" s="69"/>
      <c r="I9" s="2471"/>
    </row>
    <row r="10" spans="1:9" x14ac:dyDescent="0.2">
      <c r="A10" s="83"/>
      <c r="B10" s="86"/>
      <c r="C10" s="239" t="s">
        <v>364</v>
      </c>
      <c r="D10" s="238"/>
      <c r="E10" s="178">
        <v>160</v>
      </c>
      <c r="F10" s="69"/>
      <c r="G10" s="70"/>
      <c r="H10" s="69"/>
      <c r="I10" s="2471"/>
    </row>
    <row r="11" spans="1:9" x14ac:dyDescent="0.2">
      <c r="A11" s="83"/>
      <c r="B11" s="86"/>
      <c r="C11" s="239" t="s">
        <v>365</v>
      </c>
      <c r="D11" s="238"/>
      <c r="E11" s="178">
        <v>24</v>
      </c>
      <c r="F11" s="69"/>
      <c r="G11" s="70"/>
      <c r="H11" s="69"/>
      <c r="I11" s="2471"/>
    </row>
    <row r="12" spans="1:9" x14ac:dyDescent="0.2">
      <c r="A12" s="83"/>
      <c r="B12" s="124" t="s">
        <v>160</v>
      </c>
      <c r="C12" s="240" t="s">
        <v>324</v>
      </c>
      <c r="D12" s="244" t="s">
        <v>17</v>
      </c>
      <c r="E12" s="242">
        <f>SUM(E13:E14)</f>
        <v>160</v>
      </c>
      <c r="F12" s="245">
        <f>salaries!H6</f>
        <v>26</v>
      </c>
      <c r="G12" s="242">
        <f>F12*E12</f>
        <v>4160</v>
      </c>
      <c r="H12" s="69"/>
      <c r="I12" s="2471"/>
    </row>
    <row r="13" spans="1:9" x14ac:dyDescent="0.2">
      <c r="A13" s="83"/>
      <c r="B13" s="86"/>
      <c r="C13" s="233" t="s">
        <v>935</v>
      </c>
      <c r="D13" s="238"/>
      <c r="E13" s="178">
        <v>80</v>
      </c>
      <c r="F13" s="69"/>
      <c r="G13" s="70"/>
      <c r="H13" s="69"/>
      <c r="I13" s="2471"/>
    </row>
    <row r="14" spans="1:9" x14ac:dyDescent="0.2">
      <c r="A14" s="83"/>
      <c r="B14" s="86"/>
      <c r="C14" s="233" t="s">
        <v>362</v>
      </c>
      <c r="D14" s="238"/>
      <c r="E14" s="178">
        <v>80</v>
      </c>
      <c r="F14" s="69"/>
      <c r="G14" s="70"/>
      <c r="H14" s="69"/>
      <c r="I14" s="2471"/>
    </row>
    <row r="15" spans="1:9" x14ac:dyDescent="0.2">
      <c r="A15" s="83"/>
      <c r="B15" s="124" t="s">
        <v>156</v>
      </c>
      <c r="C15" s="240" t="s">
        <v>329</v>
      </c>
      <c r="D15" s="244" t="s">
        <v>17</v>
      </c>
      <c r="E15" s="242">
        <f>SUM(E16)</f>
        <v>24</v>
      </c>
      <c r="F15" s="245">
        <f>salaries!H5</f>
        <v>60</v>
      </c>
      <c r="G15" s="242">
        <f>F15*E15</f>
        <v>1440</v>
      </c>
      <c r="H15" s="69"/>
      <c r="I15" s="2471"/>
    </row>
    <row r="16" spans="1:9" x14ac:dyDescent="0.2">
      <c r="A16" s="83"/>
      <c r="B16" s="86"/>
      <c r="C16" s="233" t="s">
        <v>361</v>
      </c>
      <c r="D16" s="238"/>
      <c r="E16" s="178">
        <v>24</v>
      </c>
      <c r="F16" s="69"/>
      <c r="G16" s="70"/>
      <c r="H16" s="69">
        <f>SUM(G6:G16)</f>
        <v>13880</v>
      </c>
      <c r="I16" s="2471"/>
    </row>
    <row r="17" spans="1:9" x14ac:dyDescent="0.2">
      <c r="A17" s="532" t="s">
        <v>203</v>
      </c>
      <c r="B17" s="565" t="s">
        <v>152</v>
      </c>
      <c r="C17" s="566" t="s">
        <v>324</v>
      </c>
      <c r="D17" s="534" t="s">
        <v>17</v>
      </c>
      <c r="E17" s="1685">
        <f>SUM(E18:E21)</f>
        <v>400</v>
      </c>
      <c r="F17" s="536">
        <f>salaries!H9</f>
        <v>29</v>
      </c>
      <c r="G17" s="535">
        <f>F17*E17</f>
        <v>11600</v>
      </c>
      <c r="H17" s="567"/>
      <c r="I17" s="2382"/>
    </row>
    <row r="18" spans="1:9" x14ac:dyDescent="0.2">
      <c r="A18" s="532"/>
      <c r="B18" s="565"/>
      <c r="C18" s="1409" t="s">
        <v>719</v>
      </c>
      <c r="D18" s="565"/>
      <c r="E18" s="569">
        <v>80</v>
      </c>
      <c r="F18" s="567"/>
      <c r="G18" s="569"/>
      <c r="H18" s="567"/>
      <c r="I18" s="2382"/>
    </row>
    <row r="19" spans="1:9" x14ac:dyDescent="0.2">
      <c r="A19" s="532"/>
      <c r="B19" s="565"/>
      <c r="C19" s="568" t="s">
        <v>715</v>
      </c>
      <c r="D19" s="565"/>
      <c r="E19" s="569">
        <v>120</v>
      </c>
      <c r="F19" s="567"/>
      <c r="G19" s="569"/>
      <c r="H19" s="567"/>
      <c r="I19" s="2383"/>
    </row>
    <row r="20" spans="1:9" x14ac:dyDescent="0.2">
      <c r="A20" s="532"/>
      <c r="B20" s="565"/>
      <c r="C20" s="568" t="s">
        <v>838</v>
      </c>
      <c r="D20" s="565"/>
      <c r="E20" s="569">
        <v>160</v>
      </c>
      <c r="F20" s="567"/>
      <c r="G20" s="569"/>
      <c r="H20" s="567"/>
      <c r="I20" s="2383"/>
    </row>
    <row r="21" spans="1:9" x14ac:dyDescent="0.2">
      <c r="A21" s="532"/>
      <c r="B21" s="565"/>
      <c r="C21" s="568" t="s">
        <v>850</v>
      </c>
      <c r="D21" s="565"/>
      <c r="E21" s="569">
        <v>40</v>
      </c>
      <c r="F21" s="567"/>
      <c r="G21" s="569"/>
      <c r="H21" s="567"/>
      <c r="I21" s="2382"/>
    </row>
    <row r="22" spans="1:9" x14ac:dyDescent="0.2">
      <c r="A22" s="532"/>
      <c r="B22" s="565" t="s">
        <v>154</v>
      </c>
      <c r="C22" s="566" t="s">
        <v>324</v>
      </c>
      <c r="D22" s="534" t="s">
        <v>17</v>
      </c>
      <c r="E22" s="535">
        <f>SUM(E23:E26)</f>
        <v>520</v>
      </c>
      <c r="F22" s="536">
        <f>salaries!H11</f>
        <v>20</v>
      </c>
      <c r="G22" s="535">
        <f>F22*E22</f>
        <v>10400</v>
      </c>
      <c r="H22" s="536"/>
      <c r="I22" s="2471"/>
    </row>
    <row r="23" spans="1:9" x14ac:dyDescent="0.2">
      <c r="A23" s="532"/>
      <c r="B23" s="565"/>
      <c r="C23" s="568" t="s">
        <v>718</v>
      </c>
      <c r="D23" s="565"/>
      <c r="E23" s="569">
        <v>160</v>
      </c>
      <c r="F23" s="567"/>
      <c r="G23" s="569"/>
      <c r="H23" s="567"/>
      <c r="I23" s="2382"/>
    </row>
    <row r="24" spans="1:9" x14ac:dyDescent="0.2">
      <c r="A24" s="532"/>
      <c r="B24" s="565"/>
      <c r="C24" s="568" t="s">
        <v>839</v>
      </c>
      <c r="D24" s="565"/>
      <c r="E24" s="569">
        <v>160</v>
      </c>
      <c r="F24" s="567"/>
      <c r="G24" s="569"/>
      <c r="H24" s="567"/>
      <c r="I24" s="2382"/>
    </row>
    <row r="25" spans="1:9" x14ac:dyDescent="0.2">
      <c r="A25" s="532"/>
      <c r="B25" s="565"/>
      <c r="C25" s="568" t="s">
        <v>850</v>
      </c>
      <c r="D25" s="565"/>
      <c r="E25" s="569">
        <v>40</v>
      </c>
      <c r="F25" s="567"/>
      <c r="G25" s="569"/>
      <c r="H25" s="567"/>
      <c r="I25" s="2382"/>
    </row>
    <row r="26" spans="1:9" x14ac:dyDescent="0.2">
      <c r="A26" s="571"/>
      <c r="B26" s="572"/>
      <c r="C26" s="573" t="s">
        <v>715</v>
      </c>
      <c r="D26" s="572"/>
      <c r="E26" s="574">
        <v>160</v>
      </c>
      <c r="F26" s="575"/>
      <c r="G26" s="574"/>
      <c r="H26" s="575">
        <f>SUM(G17:G26)</f>
        <v>22000</v>
      </c>
      <c r="I26" s="2382"/>
    </row>
    <row r="27" spans="1:9" x14ac:dyDescent="0.2">
      <c r="A27" s="557" t="s">
        <v>204</v>
      </c>
      <c r="B27" s="558" t="s">
        <v>183</v>
      </c>
      <c r="C27" s="559" t="s">
        <v>324</v>
      </c>
      <c r="D27" s="560" t="s">
        <v>17</v>
      </c>
      <c r="E27" s="561">
        <f>SUM(E28:E31)</f>
        <v>360</v>
      </c>
      <c r="F27" s="562">
        <f>salaries!H12</f>
        <v>27</v>
      </c>
      <c r="G27" s="561">
        <f>F27*E27</f>
        <v>9720</v>
      </c>
      <c r="H27" s="547"/>
      <c r="I27" s="2382"/>
    </row>
    <row r="28" spans="1:9" x14ac:dyDescent="0.2">
      <c r="A28" s="557"/>
      <c r="B28" s="558"/>
      <c r="C28" s="1410" t="s">
        <v>719</v>
      </c>
      <c r="D28" s="558"/>
      <c r="E28" s="564">
        <v>80</v>
      </c>
      <c r="F28" s="547"/>
      <c r="G28" s="564"/>
      <c r="H28" s="547"/>
      <c r="I28" s="2382"/>
    </row>
    <row r="29" spans="1:9" x14ac:dyDescent="0.2">
      <c r="A29" s="557"/>
      <c r="B29" s="558"/>
      <c r="C29" s="1410" t="s">
        <v>715</v>
      </c>
      <c r="D29" s="558"/>
      <c r="E29" s="564">
        <v>160</v>
      </c>
      <c r="F29" s="547"/>
      <c r="G29" s="564"/>
      <c r="H29" s="547"/>
      <c r="I29" s="2382"/>
    </row>
    <row r="30" spans="1:9" x14ac:dyDescent="0.2">
      <c r="A30" s="557"/>
      <c r="B30" s="558"/>
      <c r="C30" s="576" t="s">
        <v>717</v>
      </c>
      <c r="D30" s="558"/>
      <c r="E30" s="564">
        <v>80</v>
      </c>
      <c r="F30" s="547"/>
      <c r="G30" s="564"/>
      <c r="H30" s="547"/>
      <c r="I30" s="2383"/>
    </row>
    <row r="31" spans="1:9" x14ac:dyDescent="0.2">
      <c r="A31" s="557"/>
      <c r="B31" s="558"/>
      <c r="C31" s="563" t="s">
        <v>850</v>
      </c>
      <c r="D31" s="558"/>
      <c r="E31" s="564">
        <v>40</v>
      </c>
      <c r="F31" s="547"/>
      <c r="G31" s="564"/>
      <c r="H31" s="547"/>
      <c r="I31" s="2382"/>
    </row>
    <row r="32" spans="1:9" x14ac:dyDescent="0.2">
      <c r="A32" s="557"/>
      <c r="B32" s="558" t="s">
        <v>184</v>
      </c>
      <c r="C32" s="559" t="s">
        <v>324</v>
      </c>
      <c r="D32" s="1406" t="s">
        <v>17</v>
      </c>
      <c r="E32" s="1407">
        <f>SUM(E33)</f>
        <v>80</v>
      </c>
      <c r="F32" s="1408">
        <f>salaries!H13</f>
        <v>53</v>
      </c>
      <c r="G32" s="1407">
        <f>F32*E32</f>
        <v>4240</v>
      </c>
      <c r="H32" s="547"/>
      <c r="I32" s="2382"/>
    </row>
    <row r="33" spans="1:9" x14ac:dyDescent="0.2">
      <c r="A33" s="557"/>
      <c r="B33" s="558"/>
      <c r="C33" s="563" t="s">
        <v>716</v>
      </c>
      <c r="D33" s="558"/>
      <c r="E33" s="564">
        <v>80</v>
      </c>
      <c r="F33" s="547"/>
      <c r="G33" s="564"/>
      <c r="H33" s="547"/>
      <c r="I33" s="2382"/>
    </row>
    <row r="34" spans="1:9" x14ac:dyDescent="0.2">
      <c r="A34" s="557"/>
      <c r="B34" s="558" t="s">
        <v>186</v>
      </c>
      <c r="C34" s="559" t="s">
        <v>324</v>
      </c>
      <c r="D34" s="560" t="s">
        <v>17</v>
      </c>
      <c r="E34" s="561">
        <f>SUM(E35:E39)</f>
        <v>360</v>
      </c>
      <c r="F34" s="562">
        <f>salaries!H15</f>
        <v>20</v>
      </c>
      <c r="G34" s="561">
        <f>F34*E34</f>
        <v>7200</v>
      </c>
      <c r="H34" s="562"/>
      <c r="I34" s="2471"/>
    </row>
    <row r="35" spans="1:9" x14ac:dyDescent="0.2">
      <c r="A35" s="557"/>
      <c r="B35" s="558"/>
      <c r="C35" s="563" t="s">
        <v>984</v>
      </c>
      <c r="D35" s="558"/>
      <c r="E35" s="564">
        <v>0</v>
      </c>
      <c r="F35" s="547"/>
      <c r="G35" s="564"/>
      <c r="H35" s="547"/>
      <c r="I35" s="2382"/>
    </row>
    <row r="36" spans="1:9" x14ac:dyDescent="0.2">
      <c r="A36" s="557"/>
      <c r="B36" s="558"/>
      <c r="C36" s="563" t="s">
        <v>718</v>
      </c>
      <c r="D36" s="558"/>
      <c r="E36" s="564">
        <v>160</v>
      </c>
      <c r="F36" s="547"/>
      <c r="G36" s="564"/>
      <c r="H36" s="547"/>
      <c r="I36" s="2382"/>
    </row>
    <row r="37" spans="1:9" x14ac:dyDescent="0.2">
      <c r="A37" s="557"/>
      <c r="B37" s="558"/>
      <c r="C37" s="563" t="s">
        <v>809</v>
      </c>
      <c r="D37" s="558"/>
      <c r="E37" s="564">
        <v>80</v>
      </c>
      <c r="F37" s="547"/>
      <c r="G37" s="564"/>
      <c r="H37" s="547"/>
      <c r="I37" s="2382"/>
    </row>
    <row r="38" spans="1:9" x14ac:dyDescent="0.2">
      <c r="A38" s="557"/>
      <c r="B38" s="558"/>
      <c r="C38" s="563" t="s">
        <v>850</v>
      </c>
      <c r="D38" s="558"/>
      <c r="E38" s="564">
        <v>40</v>
      </c>
      <c r="F38" s="547"/>
      <c r="G38" s="564"/>
      <c r="H38" s="547"/>
      <c r="I38" s="2382"/>
    </row>
    <row r="39" spans="1:9" x14ac:dyDescent="0.2">
      <c r="A39" s="580"/>
      <c r="B39" s="578"/>
      <c r="C39" s="577" t="s">
        <v>715</v>
      </c>
      <c r="D39" s="578"/>
      <c r="E39" s="579">
        <v>80</v>
      </c>
      <c r="F39" s="581"/>
      <c r="G39" s="579"/>
      <c r="H39" s="581">
        <f>SUM(G27:G39)</f>
        <v>21160</v>
      </c>
      <c r="I39" s="2382"/>
    </row>
    <row r="40" spans="1:9" x14ac:dyDescent="0.2">
      <c r="A40" s="598" t="s">
        <v>308</v>
      </c>
      <c r="B40" s="599" t="s">
        <v>187</v>
      </c>
      <c r="C40" s="600" t="s">
        <v>324</v>
      </c>
      <c r="D40" s="601" t="s">
        <v>17</v>
      </c>
      <c r="E40" s="602">
        <f>SUM(E41:E45)</f>
        <v>864</v>
      </c>
      <c r="F40" s="603">
        <f>salaries!H16</f>
        <v>62</v>
      </c>
      <c r="G40" s="602">
        <f>F40*E40</f>
        <v>53568</v>
      </c>
      <c r="H40" s="604"/>
      <c r="I40" s="2382"/>
    </row>
    <row r="41" spans="1:9" ht="22.5" x14ac:dyDescent="0.2">
      <c r="A41" s="588"/>
      <c r="B41" s="589"/>
      <c r="C41" s="1411" t="s">
        <v>722</v>
      </c>
      <c r="D41" s="589"/>
      <c r="E41" s="594">
        <f>48*8</f>
        <v>384</v>
      </c>
      <c r="F41" s="593"/>
      <c r="G41" s="594"/>
      <c r="H41" s="593"/>
      <c r="I41" s="2382"/>
    </row>
    <row r="42" spans="1:9" x14ac:dyDescent="0.2">
      <c r="A42" s="588"/>
      <c r="B42" s="589"/>
      <c r="C42" s="606" t="s">
        <v>719</v>
      </c>
      <c r="D42" s="589"/>
      <c r="E42" s="594">
        <v>80</v>
      </c>
      <c r="F42" s="593"/>
      <c r="G42" s="594"/>
      <c r="H42" s="593"/>
      <c r="I42" s="2383"/>
    </row>
    <row r="43" spans="1:9" x14ac:dyDescent="0.2">
      <c r="A43" s="588"/>
      <c r="B43" s="589"/>
      <c r="C43" s="606" t="s">
        <v>723</v>
      </c>
      <c r="D43" s="589"/>
      <c r="E43" s="594">
        <v>160</v>
      </c>
      <c r="F43" s="593"/>
      <c r="G43" s="594"/>
      <c r="H43" s="593"/>
      <c r="I43" s="2383"/>
    </row>
    <row r="44" spans="1:9" x14ac:dyDescent="0.2">
      <c r="A44" s="588"/>
      <c r="B44" s="589"/>
      <c r="C44" s="606" t="s">
        <v>851</v>
      </c>
      <c r="D44" s="589"/>
      <c r="E44" s="594">
        <v>160</v>
      </c>
      <c r="F44" s="593"/>
      <c r="G44" s="594"/>
      <c r="H44" s="593"/>
      <c r="I44" s="2383"/>
    </row>
    <row r="45" spans="1:9" x14ac:dyDescent="0.2">
      <c r="A45" s="588"/>
      <c r="B45" s="589"/>
      <c r="C45" s="606" t="s">
        <v>724</v>
      </c>
      <c r="D45" s="589"/>
      <c r="E45" s="594">
        <v>80</v>
      </c>
      <c r="F45" s="593"/>
      <c r="G45" s="594"/>
      <c r="H45" s="593"/>
      <c r="I45" s="2383"/>
    </row>
    <row r="46" spans="1:9" x14ac:dyDescent="0.2">
      <c r="A46" s="588"/>
      <c r="B46" s="589" t="s">
        <v>820</v>
      </c>
      <c r="C46" s="607" t="s">
        <v>324</v>
      </c>
      <c r="D46" s="590" t="s">
        <v>17</v>
      </c>
      <c r="E46" s="1610">
        <f>SUM(E47:E49)</f>
        <v>1120</v>
      </c>
      <c r="F46" s="1611">
        <f>salaries!H18</f>
        <v>39</v>
      </c>
      <c r="G46" s="1610">
        <f>F46*E46</f>
        <v>43680</v>
      </c>
      <c r="H46" s="593"/>
      <c r="I46" s="2383"/>
    </row>
    <row r="47" spans="1:9" x14ac:dyDescent="0.2">
      <c r="A47" s="588"/>
      <c r="B47" s="589"/>
      <c r="C47" s="606" t="s">
        <v>721</v>
      </c>
      <c r="D47" s="589"/>
      <c r="E47" s="594">
        <v>320</v>
      </c>
      <c r="F47" s="593"/>
      <c r="G47" s="594"/>
      <c r="H47" s="593"/>
      <c r="I47" s="2383"/>
    </row>
    <row r="48" spans="1:9" x14ac:dyDescent="0.2">
      <c r="A48" s="588"/>
      <c r="B48" s="589"/>
      <c r="C48" s="606" t="s">
        <v>837</v>
      </c>
      <c r="D48" s="589"/>
      <c r="E48" s="594">
        <v>320</v>
      </c>
      <c r="F48" s="593"/>
      <c r="G48" s="594"/>
      <c r="H48" s="593"/>
      <c r="I48" s="2383"/>
    </row>
    <row r="49" spans="1:9" x14ac:dyDescent="0.2">
      <c r="A49" s="588"/>
      <c r="B49" s="589"/>
      <c r="C49" s="605" t="s">
        <v>852</v>
      </c>
      <c r="D49" s="589"/>
      <c r="E49" s="594">
        <f>6*80</f>
        <v>480</v>
      </c>
      <c r="F49" s="593"/>
      <c r="G49" s="594"/>
      <c r="H49" s="593"/>
      <c r="I49" s="2382"/>
    </row>
    <row r="50" spans="1:9" x14ac:dyDescent="0.2">
      <c r="A50" s="588"/>
      <c r="B50" s="589" t="s">
        <v>188</v>
      </c>
      <c r="C50" s="607" t="s">
        <v>324</v>
      </c>
      <c r="D50" s="590" t="s">
        <v>17</v>
      </c>
      <c r="E50" s="591">
        <f>SUM(E51:E55)</f>
        <v>1240</v>
      </c>
      <c r="F50" s="592">
        <f>salaries!H19</f>
        <v>16</v>
      </c>
      <c r="G50" s="591">
        <f>F50*E50</f>
        <v>19840</v>
      </c>
      <c r="H50" s="592"/>
      <c r="I50" s="2471"/>
    </row>
    <row r="51" spans="1:9" x14ac:dyDescent="0.2">
      <c r="A51" s="588"/>
      <c r="B51" s="589"/>
      <c r="C51" s="605" t="s">
        <v>834</v>
      </c>
      <c r="D51" s="590"/>
      <c r="E51" s="594">
        <v>240</v>
      </c>
      <c r="F51" s="592"/>
      <c r="G51" s="591"/>
      <c r="H51" s="592"/>
      <c r="I51" s="2471"/>
    </row>
    <row r="52" spans="1:9" x14ac:dyDescent="0.2">
      <c r="A52" s="588"/>
      <c r="B52" s="589"/>
      <c r="C52" s="605" t="s">
        <v>720</v>
      </c>
      <c r="D52" s="590"/>
      <c r="E52" s="594">
        <v>480</v>
      </c>
      <c r="F52" s="592"/>
      <c r="G52" s="591"/>
      <c r="H52" s="592"/>
      <c r="I52" s="2471"/>
    </row>
    <row r="53" spans="1:9" x14ac:dyDescent="0.2">
      <c r="A53" s="588"/>
      <c r="B53" s="589"/>
      <c r="C53" s="605" t="s">
        <v>833</v>
      </c>
      <c r="D53" s="589"/>
      <c r="E53" s="594">
        <v>240</v>
      </c>
      <c r="F53" s="593"/>
      <c r="G53" s="594"/>
      <c r="H53" s="593"/>
      <c r="I53" s="2382"/>
    </row>
    <row r="54" spans="1:9" x14ac:dyDescent="0.2">
      <c r="A54" s="588"/>
      <c r="B54" s="589"/>
      <c r="C54" s="605" t="s">
        <v>850</v>
      </c>
      <c r="D54" s="589"/>
      <c r="E54" s="594">
        <v>40</v>
      </c>
      <c r="F54" s="593"/>
      <c r="G54" s="594"/>
      <c r="H54" s="593"/>
      <c r="I54" s="2382"/>
    </row>
    <row r="55" spans="1:9" x14ac:dyDescent="0.2">
      <c r="A55" s="608"/>
      <c r="B55" s="596"/>
      <c r="C55" s="595" t="s">
        <v>725</v>
      </c>
      <c r="D55" s="596"/>
      <c r="E55" s="597">
        <v>240</v>
      </c>
      <c r="F55" s="609"/>
      <c r="G55" s="597"/>
      <c r="H55" s="609">
        <f>SUM(G40:G55)</f>
        <v>117088</v>
      </c>
      <c r="I55" s="2382"/>
    </row>
    <row r="56" spans="1:9" x14ac:dyDescent="0.2">
      <c r="A56" s="610" t="s">
        <v>309</v>
      </c>
      <c r="B56" s="611" t="s">
        <v>189</v>
      </c>
      <c r="C56" s="612" t="s">
        <v>324</v>
      </c>
      <c r="D56" s="613" t="s">
        <v>17</v>
      </c>
      <c r="E56" s="614">
        <f>SUM(E57:E59)</f>
        <v>160</v>
      </c>
      <c r="F56" s="615">
        <f>salaries!H20</f>
        <v>40</v>
      </c>
      <c r="G56" s="614">
        <f>F56*E56</f>
        <v>6400</v>
      </c>
      <c r="H56" s="616"/>
      <c r="I56" s="2382"/>
    </row>
    <row r="57" spans="1:9" x14ac:dyDescent="0.2">
      <c r="A57" s="617"/>
      <c r="B57" s="618"/>
      <c r="C57" s="1412" t="s">
        <v>726</v>
      </c>
      <c r="D57" s="620"/>
      <c r="E57" s="621">
        <v>80</v>
      </c>
      <c r="F57" s="622"/>
      <c r="G57" s="621"/>
      <c r="H57" s="622"/>
      <c r="I57" s="2383"/>
    </row>
    <row r="58" spans="1:9" x14ac:dyDescent="0.2">
      <c r="A58" s="617"/>
      <c r="B58" s="618"/>
      <c r="C58" s="1413" t="s">
        <v>727</v>
      </c>
      <c r="D58" s="620"/>
      <c r="E58" s="621">
        <v>40</v>
      </c>
      <c r="F58" s="622"/>
      <c r="G58" s="621"/>
      <c r="H58" s="622"/>
      <c r="I58" s="2383"/>
    </row>
    <row r="59" spans="1:9" x14ac:dyDescent="0.2">
      <c r="A59" s="617"/>
      <c r="B59" s="618"/>
      <c r="C59" s="619" t="s">
        <v>850</v>
      </c>
      <c r="D59" s="620"/>
      <c r="E59" s="621">
        <v>40</v>
      </c>
      <c r="F59" s="622"/>
      <c r="G59" s="621"/>
      <c r="H59" s="622"/>
      <c r="I59" s="2382"/>
    </row>
    <row r="60" spans="1:9" x14ac:dyDescent="0.2">
      <c r="A60" s="617"/>
      <c r="B60" s="618" t="s">
        <v>824</v>
      </c>
      <c r="C60" s="624" t="s">
        <v>324</v>
      </c>
      <c r="D60" s="625" t="s">
        <v>17</v>
      </c>
      <c r="E60" s="633">
        <f>SUM(E61:E64)</f>
        <v>360</v>
      </c>
      <c r="F60" s="632">
        <f>salaries!H22</f>
        <v>38</v>
      </c>
      <c r="G60" s="633">
        <f>F60*E60</f>
        <v>13680</v>
      </c>
      <c r="H60" s="622"/>
      <c r="I60" s="2382"/>
    </row>
    <row r="61" spans="1:9" x14ac:dyDescent="0.2">
      <c r="A61" s="617"/>
      <c r="B61" s="618"/>
      <c r="C61" s="619" t="s">
        <v>728</v>
      </c>
      <c r="D61" s="620"/>
      <c r="E61" s="621">
        <v>80</v>
      </c>
      <c r="F61" s="622"/>
      <c r="G61" s="621"/>
      <c r="H61" s="622"/>
      <c r="I61" s="2382"/>
    </row>
    <row r="62" spans="1:9" x14ac:dyDescent="0.2">
      <c r="A62" s="617"/>
      <c r="B62" s="618"/>
      <c r="C62" s="619" t="s">
        <v>836</v>
      </c>
      <c r="D62" s="620"/>
      <c r="E62" s="621">
        <v>160</v>
      </c>
      <c r="F62" s="622"/>
      <c r="G62" s="621"/>
      <c r="H62" s="622"/>
      <c r="I62" s="2382"/>
    </row>
    <row r="63" spans="1:9" x14ac:dyDescent="0.2">
      <c r="A63" s="617"/>
      <c r="B63" s="618"/>
      <c r="C63" s="1995" t="s">
        <v>840</v>
      </c>
      <c r="D63" s="620"/>
      <c r="E63" s="621">
        <v>80</v>
      </c>
      <c r="F63" s="622"/>
      <c r="G63" s="621"/>
      <c r="H63" s="622"/>
      <c r="I63" s="2382"/>
    </row>
    <row r="64" spans="1:9" x14ac:dyDescent="0.2">
      <c r="A64" s="617"/>
      <c r="B64" s="618"/>
      <c r="C64" s="619" t="s">
        <v>850</v>
      </c>
      <c r="D64" s="620"/>
      <c r="E64" s="621">
        <v>40</v>
      </c>
      <c r="F64" s="622"/>
      <c r="G64" s="621"/>
      <c r="H64" s="622"/>
      <c r="I64" s="2382"/>
    </row>
    <row r="65" spans="1:9" x14ac:dyDescent="0.2">
      <c r="A65" s="617"/>
      <c r="B65" s="618" t="s">
        <v>315</v>
      </c>
      <c r="C65" s="624" t="s">
        <v>324</v>
      </c>
      <c r="D65" s="625" t="s">
        <v>17</v>
      </c>
      <c r="E65" s="633">
        <f>SUM(E66)</f>
        <v>80</v>
      </c>
      <c r="F65" s="632">
        <f>salaries!H21</f>
        <v>75</v>
      </c>
      <c r="G65" s="633">
        <f>F65*E65</f>
        <v>6000</v>
      </c>
      <c r="H65" s="622"/>
      <c r="I65" s="2382"/>
    </row>
    <row r="66" spans="1:9" x14ac:dyDescent="0.2">
      <c r="A66" s="617"/>
      <c r="B66" s="618"/>
      <c r="C66" s="1995" t="s">
        <v>840</v>
      </c>
      <c r="D66" s="620"/>
      <c r="E66" s="621">
        <v>80</v>
      </c>
      <c r="F66" s="622"/>
      <c r="G66" s="621"/>
      <c r="H66" s="622"/>
      <c r="I66" s="2382"/>
    </row>
    <row r="67" spans="1:9" x14ac:dyDescent="0.2">
      <c r="A67" s="617"/>
      <c r="B67" s="618" t="s">
        <v>316</v>
      </c>
      <c r="C67" s="624" t="s">
        <v>324</v>
      </c>
      <c r="D67" s="625" t="s">
        <v>17</v>
      </c>
      <c r="E67" s="626">
        <f>SUM(E68:E70)</f>
        <v>200</v>
      </c>
      <c r="F67" s="632">
        <f>salaries!H23</f>
        <v>36</v>
      </c>
      <c r="G67" s="633">
        <f>F67*E67</f>
        <v>7200</v>
      </c>
      <c r="H67" s="622"/>
      <c r="I67" s="2382"/>
    </row>
    <row r="68" spans="1:9" x14ac:dyDescent="0.2">
      <c r="A68" s="617"/>
      <c r="B68" s="618"/>
      <c r="C68" s="619" t="s">
        <v>718</v>
      </c>
      <c r="D68" s="620"/>
      <c r="E68" s="621">
        <v>80</v>
      </c>
      <c r="F68" s="622"/>
      <c r="G68" s="621"/>
      <c r="H68" s="622"/>
      <c r="I68" s="2382"/>
    </row>
    <row r="69" spans="1:9" x14ac:dyDescent="0.2">
      <c r="A69" s="617"/>
      <c r="B69" s="618"/>
      <c r="C69" s="1995" t="s">
        <v>840</v>
      </c>
      <c r="D69" s="620"/>
      <c r="E69" s="621">
        <v>80</v>
      </c>
      <c r="F69" s="622"/>
      <c r="G69" s="621"/>
      <c r="H69" s="622"/>
      <c r="I69" s="2382"/>
    </row>
    <row r="70" spans="1:9" x14ac:dyDescent="0.2">
      <c r="A70" s="627"/>
      <c r="B70" s="628"/>
      <c r="C70" s="684" t="s">
        <v>850</v>
      </c>
      <c r="D70" s="629"/>
      <c r="E70" s="630">
        <v>40</v>
      </c>
      <c r="F70" s="631"/>
      <c r="G70" s="630"/>
      <c r="H70" s="631">
        <f>SUM(G56:G70)</f>
        <v>33280</v>
      </c>
      <c r="I70" s="2382"/>
    </row>
    <row r="71" spans="1:9" x14ac:dyDescent="0.2">
      <c r="A71" s="634" t="s">
        <v>310</v>
      </c>
      <c r="B71" s="635" t="s">
        <v>217</v>
      </c>
      <c r="C71" s="636" t="s">
        <v>324</v>
      </c>
      <c r="D71" s="637" t="s">
        <v>17</v>
      </c>
      <c r="E71" s="638">
        <f>SUM(E72:E75)</f>
        <v>320</v>
      </c>
      <c r="F71" s="639">
        <f>salaries!H25</f>
        <v>40</v>
      </c>
      <c r="G71" s="638">
        <f>F71*E71</f>
        <v>12800</v>
      </c>
      <c r="H71" s="639"/>
      <c r="I71" s="2382"/>
    </row>
    <row r="72" spans="1:9" x14ac:dyDescent="0.2">
      <c r="A72" s="640"/>
      <c r="B72" s="641"/>
      <c r="C72" s="642" t="s">
        <v>719</v>
      </c>
      <c r="D72" s="643"/>
      <c r="E72" s="644">
        <v>80</v>
      </c>
      <c r="F72" s="645"/>
      <c r="G72" s="644"/>
      <c r="H72" s="645"/>
      <c r="I72" s="2382"/>
    </row>
    <row r="73" spans="1:9" x14ac:dyDescent="0.2">
      <c r="A73" s="640"/>
      <c r="B73" s="641"/>
      <c r="C73" s="646" t="s">
        <v>810</v>
      </c>
      <c r="D73" s="643"/>
      <c r="E73" s="644">
        <v>120</v>
      </c>
      <c r="F73" s="645"/>
      <c r="G73" s="644"/>
      <c r="H73" s="645"/>
      <c r="I73" s="2383"/>
    </row>
    <row r="74" spans="1:9" x14ac:dyDescent="0.2">
      <c r="A74" s="640"/>
      <c r="B74" s="641"/>
      <c r="C74" s="646" t="s">
        <v>842</v>
      </c>
      <c r="D74" s="643"/>
      <c r="E74" s="644">
        <v>80</v>
      </c>
      <c r="F74" s="645"/>
      <c r="G74" s="644"/>
      <c r="H74" s="645"/>
      <c r="I74" s="2383"/>
    </row>
    <row r="75" spans="1:9" x14ac:dyDescent="0.2">
      <c r="A75" s="640"/>
      <c r="B75" s="641"/>
      <c r="C75" s="642" t="s">
        <v>850</v>
      </c>
      <c r="D75" s="643"/>
      <c r="E75" s="644">
        <v>40</v>
      </c>
      <c r="F75" s="645"/>
      <c r="G75" s="644"/>
      <c r="H75" s="645"/>
      <c r="I75" s="2382"/>
    </row>
    <row r="76" spans="1:9" x14ac:dyDescent="0.2">
      <c r="A76" s="647"/>
      <c r="B76" s="641" t="s">
        <v>218</v>
      </c>
      <c r="C76" s="648" t="s">
        <v>324</v>
      </c>
      <c r="D76" s="649" t="s">
        <v>17</v>
      </c>
      <c r="E76" s="650">
        <f>SUM(E77:E81)</f>
        <v>330</v>
      </c>
      <c r="F76" s="682">
        <f>salaries!H26</f>
        <v>44</v>
      </c>
      <c r="G76" s="683">
        <f>F76*E76</f>
        <v>14520</v>
      </c>
      <c r="H76" s="645"/>
      <c r="I76" s="2382"/>
    </row>
    <row r="77" spans="1:9" x14ac:dyDescent="0.2">
      <c r="A77" s="647"/>
      <c r="B77" s="641"/>
      <c r="C77" s="642" t="s">
        <v>933</v>
      </c>
      <c r="D77" s="643"/>
      <c r="E77" s="644">
        <v>40</v>
      </c>
      <c r="F77" s="645"/>
      <c r="G77" s="644"/>
      <c r="H77" s="645"/>
      <c r="I77" s="2382"/>
    </row>
    <row r="78" spans="1:9" x14ac:dyDescent="0.2">
      <c r="A78" s="647"/>
      <c r="B78" s="641"/>
      <c r="C78" s="642" t="s">
        <v>718</v>
      </c>
      <c r="D78" s="643"/>
      <c r="E78" s="644">
        <v>160</v>
      </c>
      <c r="F78" s="645"/>
      <c r="G78" s="644"/>
      <c r="H78" s="645"/>
      <c r="I78" s="2382"/>
    </row>
    <row r="79" spans="1:9" x14ac:dyDescent="0.2">
      <c r="A79" s="647"/>
      <c r="B79" s="641"/>
      <c r="C79" s="642" t="s">
        <v>841</v>
      </c>
      <c r="D79" s="643"/>
      <c r="E79" s="644">
        <v>80</v>
      </c>
      <c r="F79" s="645"/>
      <c r="G79" s="644"/>
      <c r="H79" s="645"/>
      <c r="I79" s="2382"/>
    </row>
    <row r="80" spans="1:9" x14ac:dyDescent="0.2">
      <c r="A80" s="647"/>
      <c r="B80" s="641"/>
      <c r="C80" s="642" t="s">
        <v>850</v>
      </c>
      <c r="D80" s="643"/>
      <c r="E80" s="644">
        <v>40</v>
      </c>
      <c r="F80" s="645"/>
      <c r="G80" s="644"/>
      <c r="H80" s="645"/>
      <c r="I80" s="2382"/>
    </row>
    <row r="81" spans="1:9" x14ac:dyDescent="0.2">
      <c r="A81" s="647"/>
      <c r="B81" s="641"/>
      <c r="C81" s="642" t="s">
        <v>810</v>
      </c>
      <c r="D81" s="643"/>
      <c r="E81" s="644">
        <v>10</v>
      </c>
      <c r="F81" s="645"/>
      <c r="G81" s="644"/>
      <c r="H81" s="645"/>
      <c r="I81" s="2382"/>
    </row>
    <row r="82" spans="1:9" x14ac:dyDescent="0.2">
      <c r="A82" s="647"/>
      <c r="B82" s="641" t="s">
        <v>220</v>
      </c>
      <c r="C82" s="648" t="s">
        <v>324</v>
      </c>
      <c r="D82" s="1632" t="s">
        <v>17</v>
      </c>
      <c r="E82" s="683">
        <f>SUM(E83:E84)</f>
        <v>160</v>
      </c>
      <c r="F82" s="682">
        <f>salaries!H28</f>
        <v>11</v>
      </c>
      <c r="G82" s="683">
        <f>F82*E82</f>
        <v>1760</v>
      </c>
      <c r="H82" s="645"/>
      <c r="I82" s="2382"/>
    </row>
    <row r="83" spans="1:9" x14ac:dyDescent="0.2">
      <c r="A83" s="647"/>
      <c r="B83" s="641"/>
      <c r="C83" s="642" t="s">
        <v>854</v>
      </c>
      <c r="D83" s="1632"/>
      <c r="E83" s="644">
        <v>160</v>
      </c>
      <c r="F83" s="645"/>
      <c r="G83" s="644"/>
      <c r="H83" s="645"/>
      <c r="I83" s="2382"/>
    </row>
    <row r="84" spans="1:9" x14ac:dyDescent="0.2">
      <c r="A84" s="647"/>
      <c r="B84" s="641"/>
      <c r="C84" s="642" t="s">
        <v>934</v>
      </c>
      <c r="D84" s="643"/>
      <c r="E84" s="644">
        <v>0</v>
      </c>
      <c r="F84" s="645"/>
      <c r="G84" s="644"/>
      <c r="H84" s="645"/>
      <c r="I84" s="2382"/>
    </row>
    <row r="85" spans="1:9" x14ac:dyDescent="0.2">
      <c r="A85" s="647"/>
      <c r="B85" s="641" t="s">
        <v>219</v>
      </c>
      <c r="C85" s="648" t="s">
        <v>324</v>
      </c>
      <c r="D85" s="1632" t="s">
        <v>17</v>
      </c>
      <c r="E85" s="683">
        <f>SUM(E86:E87)</f>
        <v>320</v>
      </c>
      <c r="F85" s="682">
        <f>salaries!H27</f>
        <v>32</v>
      </c>
      <c r="G85" s="683">
        <f>F85*E85</f>
        <v>10240</v>
      </c>
      <c r="H85" s="645"/>
      <c r="I85" s="2382"/>
    </row>
    <row r="86" spans="1:9" x14ac:dyDescent="0.2">
      <c r="A86" s="647"/>
      <c r="B86" s="641"/>
      <c r="C86" s="642" t="s">
        <v>810</v>
      </c>
      <c r="D86" s="1632"/>
      <c r="E86" s="1528">
        <v>160</v>
      </c>
      <c r="F86" s="682"/>
      <c r="G86" s="683"/>
      <c r="H86" s="645"/>
      <c r="I86" s="2382"/>
    </row>
    <row r="87" spans="1:9" x14ac:dyDescent="0.2">
      <c r="A87" s="651"/>
      <c r="B87" s="652"/>
      <c r="C87" s="653" t="s">
        <v>853</v>
      </c>
      <c r="D87" s="652"/>
      <c r="E87" s="654">
        <v>160</v>
      </c>
      <c r="F87" s="655"/>
      <c r="G87" s="654"/>
      <c r="H87" s="655">
        <f>SUM(G71:G87)</f>
        <v>39320</v>
      </c>
      <c r="I87" s="2382"/>
    </row>
    <row r="88" spans="1:9" x14ac:dyDescent="0.2">
      <c r="A88" s="669" t="s">
        <v>311</v>
      </c>
      <c r="B88" s="1697" t="s">
        <v>213</v>
      </c>
      <c r="C88" s="1699" t="s">
        <v>324</v>
      </c>
      <c r="D88" s="1698" t="s">
        <v>17</v>
      </c>
      <c r="E88" s="673">
        <f>SUM(E89:E91)</f>
        <v>280</v>
      </c>
      <c r="F88" s="674">
        <f>salaries!H29</f>
        <v>15</v>
      </c>
      <c r="G88" s="673">
        <f>F88*E88</f>
        <v>4200</v>
      </c>
      <c r="H88" s="675"/>
      <c r="I88" s="2382"/>
    </row>
    <row r="89" spans="1:9" x14ac:dyDescent="0.2">
      <c r="A89" s="656"/>
      <c r="B89" s="1696"/>
      <c r="C89" s="1195" t="s">
        <v>721</v>
      </c>
      <c r="D89" s="1389"/>
      <c r="E89" s="663">
        <v>160</v>
      </c>
      <c r="F89" s="661"/>
      <c r="G89" s="663"/>
      <c r="H89" s="661"/>
      <c r="I89" s="2382"/>
    </row>
    <row r="90" spans="1:9" x14ac:dyDescent="0.2">
      <c r="A90" s="656"/>
      <c r="B90" s="1696"/>
      <c r="C90" s="1195" t="s">
        <v>739</v>
      </c>
      <c r="D90" s="1389"/>
      <c r="E90" s="663">
        <v>80</v>
      </c>
      <c r="F90" s="661"/>
      <c r="G90" s="663"/>
      <c r="H90" s="661"/>
      <c r="I90" s="2382"/>
    </row>
    <row r="91" spans="1:9" x14ac:dyDescent="0.2">
      <c r="A91" s="656"/>
      <c r="B91" s="1696"/>
      <c r="C91" s="1700" t="s">
        <v>850</v>
      </c>
      <c r="D91" s="1389"/>
      <c r="E91" s="663">
        <v>40</v>
      </c>
      <c r="F91" s="661"/>
      <c r="G91" s="663"/>
      <c r="H91" s="661"/>
      <c r="I91" s="2382"/>
    </row>
    <row r="92" spans="1:9" x14ac:dyDescent="0.2">
      <c r="A92" s="656"/>
      <c r="B92" s="1696" t="s">
        <v>815</v>
      </c>
      <c r="C92" s="1701" t="s">
        <v>324</v>
      </c>
      <c r="D92" s="1702" t="s">
        <v>17</v>
      </c>
      <c r="E92" s="1636">
        <f>SUM(E93:E94)</f>
        <v>80</v>
      </c>
      <c r="F92" s="1637">
        <f>salaries!H31</f>
        <v>11</v>
      </c>
      <c r="G92" s="1636">
        <f>F92*E92</f>
        <v>880</v>
      </c>
      <c r="H92" s="661"/>
      <c r="I92" s="2382"/>
    </row>
    <row r="93" spans="1:9" x14ac:dyDescent="0.2">
      <c r="A93" s="656"/>
      <c r="B93" s="1696"/>
      <c r="C93" s="1195" t="s">
        <v>737</v>
      </c>
      <c r="D93" s="1389"/>
      <c r="E93" s="663">
        <v>40</v>
      </c>
      <c r="F93" s="661"/>
      <c r="G93" s="663"/>
      <c r="H93" s="661"/>
      <c r="I93" s="2382"/>
    </row>
    <row r="94" spans="1:9" s="68" customFormat="1" x14ac:dyDescent="0.2">
      <c r="A94" s="679"/>
      <c r="B94" s="1387"/>
      <c r="C94" s="1418" t="s">
        <v>850</v>
      </c>
      <c r="D94" s="1390"/>
      <c r="E94" s="668">
        <v>40</v>
      </c>
      <c r="F94" s="680"/>
      <c r="G94" s="668"/>
      <c r="H94" s="680">
        <f>SUM(G88:G94)</f>
        <v>5080</v>
      </c>
      <c r="I94" s="2474"/>
    </row>
    <row r="95" spans="1:9" x14ac:dyDescent="0.2">
      <c r="A95" s="853" t="s">
        <v>407</v>
      </c>
      <c r="B95" s="854" t="s">
        <v>221</v>
      </c>
      <c r="C95" s="838" t="s">
        <v>324</v>
      </c>
      <c r="D95" s="839" t="s">
        <v>17</v>
      </c>
      <c r="E95" s="840">
        <f>SUM(E96:E99)</f>
        <v>320</v>
      </c>
      <c r="F95" s="855">
        <f>salaries!H34</f>
        <v>15</v>
      </c>
      <c r="G95" s="840">
        <f>F95*E95</f>
        <v>4800</v>
      </c>
      <c r="H95" s="856"/>
      <c r="I95" s="2382"/>
    </row>
    <row r="96" spans="1:9" x14ac:dyDescent="0.2">
      <c r="A96" s="836"/>
      <c r="B96" s="837"/>
      <c r="C96" s="844" t="s">
        <v>732</v>
      </c>
      <c r="D96" s="845"/>
      <c r="E96" s="846">
        <v>40</v>
      </c>
      <c r="F96" s="843"/>
      <c r="G96" s="846"/>
      <c r="H96" s="843"/>
      <c r="I96" s="2382"/>
    </row>
    <row r="97" spans="1:9" x14ac:dyDescent="0.2">
      <c r="A97" s="836"/>
      <c r="B97" s="837"/>
      <c r="C97" s="844" t="s">
        <v>733</v>
      </c>
      <c r="D97" s="845"/>
      <c r="E97" s="846">
        <v>40</v>
      </c>
      <c r="F97" s="843"/>
      <c r="G97" s="846"/>
      <c r="H97" s="843"/>
      <c r="I97" s="2382"/>
    </row>
    <row r="98" spans="1:9" x14ac:dyDescent="0.2">
      <c r="A98" s="836"/>
      <c r="B98" s="837"/>
      <c r="C98" s="844" t="s">
        <v>736</v>
      </c>
      <c r="D98" s="845"/>
      <c r="E98" s="846">
        <v>200</v>
      </c>
      <c r="F98" s="843"/>
      <c r="G98" s="846"/>
      <c r="H98" s="843"/>
      <c r="I98" s="2382"/>
    </row>
    <row r="99" spans="1:9" x14ac:dyDescent="0.2">
      <c r="A99" s="836"/>
      <c r="B99" s="837"/>
      <c r="C99" s="844" t="s">
        <v>850</v>
      </c>
      <c r="D99" s="845"/>
      <c r="E99" s="846">
        <v>40</v>
      </c>
      <c r="F99" s="843"/>
      <c r="G99" s="846"/>
      <c r="H99" s="843"/>
      <c r="I99" s="2382"/>
    </row>
    <row r="100" spans="1:9" x14ac:dyDescent="0.2">
      <c r="A100" s="836"/>
      <c r="B100" s="837" t="s">
        <v>224</v>
      </c>
      <c r="C100" s="1693" t="s">
        <v>324</v>
      </c>
      <c r="D100" s="1694" t="s">
        <v>17</v>
      </c>
      <c r="E100" s="861">
        <f>SUM(E101:E102)</f>
        <v>120</v>
      </c>
      <c r="F100" s="860">
        <f>salaries!H37</f>
        <v>12</v>
      </c>
      <c r="G100" s="861">
        <f>F100*E100</f>
        <v>1440</v>
      </c>
      <c r="H100" s="843"/>
      <c r="I100" s="2382"/>
    </row>
    <row r="101" spans="1:9" x14ac:dyDescent="0.2">
      <c r="A101" s="836"/>
      <c r="B101" s="837"/>
      <c r="C101" s="844" t="s">
        <v>860</v>
      </c>
      <c r="D101" s="845"/>
      <c r="E101" s="846">
        <v>80</v>
      </c>
      <c r="F101" s="843"/>
      <c r="G101" s="846"/>
      <c r="H101" s="843"/>
      <c r="I101" s="2382"/>
    </row>
    <row r="102" spans="1:9" x14ac:dyDescent="0.2">
      <c r="A102" s="836"/>
      <c r="B102" s="837"/>
      <c r="C102" s="844" t="s">
        <v>861</v>
      </c>
      <c r="D102" s="845"/>
      <c r="E102" s="846">
        <v>40</v>
      </c>
      <c r="F102" s="843"/>
      <c r="G102" s="846"/>
      <c r="H102" s="843"/>
      <c r="I102" s="2382"/>
    </row>
    <row r="103" spans="1:9" x14ac:dyDescent="0.2">
      <c r="A103" s="836"/>
      <c r="B103" s="837" t="s">
        <v>223</v>
      </c>
      <c r="C103" s="1693" t="s">
        <v>324</v>
      </c>
      <c r="D103" s="1694" t="s">
        <v>17</v>
      </c>
      <c r="E103" s="861">
        <f>SUM(E104:E105)</f>
        <v>80</v>
      </c>
      <c r="F103" s="860">
        <f>salaries!H36</f>
        <v>12</v>
      </c>
      <c r="G103" s="861">
        <f>F103*E103</f>
        <v>960</v>
      </c>
      <c r="H103" s="843"/>
      <c r="I103" s="2382"/>
    </row>
    <row r="104" spans="1:9" x14ac:dyDescent="0.2">
      <c r="A104" s="836"/>
      <c r="B104" s="837"/>
      <c r="C104" s="844" t="s">
        <v>835</v>
      </c>
      <c r="D104" s="845"/>
      <c r="E104" s="846">
        <v>40</v>
      </c>
      <c r="F104" s="843"/>
      <c r="G104" s="846"/>
      <c r="H104" s="843"/>
      <c r="I104" s="2382"/>
    </row>
    <row r="105" spans="1:9" x14ac:dyDescent="0.2">
      <c r="A105" s="836"/>
      <c r="B105" s="837"/>
      <c r="C105" s="844" t="s">
        <v>850</v>
      </c>
      <c r="D105" s="845"/>
      <c r="E105" s="846">
        <v>40</v>
      </c>
      <c r="F105" s="843"/>
      <c r="G105" s="846"/>
      <c r="H105" s="843"/>
      <c r="I105" s="2382"/>
    </row>
    <row r="106" spans="1:9" x14ac:dyDescent="0.2">
      <c r="A106" s="836"/>
      <c r="B106" s="837" t="s">
        <v>222</v>
      </c>
      <c r="C106" s="1693" t="s">
        <v>324</v>
      </c>
      <c r="D106" s="1694" t="s">
        <v>17</v>
      </c>
      <c r="E106" s="861">
        <f>SUM(E107:E108)</f>
        <v>240</v>
      </c>
      <c r="F106" s="860">
        <f>salaries!H35</f>
        <v>15</v>
      </c>
      <c r="G106" s="861">
        <f>F106*E106</f>
        <v>3600</v>
      </c>
      <c r="H106" s="843"/>
      <c r="I106" s="2382"/>
    </row>
    <row r="107" spans="1:9" x14ac:dyDescent="0.2">
      <c r="A107" s="836"/>
      <c r="B107" s="837"/>
      <c r="C107" s="844" t="s">
        <v>736</v>
      </c>
      <c r="D107" s="845"/>
      <c r="E107" s="846">
        <v>200</v>
      </c>
      <c r="F107" s="843"/>
      <c r="G107" s="846"/>
      <c r="H107" s="843"/>
      <c r="I107" s="2382"/>
    </row>
    <row r="108" spans="1:9" x14ac:dyDescent="0.2">
      <c r="A108" s="857"/>
      <c r="B108" s="858"/>
      <c r="C108" s="850" t="s">
        <v>850</v>
      </c>
      <c r="D108" s="851"/>
      <c r="E108" s="852">
        <v>40</v>
      </c>
      <c r="F108" s="859"/>
      <c r="G108" s="852"/>
      <c r="H108" s="859">
        <f>SUM(G95:G108)</f>
        <v>10800</v>
      </c>
      <c r="I108" s="2382"/>
    </row>
    <row r="109" spans="1:9" x14ac:dyDescent="0.2">
      <c r="A109" s="867" t="s">
        <v>408</v>
      </c>
      <c r="B109" s="1682" t="s">
        <v>225</v>
      </c>
      <c r="C109" s="869" t="s">
        <v>324</v>
      </c>
      <c r="D109" s="870" t="s">
        <v>17</v>
      </c>
      <c r="E109" s="871">
        <f>SUM(E110:E111)</f>
        <v>80</v>
      </c>
      <c r="F109" s="872">
        <f>salaries!H38</f>
        <v>11</v>
      </c>
      <c r="G109" s="871">
        <f>F109*E109</f>
        <v>880</v>
      </c>
      <c r="H109" s="873"/>
      <c r="I109" s="2382"/>
    </row>
    <row r="110" spans="1:9" x14ac:dyDescent="0.2">
      <c r="A110" s="548"/>
      <c r="B110" s="1683"/>
      <c r="C110" s="556" t="s">
        <v>737</v>
      </c>
      <c r="D110" s="549"/>
      <c r="E110" s="554">
        <v>40</v>
      </c>
      <c r="F110" s="553"/>
      <c r="G110" s="554"/>
      <c r="H110" s="553"/>
      <c r="I110" s="2382"/>
    </row>
    <row r="111" spans="1:9" s="68" customFormat="1" x14ac:dyDescent="0.2">
      <c r="A111" s="1684"/>
      <c r="B111" s="865"/>
      <c r="C111" s="864" t="s">
        <v>850</v>
      </c>
      <c r="D111" s="865"/>
      <c r="E111" s="866">
        <v>40</v>
      </c>
      <c r="F111" s="875"/>
      <c r="G111" s="866"/>
      <c r="H111" s="875">
        <f>SUM(G109:G111)</f>
        <v>880</v>
      </c>
      <c r="I111" s="2474"/>
    </row>
    <row r="112" spans="1:9" x14ac:dyDescent="0.2">
      <c r="A112" s="890" t="s">
        <v>409</v>
      </c>
      <c r="B112" s="891" t="s">
        <v>230</v>
      </c>
      <c r="C112" s="892" t="s">
        <v>324</v>
      </c>
      <c r="D112" s="893" t="s">
        <v>17</v>
      </c>
      <c r="E112" s="894">
        <f>SUM(E113:E114)</f>
        <v>80</v>
      </c>
      <c r="F112" s="895">
        <f>salaries!H43</f>
        <v>23</v>
      </c>
      <c r="G112" s="894">
        <f>F112*E112</f>
        <v>1840</v>
      </c>
      <c r="H112" s="896"/>
      <c r="I112" s="2382"/>
    </row>
    <row r="113" spans="1:9" x14ac:dyDescent="0.2">
      <c r="A113" s="876"/>
      <c r="B113" s="877"/>
      <c r="C113" s="883" t="s">
        <v>737</v>
      </c>
      <c r="D113" s="884"/>
      <c r="E113" s="885">
        <v>40</v>
      </c>
      <c r="F113" s="882"/>
      <c r="G113" s="885"/>
      <c r="H113" s="882"/>
      <c r="I113" s="2382"/>
    </row>
    <row r="114" spans="1:9" x14ac:dyDescent="0.2">
      <c r="A114" s="897"/>
      <c r="B114" s="898"/>
      <c r="C114" s="887" t="s">
        <v>850</v>
      </c>
      <c r="D114" s="888"/>
      <c r="E114" s="889">
        <v>40</v>
      </c>
      <c r="F114" s="899"/>
      <c r="G114" s="889"/>
      <c r="H114" s="899">
        <f>SUM(G112:G114)</f>
        <v>1840</v>
      </c>
      <c r="I114" s="2382"/>
    </row>
    <row r="115" spans="1:9" x14ac:dyDescent="0.2">
      <c r="A115" s="900" t="s">
        <v>410</v>
      </c>
      <c r="B115" s="901" t="s">
        <v>232</v>
      </c>
      <c r="C115" s="902" t="s">
        <v>324</v>
      </c>
      <c r="D115" s="903" t="s">
        <v>17</v>
      </c>
      <c r="E115" s="904">
        <f>SUM(E116:E118)</f>
        <v>160</v>
      </c>
      <c r="F115" s="905">
        <f>salaries!H47</f>
        <v>11</v>
      </c>
      <c r="G115" s="904">
        <f>F115*E115</f>
        <v>1760</v>
      </c>
      <c r="H115" s="906"/>
      <c r="I115" s="2382"/>
    </row>
    <row r="116" spans="1:9" x14ac:dyDescent="0.2">
      <c r="A116" s="907"/>
      <c r="B116" s="908"/>
      <c r="C116" s="909" t="s">
        <v>737</v>
      </c>
      <c r="D116" s="908"/>
      <c r="E116" s="910">
        <v>40</v>
      </c>
      <c r="F116" s="911"/>
      <c r="G116" s="910"/>
      <c r="H116" s="911"/>
      <c r="I116" s="2382"/>
    </row>
    <row r="117" spans="1:9" x14ac:dyDescent="0.2">
      <c r="A117" s="907"/>
      <c r="B117" s="908"/>
      <c r="C117" s="909" t="s">
        <v>856</v>
      </c>
      <c r="D117" s="908"/>
      <c r="E117" s="910">
        <v>80</v>
      </c>
      <c r="F117" s="911"/>
      <c r="G117" s="910"/>
      <c r="H117" s="911"/>
      <c r="I117" s="2382"/>
    </row>
    <row r="118" spans="1:9" x14ac:dyDescent="0.2">
      <c r="A118" s="907"/>
      <c r="B118" s="908"/>
      <c r="C118" s="909" t="s">
        <v>855</v>
      </c>
      <c r="D118" s="908"/>
      <c r="E118" s="910">
        <v>40</v>
      </c>
      <c r="F118" s="911"/>
      <c r="G118" s="910"/>
      <c r="H118" s="911"/>
      <c r="I118" s="2382"/>
    </row>
    <row r="119" spans="1:9" x14ac:dyDescent="0.2">
      <c r="A119" s="907"/>
      <c r="B119" s="908" t="s">
        <v>235</v>
      </c>
      <c r="C119" s="2009" t="s">
        <v>324</v>
      </c>
      <c r="D119" s="2010" t="s">
        <v>17</v>
      </c>
      <c r="E119" s="2011">
        <f>SUM(E120:E121)</f>
        <v>120</v>
      </c>
      <c r="F119" s="2012">
        <f>salaries!H50</f>
        <v>11</v>
      </c>
      <c r="G119" s="2011">
        <f>F119*E119</f>
        <v>1320</v>
      </c>
      <c r="H119" s="911"/>
      <c r="I119" s="2382"/>
    </row>
    <row r="120" spans="1:9" x14ac:dyDescent="0.2">
      <c r="A120" s="907"/>
      <c r="B120" s="908"/>
      <c r="C120" s="909" t="s">
        <v>858</v>
      </c>
      <c r="D120" s="908"/>
      <c r="E120" s="910">
        <v>80</v>
      </c>
      <c r="F120" s="911"/>
      <c r="G120" s="910"/>
      <c r="H120" s="911"/>
      <c r="I120" s="2382"/>
    </row>
    <row r="121" spans="1:9" s="68" customFormat="1" x14ac:dyDescent="0.2">
      <c r="A121" s="918"/>
      <c r="B121" s="919"/>
      <c r="C121" s="920" t="s">
        <v>857</v>
      </c>
      <c r="D121" s="919"/>
      <c r="E121" s="921">
        <v>40</v>
      </c>
      <c r="F121" s="922"/>
      <c r="G121" s="921"/>
      <c r="H121" s="922">
        <f>SUM(G115:G121)</f>
        <v>3080</v>
      </c>
      <c r="I121" s="2382"/>
    </row>
    <row r="122" spans="1:9" s="68" customFormat="1" x14ac:dyDescent="0.2">
      <c r="A122" s="952" t="s">
        <v>411</v>
      </c>
      <c r="B122" s="953" t="s">
        <v>240</v>
      </c>
      <c r="C122" s="954" t="s">
        <v>324</v>
      </c>
      <c r="D122" s="955" t="s">
        <v>17</v>
      </c>
      <c r="E122" s="956">
        <f>SUM(E123:E124)</f>
        <v>80</v>
      </c>
      <c r="F122" s="957">
        <f>salaries!H51</f>
        <v>20</v>
      </c>
      <c r="G122" s="956">
        <f>F122*E122</f>
        <v>1600</v>
      </c>
      <c r="H122" s="958"/>
      <c r="I122" s="2382"/>
    </row>
    <row r="123" spans="1:9" s="68" customFormat="1" x14ac:dyDescent="0.2">
      <c r="A123" s="923"/>
      <c r="B123" s="924"/>
      <c r="C123" s="930" t="s">
        <v>737</v>
      </c>
      <c r="D123" s="924"/>
      <c r="E123" s="931">
        <v>40</v>
      </c>
      <c r="F123" s="929"/>
      <c r="G123" s="931"/>
      <c r="H123" s="929"/>
      <c r="I123" s="2382"/>
    </row>
    <row r="124" spans="1:9" s="68" customFormat="1" x14ac:dyDescent="0.2">
      <c r="A124" s="959"/>
      <c r="B124" s="934"/>
      <c r="C124" s="933" t="s">
        <v>850</v>
      </c>
      <c r="D124" s="934"/>
      <c r="E124" s="935">
        <v>40</v>
      </c>
      <c r="F124" s="960"/>
      <c r="G124" s="935"/>
      <c r="H124" s="960">
        <f>SUM(G122:G124)</f>
        <v>1600</v>
      </c>
      <c r="I124" s="2382"/>
    </row>
    <row r="125" spans="1:9" s="68" customFormat="1" x14ac:dyDescent="0.2">
      <c r="A125" s="961" t="s">
        <v>412</v>
      </c>
      <c r="B125" s="968" t="s">
        <v>236</v>
      </c>
      <c r="C125" s="938" t="s">
        <v>324</v>
      </c>
      <c r="D125" s="939" t="s">
        <v>17</v>
      </c>
      <c r="E125" s="940">
        <f>SUM(E126:E131)</f>
        <v>800</v>
      </c>
      <c r="F125" s="962">
        <f>salaries!H55</f>
        <v>21</v>
      </c>
      <c r="G125" s="940">
        <f>F125*E125</f>
        <v>16800</v>
      </c>
      <c r="H125" s="963"/>
      <c r="I125" s="2382"/>
    </row>
    <row r="126" spans="1:9" s="68" customFormat="1" x14ac:dyDescent="0.2">
      <c r="A126" s="936"/>
      <c r="B126" s="944"/>
      <c r="C126" s="945" t="s">
        <v>734</v>
      </c>
      <c r="D126" s="944"/>
      <c r="E126" s="946">
        <v>160</v>
      </c>
      <c r="F126" s="943"/>
      <c r="G126" s="946"/>
      <c r="H126" s="943"/>
      <c r="I126" s="2382"/>
    </row>
    <row r="127" spans="1:9" s="68" customFormat="1" x14ac:dyDescent="0.2">
      <c r="A127" s="936"/>
      <c r="B127" s="944"/>
      <c r="C127" s="945" t="s">
        <v>735</v>
      </c>
      <c r="D127" s="944"/>
      <c r="E127" s="946">
        <v>160</v>
      </c>
      <c r="F127" s="943"/>
      <c r="G127" s="946"/>
      <c r="H127" s="943"/>
      <c r="I127" s="2382"/>
    </row>
    <row r="128" spans="1:9" s="68" customFormat="1" x14ac:dyDescent="0.2">
      <c r="A128" s="936"/>
      <c r="B128" s="944"/>
      <c r="C128" s="945" t="s">
        <v>738</v>
      </c>
      <c r="D128" s="944"/>
      <c r="E128" s="946">
        <v>80</v>
      </c>
      <c r="F128" s="943"/>
      <c r="G128" s="946"/>
      <c r="H128" s="943"/>
      <c r="I128" s="2382"/>
    </row>
    <row r="129" spans="1:9" s="68" customFormat="1" x14ac:dyDescent="0.2">
      <c r="A129" s="936"/>
      <c r="B129" s="944" t="s">
        <v>237</v>
      </c>
      <c r="C129" s="1695" t="s">
        <v>324</v>
      </c>
      <c r="D129" s="1678" t="s">
        <v>17</v>
      </c>
      <c r="E129" s="1272">
        <f>SUM(E130:E131)</f>
        <v>200</v>
      </c>
      <c r="F129" s="1271">
        <f>salaries!H56</f>
        <v>20</v>
      </c>
      <c r="G129" s="1272">
        <f>F129*E129</f>
        <v>4000</v>
      </c>
      <c r="H129" s="943"/>
      <c r="I129" s="2382"/>
    </row>
    <row r="130" spans="1:9" s="68" customFormat="1" x14ac:dyDescent="0.2">
      <c r="A130" s="936"/>
      <c r="B130" s="944"/>
      <c r="C130" s="945" t="s">
        <v>737</v>
      </c>
      <c r="D130" s="944"/>
      <c r="E130" s="946">
        <v>80</v>
      </c>
      <c r="F130" s="943"/>
      <c r="G130" s="946"/>
      <c r="H130" s="943"/>
      <c r="I130" s="2382"/>
    </row>
    <row r="131" spans="1:9" s="68" customFormat="1" x14ac:dyDescent="0.2">
      <c r="A131" s="964"/>
      <c r="B131" s="950"/>
      <c r="C131" s="949" t="s">
        <v>738</v>
      </c>
      <c r="D131" s="950"/>
      <c r="E131" s="951">
        <v>120</v>
      </c>
      <c r="F131" s="965"/>
      <c r="G131" s="951"/>
      <c r="H131" s="965">
        <f>SUM(G125:G131)</f>
        <v>20800</v>
      </c>
      <c r="I131" s="2382"/>
    </row>
    <row r="132" spans="1:9" x14ac:dyDescent="0.2">
      <c r="A132" s="977" t="s">
        <v>413</v>
      </c>
      <c r="B132" s="978" t="s">
        <v>244</v>
      </c>
      <c r="C132" s="979" t="s">
        <v>324</v>
      </c>
      <c r="D132" s="980" t="s">
        <v>17</v>
      </c>
      <c r="E132" s="981">
        <f>SUM(E133:E136)</f>
        <v>360</v>
      </c>
      <c r="F132" s="982">
        <f>salaries!H59</f>
        <v>27</v>
      </c>
      <c r="G132" s="981">
        <f>F132*E132</f>
        <v>9720</v>
      </c>
      <c r="H132" s="982"/>
      <c r="I132" s="2382"/>
    </row>
    <row r="133" spans="1:9" x14ac:dyDescent="0.2">
      <c r="A133" s="969"/>
      <c r="B133" s="970"/>
      <c r="C133" s="983" t="s">
        <v>732</v>
      </c>
      <c r="D133" s="973"/>
      <c r="E133" s="974">
        <v>80</v>
      </c>
      <c r="F133" s="972"/>
      <c r="G133" s="971"/>
      <c r="H133" s="975"/>
      <c r="I133" s="2382"/>
    </row>
    <row r="134" spans="1:9" x14ac:dyDescent="0.2">
      <c r="A134" s="969"/>
      <c r="B134" s="970"/>
      <c r="C134" s="983" t="s">
        <v>733</v>
      </c>
      <c r="D134" s="973"/>
      <c r="E134" s="974">
        <v>40</v>
      </c>
      <c r="F134" s="972"/>
      <c r="G134" s="971"/>
      <c r="H134" s="975"/>
      <c r="I134" s="2382"/>
    </row>
    <row r="135" spans="1:9" x14ac:dyDescent="0.2">
      <c r="A135" s="969"/>
      <c r="B135" s="970"/>
      <c r="C135" s="983" t="s">
        <v>736</v>
      </c>
      <c r="D135" s="973"/>
      <c r="E135" s="974">
        <v>200</v>
      </c>
      <c r="F135" s="972"/>
      <c r="G135" s="971"/>
      <c r="H135" s="975"/>
      <c r="I135" s="2382"/>
    </row>
    <row r="136" spans="1:9" x14ac:dyDescent="0.2">
      <c r="A136" s="969"/>
      <c r="B136" s="970"/>
      <c r="C136" s="983" t="s">
        <v>850</v>
      </c>
      <c r="D136" s="973"/>
      <c r="E136" s="974">
        <v>40</v>
      </c>
      <c r="F136" s="972"/>
      <c r="G136" s="971"/>
      <c r="H136" s="975"/>
      <c r="I136" s="2382"/>
    </row>
    <row r="137" spans="1:9" x14ac:dyDescent="0.2">
      <c r="A137" s="969"/>
      <c r="B137" s="970" t="s">
        <v>246</v>
      </c>
      <c r="C137" s="1703" t="s">
        <v>324</v>
      </c>
      <c r="D137" s="1704" t="s">
        <v>17</v>
      </c>
      <c r="E137" s="1705">
        <f>SUM(E138:E139)</f>
        <v>240</v>
      </c>
      <c r="F137" s="1706">
        <f>salaries!H61</f>
        <v>27</v>
      </c>
      <c r="G137" s="1705">
        <f>F137*E137</f>
        <v>6480</v>
      </c>
      <c r="H137" s="975"/>
      <c r="I137" s="2382"/>
    </row>
    <row r="138" spans="1:9" x14ac:dyDescent="0.2">
      <c r="A138" s="969"/>
      <c r="B138" s="970"/>
      <c r="C138" s="983" t="s">
        <v>736</v>
      </c>
      <c r="D138" s="973"/>
      <c r="E138" s="974">
        <v>200</v>
      </c>
      <c r="F138" s="972"/>
      <c r="G138" s="971"/>
      <c r="H138" s="975"/>
      <c r="I138" s="2382"/>
    </row>
    <row r="139" spans="1:9" x14ac:dyDescent="0.2">
      <c r="A139" s="985"/>
      <c r="B139" s="986"/>
      <c r="C139" s="987" t="s">
        <v>850</v>
      </c>
      <c r="D139" s="986"/>
      <c r="E139" s="988">
        <v>40</v>
      </c>
      <c r="F139" s="989"/>
      <c r="G139" s="988"/>
      <c r="H139" s="989">
        <f>SUM(G132:G139)</f>
        <v>16200</v>
      </c>
      <c r="I139" s="2382"/>
    </row>
    <row r="140" spans="1:9" x14ac:dyDescent="0.2">
      <c r="A140" s="999" t="s">
        <v>414</v>
      </c>
      <c r="B140" s="1000" t="s">
        <v>248</v>
      </c>
      <c r="C140" s="1001" t="s">
        <v>329</v>
      </c>
      <c r="D140" s="1002" t="s">
        <v>17</v>
      </c>
      <c r="E140" s="1003">
        <f>SUM(E141:E142)</f>
        <v>80</v>
      </c>
      <c r="F140" s="1004">
        <f>salaries!H63</f>
        <v>19</v>
      </c>
      <c r="G140" s="1003">
        <f>F140*E140</f>
        <v>1520</v>
      </c>
      <c r="H140" s="1005"/>
      <c r="I140" s="2382"/>
    </row>
    <row r="141" spans="1:9" x14ac:dyDescent="0.2">
      <c r="A141" s="990"/>
      <c r="B141" s="996"/>
      <c r="C141" s="997" t="s">
        <v>737</v>
      </c>
      <c r="D141" s="996"/>
      <c r="E141" s="998">
        <v>40</v>
      </c>
      <c r="F141" s="995"/>
      <c r="G141" s="998"/>
      <c r="H141" s="995"/>
      <c r="I141" s="2382"/>
    </row>
    <row r="142" spans="1:9" x14ac:dyDescent="0.2">
      <c r="A142" s="1006"/>
      <c r="B142" s="1007"/>
      <c r="C142" s="1008" t="s">
        <v>731</v>
      </c>
      <c r="D142" s="1007"/>
      <c r="E142" s="1009">
        <v>40</v>
      </c>
      <c r="F142" s="1010"/>
      <c r="G142" s="1009"/>
      <c r="H142" s="1010">
        <f>SUM(G140:G142)</f>
        <v>1520</v>
      </c>
      <c r="I142" s="2382"/>
    </row>
    <row r="143" spans="1:9" s="47" customFormat="1" x14ac:dyDescent="0.2">
      <c r="A143" s="1061" t="s">
        <v>415</v>
      </c>
      <c r="B143" s="1062" t="s">
        <v>252</v>
      </c>
      <c r="C143" s="1063" t="s">
        <v>324</v>
      </c>
      <c r="D143" s="1064" t="s">
        <v>17</v>
      </c>
      <c r="E143" s="1065">
        <f>SUM(E144:E147)</f>
        <v>360</v>
      </c>
      <c r="F143" s="1066">
        <f>salaries!H67</f>
        <v>20</v>
      </c>
      <c r="G143" s="1065">
        <f>F143*E143</f>
        <v>7200</v>
      </c>
      <c r="H143" s="1067"/>
      <c r="I143" s="2382"/>
    </row>
    <row r="144" spans="1:9" s="47" customFormat="1" x14ac:dyDescent="0.2">
      <c r="A144" s="1011"/>
      <c r="B144" s="1012"/>
      <c r="C144" s="1015" t="s">
        <v>732</v>
      </c>
      <c r="D144" s="1012"/>
      <c r="E144" s="1016">
        <v>80</v>
      </c>
      <c r="F144" s="1014"/>
      <c r="G144" s="1016"/>
      <c r="H144" s="1013"/>
      <c r="I144" s="2382"/>
    </row>
    <row r="145" spans="1:9" s="47" customFormat="1" x14ac:dyDescent="0.2">
      <c r="A145" s="1011"/>
      <c r="B145" s="1012"/>
      <c r="C145" s="1015" t="s">
        <v>733</v>
      </c>
      <c r="D145" s="1012"/>
      <c r="E145" s="1016">
        <v>40</v>
      </c>
      <c r="F145" s="1014"/>
      <c r="G145" s="1016"/>
      <c r="H145" s="1013"/>
      <c r="I145" s="2382"/>
    </row>
    <row r="146" spans="1:9" s="47" customFormat="1" x14ac:dyDescent="0.2">
      <c r="A146" s="1011"/>
      <c r="B146" s="1012"/>
      <c r="C146" s="1015" t="s">
        <v>736</v>
      </c>
      <c r="D146" s="1012"/>
      <c r="E146" s="1016">
        <v>200</v>
      </c>
      <c r="F146" s="1014"/>
      <c r="G146" s="1016"/>
      <c r="H146" s="1013"/>
      <c r="I146" s="2382"/>
    </row>
    <row r="147" spans="1:9" s="47" customFormat="1" x14ac:dyDescent="0.2">
      <c r="A147" s="1011"/>
      <c r="B147" s="1012"/>
      <c r="C147" s="1015" t="s">
        <v>850</v>
      </c>
      <c r="D147" s="1012"/>
      <c r="E147" s="1016">
        <v>40</v>
      </c>
      <c r="F147" s="1014"/>
      <c r="G147" s="1016"/>
      <c r="H147" s="1013"/>
      <c r="I147" s="2382"/>
    </row>
    <row r="148" spans="1:9" s="47" customFormat="1" x14ac:dyDescent="0.2">
      <c r="A148" s="1011"/>
      <c r="B148" s="1012" t="s">
        <v>253</v>
      </c>
      <c r="C148" s="1142" t="s">
        <v>324</v>
      </c>
      <c r="D148" s="1143" t="s">
        <v>17</v>
      </c>
      <c r="E148" s="1144">
        <f>SUM(E149:E150)</f>
        <v>240</v>
      </c>
      <c r="F148" s="1145">
        <f>salaries!H68</f>
        <v>24</v>
      </c>
      <c r="G148" s="1144">
        <f>F148*E148</f>
        <v>5760</v>
      </c>
      <c r="H148" s="1013"/>
      <c r="I148" s="2382"/>
    </row>
    <row r="149" spans="1:9" s="47" customFormat="1" x14ac:dyDescent="0.2">
      <c r="A149" s="1011"/>
      <c r="B149" s="1012"/>
      <c r="C149" s="1015" t="s">
        <v>736</v>
      </c>
      <c r="D149" s="1012"/>
      <c r="E149" s="1016">
        <v>200</v>
      </c>
      <c r="F149" s="1014"/>
      <c r="G149" s="1016"/>
      <c r="H149" s="1013"/>
      <c r="I149" s="2382"/>
    </row>
    <row r="150" spans="1:9" s="47" customFormat="1" x14ac:dyDescent="0.2">
      <c r="A150" s="1068"/>
      <c r="B150" s="1069"/>
      <c r="C150" s="1070" t="s">
        <v>850</v>
      </c>
      <c r="D150" s="1069"/>
      <c r="E150" s="1071">
        <v>40</v>
      </c>
      <c r="F150" s="1072"/>
      <c r="G150" s="1071"/>
      <c r="H150" s="1072">
        <f>SUM(G143:G150)</f>
        <v>12960</v>
      </c>
      <c r="I150" s="2382"/>
    </row>
    <row r="151" spans="1:9" s="47" customFormat="1" x14ac:dyDescent="0.2">
      <c r="A151" s="1017" t="s">
        <v>416</v>
      </c>
      <c r="B151" s="1018" t="s">
        <v>255</v>
      </c>
      <c r="C151" s="1019" t="s">
        <v>324</v>
      </c>
      <c r="D151" s="1020" t="s">
        <v>17</v>
      </c>
      <c r="E151" s="1021">
        <f>SUM(E152:E155)</f>
        <v>360</v>
      </c>
      <c r="F151" s="1022">
        <f>salaries!H72</f>
        <v>24</v>
      </c>
      <c r="G151" s="1021">
        <f>F151*E151</f>
        <v>8640</v>
      </c>
      <c r="H151" s="1023"/>
      <c r="I151" s="2382"/>
    </row>
    <row r="152" spans="1:9" s="47" customFormat="1" x14ac:dyDescent="0.2">
      <c r="A152" s="1017"/>
      <c r="B152" s="1018"/>
      <c r="C152" s="1024" t="s">
        <v>732</v>
      </c>
      <c r="D152" s="1018"/>
      <c r="E152" s="1025">
        <v>80</v>
      </c>
      <c r="F152" s="1023"/>
      <c r="G152" s="1025"/>
      <c r="H152" s="1022"/>
      <c r="I152" s="2382"/>
    </row>
    <row r="153" spans="1:9" s="47" customFormat="1" x14ac:dyDescent="0.2">
      <c r="A153" s="1017"/>
      <c r="B153" s="1018"/>
      <c r="C153" s="1024" t="s">
        <v>733</v>
      </c>
      <c r="D153" s="1018"/>
      <c r="E153" s="1025">
        <v>40</v>
      </c>
      <c r="F153" s="1023"/>
      <c r="G153" s="1025"/>
      <c r="H153" s="1022"/>
      <c r="I153" s="2382"/>
    </row>
    <row r="154" spans="1:9" s="47" customFormat="1" x14ac:dyDescent="0.2">
      <c r="A154" s="1017"/>
      <c r="B154" s="1018"/>
      <c r="C154" s="1024" t="s">
        <v>736</v>
      </c>
      <c r="D154" s="1018"/>
      <c r="E154" s="1025">
        <v>200</v>
      </c>
      <c r="F154" s="1023"/>
      <c r="G154" s="1025"/>
      <c r="H154" s="1022"/>
      <c r="I154" s="2382"/>
    </row>
    <row r="155" spans="1:9" s="47" customFormat="1" x14ac:dyDescent="0.2">
      <c r="A155" s="1017"/>
      <c r="B155" s="1018"/>
      <c r="C155" s="1024" t="s">
        <v>850</v>
      </c>
      <c r="D155" s="1018"/>
      <c r="E155" s="1025">
        <v>40</v>
      </c>
      <c r="F155" s="1023"/>
      <c r="G155" s="1025"/>
      <c r="H155" s="1022"/>
      <c r="I155" s="2382"/>
    </row>
    <row r="156" spans="1:9" s="47" customFormat="1" x14ac:dyDescent="0.2">
      <c r="A156" s="1017"/>
      <c r="B156" s="1018" t="s">
        <v>455</v>
      </c>
      <c r="C156" s="1146" t="s">
        <v>324</v>
      </c>
      <c r="D156" s="1147" t="s">
        <v>17</v>
      </c>
      <c r="E156" s="1148">
        <f>SUM(E157:E158)</f>
        <v>240</v>
      </c>
      <c r="F156" s="1149">
        <f>salaries!H73</f>
        <v>7</v>
      </c>
      <c r="G156" s="1148">
        <f>F156*E156</f>
        <v>1680</v>
      </c>
      <c r="H156" s="1022"/>
      <c r="I156" s="2382"/>
    </row>
    <row r="157" spans="1:9" s="47" customFormat="1" x14ac:dyDescent="0.2">
      <c r="A157" s="1017"/>
      <c r="B157" s="1018"/>
      <c r="C157" s="1024" t="s">
        <v>736</v>
      </c>
      <c r="D157" s="1018"/>
      <c r="E157" s="1025">
        <v>200</v>
      </c>
      <c r="F157" s="1023"/>
      <c r="G157" s="1025"/>
      <c r="H157" s="1022"/>
      <c r="I157" s="2382"/>
    </row>
    <row r="158" spans="1:9" s="47" customFormat="1" x14ac:dyDescent="0.2">
      <c r="A158" s="1056"/>
      <c r="B158" s="1057"/>
      <c r="C158" s="1058" t="s">
        <v>850</v>
      </c>
      <c r="D158" s="1057"/>
      <c r="E158" s="1059">
        <v>40</v>
      </c>
      <c r="F158" s="1060"/>
      <c r="G158" s="1059"/>
      <c r="H158" s="1060">
        <f>SUM(G151:G158)</f>
        <v>10320</v>
      </c>
      <c r="I158" s="2382"/>
    </row>
    <row r="159" spans="1:9" s="47" customFormat="1" x14ac:dyDescent="0.2">
      <c r="A159" s="1026" t="s">
        <v>417</v>
      </c>
      <c r="B159" s="1027" t="s">
        <v>914</v>
      </c>
      <c r="C159" s="1028" t="s">
        <v>324</v>
      </c>
      <c r="D159" s="1029" t="s">
        <v>17</v>
      </c>
      <c r="E159" s="1030">
        <f>SUM(E160:E162)</f>
        <v>160</v>
      </c>
      <c r="F159" s="1031">
        <f>salaries!H80</f>
        <v>9</v>
      </c>
      <c r="G159" s="1030">
        <f>F159*E159</f>
        <v>1440</v>
      </c>
      <c r="H159" s="1032"/>
      <c r="I159" s="2382"/>
    </row>
    <row r="160" spans="1:9" s="47" customFormat="1" x14ac:dyDescent="0.2">
      <c r="A160" s="1026"/>
      <c r="B160" s="1027"/>
      <c r="C160" s="1033" t="s">
        <v>859</v>
      </c>
      <c r="D160" s="2013"/>
      <c r="E160" s="2014">
        <v>80</v>
      </c>
      <c r="F160" s="1031"/>
      <c r="G160" s="1030"/>
      <c r="H160" s="1032"/>
      <c r="I160" s="2382"/>
    </row>
    <row r="161" spans="1:9" s="47" customFormat="1" x14ac:dyDescent="0.2">
      <c r="A161" s="1026"/>
      <c r="B161" s="1027"/>
      <c r="C161" s="1033" t="s">
        <v>737</v>
      </c>
      <c r="D161" s="1027"/>
      <c r="E161" s="1034">
        <v>40</v>
      </c>
      <c r="F161" s="1032"/>
      <c r="G161" s="1034"/>
      <c r="H161" s="1031"/>
      <c r="I161" s="2382"/>
    </row>
    <row r="162" spans="1:9" s="47" customFormat="1" x14ac:dyDescent="0.2">
      <c r="A162" s="1037"/>
      <c r="B162" s="1038"/>
      <c r="C162" s="1039" t="s">
        <v>850</v>
      </c>
      <c r="D162" s="1038"/>
      <c r="E162" s="1040">
        <v>40</v>
      </c>
      <c r="F162" s="1041"/>
      <c r="G162" s="1040"/>
      <c r="H162" s="1041">
        <f>SUM(G159:G162)</f>
        <v>1440</v>
      </c>
      <c r="I162" s="2382"/>
    </row>
    <row r="163" spans="1:9" s="47" customFormat="1" x14ac:dyDescent="0.2">
      <c r="A163" s="1042" t="s">
        <v>418</v>
      </c>
      <c r="B163" s="1043" t="s">
        <v>259</v>
      </c>
      <c r="C163" s="1044" t="s">
        <v>324</v>
      </c>
      <c r="D163" s="1045" t="s">
        <v>17</v>
      </c>
      <c r="E163" s="1046">
        <f>SUM(E164:E167)</f>
        <v>360</v>
      </c>
      <c r="F163" s="1047">
        <f>salaries!H81</f>
        <v>33</v>
      </c>
      <c r="G163" s="1046">
        <f>F163*E163</f>
        <v>11880</v>
      </c>
      <c r="H163" s="1048"/>
      <c r="I163" s="2382"/>
    </row>
    <row r="164" spans="1:9" s="47" customFormat="1" x14ac:dyDescent="0.2">
      <c r="A164" s="1042"/>
      <c r="B164" s="1043"/>
      <c r="C164" s="1049" t="s">
        <v>732</v>
      </c>
      <c r="D164" s="1045"/>
      <c r="E164" s="1050">
        <v>80</v>
      </c>
      <c r="F164" s="1047"/>
      <c r="G164" s="1046"/>
      <c r="H164" s="1048"/>
      <c r="I164" s="2382"/>
    </row>
    <row r="165" spans="1:9" s="47" customFormat="1" x14ac:dyDescent="0.2">
      <c r="A165" s="1042"/>
      <c r="B165" s="1043"/>
      <c r="C165" s="1049" t="s">
        <v>733</v>
      </c>
      <c r="D165" s="1045"/>
      <c r="E165" s="1050">
        <v>40</v>
      </c>
      <c r="F165" s="1047"/>
      <c r="G165" s="1046"/>
      <c r="H165" s="1048"/>
      <c r="I165" s="2382"/>
    </row>
    <row r="166" spans="1:9" s="47" customFormat="1" x14ac:dyDescent="0.2">
      <c r="A166" s="1042"/>
      <c r="B166" s="1043"/>
      <c r="C166" s="1049" t="s">
        <v>736</v>
      </c>
      <c r="D166" s="1045"/>
      <c r="E166" s="1050">
        <v>200</v>
      </c>
      <c r="F166" s="1047"/>
      <c r="G166" s="1046"/>
      <c r="H166" s="1048"/>
      <c r="I166" s="2382"/>
    </row>
    <row r="167" spans="1:9" s="47" customFormat="1" x14ac:dyDescent="0.2">
      <c r="A167" s="1042"/>
      <c r="B167" s="1043"/>
      <c r="C167" s="1049" t="s">
        <v>850</v>
      </c>
      <c r="D167" s="1045"/>
      <c r="E167" s="1050">
        <v>40</v>
      </c>
      <c r="F167" s="1047"/>
      <c r="G167" s="1046"/>
      <c r="H167" s="1048"/>
      <c r="I167" s="2382"/>
    </row>
    <row r="168" spans="1:9" s="47" customFormat="1" x14ac:dyDescent="0.2">
      <c r="A168" s="1042"/>
      <c r="B168" s="1043" t="s">
        <v>261</v>
      </c>
      <c r="C168" s="1157" t="s">
        <v>324</v>
      </c>
      <c r="D168" s="1158" t="s">
        <v>17</v>
      </c>
      <c r="E168" s="1159">
        <f>SUM(E169:E170)</f>
        <v>240</v>
      </c>
      <c r="F168" s="1160">
        <f>salaries!H83</f>
        <v>23</v>
      </c>
      <c r="G168" s="1159">
        <f>F168*E168</f>
        <v>5520</v>
      </c>
      <c r="H168" s="1048"/>
      <c r="I168" s="2382"/>
    </row>
    <row r="169" spans="1:9" s="47" customFormat="1" x14ac:dyDescent="0.2">
      <c r="A169" s="1042"/>
      <c r="B169" s="1043"/>
      <c r="C169" s="1049" t="s">
        <v>736</v>
      </c>
      <c r="D169" s="1045"/>
      <c r="E169" s="1050">
        <v>200</v>
      </c>
      <c r="F169" s="1047"/>
      <c r="G169" s="1046"/>
      <c r="H169" s="1048"/>
      <c r="I169" s="2382"/>
    </row>
    <row r="170" spans="1:9" s="47" customFormat="1" x14ac:dyDescent="0.2">
      <c r="A170" s="1051"/>
      <c r="B170" s="1052"/>
      <c r="C170" s="1053" t="s">
        <v>850</v>
      </c>
      <c r="D170" s="1052"/>
      <c r="E170" s="1054">
        <v>40</v>
      </c>
      <c r="F170" s="1055"/>
      <c r="G170" s="1054"/>
      <c r="H170" s="1055">
        <f>SUM(G163:G170)</f>
        <v>17400</v>
      </c>
      <c r="I170" s="2382"/>
    </row>
    <row r="171" spans="1:9" s="47" customFormat="1" x14ac:dyDescent="0.2">
      <c r="A171" s="1073" t="s">
        <v>419</v>
      </c>
      <c r="B171" s="1074" t="s">
        <v>263</v>
      </c>
      <c r="C171" s="1075" t="s">
        <v>324</v>
      </c>
      <c r="D171" s="1076" t="s">
        <v>17</v>
      </c>
      <c r="E171" s="1077">
        <f>SUM(E172:E175)</f>
        <v>360</v>
      </c>
      <c r="F171" s="1078">
        <f>salaries!H85</f>
        <v>18</v>
      </c>
      <c r="G171" s="1077">
        <f>F171*E171</f>
        <v>6480</v>
      </c>
      <c r="H171" s="1079"/>
      <c r="I171" s="2382"/>
    </row>
    <row r="172" spans="1:9" s="47" customFormat="1" x14ac:dyDescent="0.2">
      <c r="A172" s="1080"/>
      <c r="B172" s="1081"/>
      <c r="C172" s="1082" t="s">
        <v>732</v>
      </c>
      <c r="D172" s="1419"/>
      <c r="E172" s="1083">
        <v>80</v>
      </c>
      <c r="F172" s="1421"/>
      <c r="G172" s="1420"/>
      <c r="H172" s="1084"/>
      <c r="I172" s="2382"/>
    </row>
    <row r="173" spans="1:9" s="47" customFormat="1" x14ac:dyDescent="0.2">
      <c r="A173" s="1080"/>
      <c r="B173" s="1081"/>
      <c r="C173" s="1082" t="s">
        <v>733</v>
      </c>
      <c r="D173" s="1419"/>
      <c r="E173" s="1083">
        <v>40</v>
      </c>
      <c r="F173" s="1421"/>
      <c r="G173" s="1420"/>
      <c r="H173" s="1084"/>
      <c r="I173" s="2382"/>
    </row>
    <row r="174" spans="1:9" s="47" customFormat="1" x14ac:dyDescent="0.2">
      <c r="A174" s="1080"/>
      <c r="B174" s="1081"/>
      <c r="C174" s="1082" t="s">
        <v>736</v>
      </c>
      <c r="D174" s="1419"/>
      <c r="E174" s="1083">
        <v>200</v>
      </c>
      <c r="F174" s="1421"/>
      <c r="G174" s="1420"/>
      <c r="H174" s="1084"/>
      <c r="I174" s="2382"/>
    </row>
    <row r="175" spans="1:9" s="47" customFormat="1" x14ac:dyDescent="0.2">
      <c r="A175" s="1080"/>
      <c r="B175" s="1081"/>
      <c r="C175" s="1082" t="s">
        <v>850</v>
      </c>
      <c r="D175" s="1419"/>
      <c r="E175" s="1083">
        <v>40</v>
      </c>
      <c r="F175" s="1421"/>
      <c r="G175" s="1420"/>
      <c r="H175" s="1084"/>
      <c r="I175" s="2382"/>
    </row>
    <row r="176" spans="1:9" s="47" customFormat="1" x14ac:dyDescent="0.2">
      <c r="A176" s="1080"/>
      <c r="B176" s="1081" t="s">
        <v>265</v>
      </c>
      <c r="C176" s="1156" t="s">
        <v>324</v>
      </c>
      <c r="D176" s="1161" t="s">
        <v>17</v>
      </c>
      <c r="E176" s="1162">
        <f>SUM(E177:E178)</f>
        <v>240</v>
      </c>
      <c r="F176" s="1163">
        <f>salaries!H87</f>
        <v>21</v>
      </c>
      <c r="G176" s="1162">
        <f>F176*E176</f>
        <v>5040</v>
      </c>
      <c r="H176" s="1084"/>
      <c r="I176" s="2382"/>
    </row>
    <row r="177" spans="1:9" s="47" customFormat="1" x14ac:dyDescent="0.2">
      <c r="A177" s="1080"/>
      <c r="B177" s="1081"/>
      <c r="C177" s="1082" t="s">
        <v>736</v>
      </c>
      <c r="D177" s="1419"/>
      <c r="E177" s="1083">
        <v>200</v>
      </c>
      <c r="F177" s="1421"/>
      <c r="G177" s="1420"/>
      <c r="H177" s="1084"/>
      <c r="I177" s="2382"/>
    </row>
    <row r="178" spans="1:9" s="47" customFormat="1" x14ac:dyDescent="0.2">
      <c r="A178" s="1085"/>
      <c r="B178" s="1086"/>
      <c r="C178" s="1087" t="s">
        <v>850</v>
      </c>
      <c r="D178" s="1086"/>
      <c r="E178" s="1088">
        <v>40</v>
      </c>
      <c r="F178" s="1089"/>
      <c r="G178" s="1088"/>
      <c r="H178" s="1089">
        <f>SUM(G171:G178)</f>
        <v>11520</v>
      </c>
      <c r="I178" s="2382"/>
    </row>
    <row r="179" spans="1:9" s="47" customFormat="1" x14ac:dyDescent="0.2">
      <c r="A179" s="1090" t="s">
        <v>420</v>
      </c>
      <c r="B179" s="1091" t="s">
        <v>267</v>
      </c>
      <c r="C179" s="1092" t="s">
        <v>324</v>
      </c>
      <c r="D179" s="1093" t="s">
        <v>17</v>
      </c>
      <c r="E179" s="1094">
        <f>SUM(E180:E181)</f>
        <v>80</v>
      </c>
      <c r="F179" s="1095">
        <f>salaries!H89</f>
        <v>18</v>
      </c>
      <c r="G179" s="1094">
        <f>F179*E179</f>
        <v>1440</v>
      </c>
      <c r="H179" s="1096"/>
      <c r="I179" s="2382"/>
    </row>
    <row r="180" spans="1:9" s="47" customFormat="1" x14ac:dyDescent="0.2">
      <c r="A180" s="1097"/>
      <c r="B180" s="1098"/>
      <c r="C180" s="1099" t="s">
        <v>737</v>
      </c>
      <c r="D180" s="1423"/>
      <c r="E180" s="1100">
        <v>40</v>
      </c>
      <c r="F180" s="1425"/>
      <c r="G180" s="1424"/>
      <c r="H180" s="1101"/>
      <c r="I180" s="2382"/>
    </row>
    <row r="181" spans="1:9" s="47" customFormat="1" x14ac:dyDescent="0.2">
      <c r="A181" s="1102"/>
      <c r="B181" s="1103"/>
      <c r="C181" s="1104" t="s">
        <v>850</v>
      </c>
      <c r="D181" s="1103"/>
      <c r="E181" s="1105">
        <v>40</v>
      </c>
      <c r="F181" s="1106"/>
      <c r="G181" s="1105"/>
      <c r="H181" s="1106">
        <f>SUM(G179:G181)</f>
        <v>1440</v>
      </c>
      <c r="I181" s="2496"/>
    </row>
    <row r="182" spans="1:9" s="47" customFormat="1" x14ac:dyDescent="0.2">
      <c r="A182" s="1107" t="s">
        <v>949</v>
      </c>
      <c r="B182" s="1108" t="s">
        <v>271</v>
      </c>
      <c r="C182" s="1109" t="s">
        <v>324</v>
      </c>
      <c r="D182" s="1110" t="s">
        <v>17</v>
      </c>
      <c r="E182" s="1111">
        <f>SUM(E183:E186)</f>
        <v>288</v>
      </c>
      <c r="F182" s="1112">
        <f>salaries!H93</f>
        <v>52</v>
      </c>
      <c r="G182" s="1111">
        <f>F182*E182</f>
        <v>14976</v>
      </c>
      <c r="H182" s="1113"/>
      <c r="I182" s="2382"/>
    </row>
    <row r="183" spans="1:9" s="47" customFormat="1" x14ac:dyDescent="0.2">
      <c r="A183" s="1114"/>
      <c r="B183" s="1115"/>
      <c r="C183" s="1116" t="s">
        <v>972</v>
      </c>
      <c r="D183" s="1426"/>
      <c r="E183" s="1117">
        <v>80</v>
      </c>
      <c r="F183" s="1428"/>
      <c r="G183" s="1427"/>
      <c r="H183" s="1118"/>
      <c r="I183" s="2382"/>
    </row>
    <row r="184" spans="1:9" s="47" customFormat="1" x14ac:dyDescent="0.2">
      <c r="A184" s="1114"/>
      <c r="B184" s="1115"/>
      <c r="C184" s="1116" t="s">
        <v>981</v>
      </c>
      <c r="D184" s="1426"/>
      <c r="E184" s="1117">
        <f>32*3</f>
        <v>96</v>
      </c>
      <c r="F184" s="1428"/>
      <c r="G184" s="1427"/>
      <c r="H184" s="1118"/>
      <c r="I184" s="2382"/>
    </row>
    <row r="185" spans="1:9" s="47" customFormat="1" x14ac:dyDescent="0.2">
      <c r="A185" s="1114"/>
      <c r="B185" s="1115"/>
      <c r="C185" s="1116" t="s">
        <v>980</v>
      </c>
      <c r="D185" s="1426"/>
      <c r="E185" s="1117">
        <v>80</v>
      </c>
      <c r="F185" s="1428"/>
      <c r="G185" s="1427"/>
      <c r="H185" s="1118"/>
      <c r="I185" s="2382"/>
    </row>
    <row r="186" spans="1:9" s="47" customFormat="1" x14ac:dyDescent="0.2">
      <c r="A186" s="1119"/>
      <c r="B186" s="1120"/>
      <c r="C186" s="1121" t="s">
        <v>986</v>
      </c>
      <c r="D186" s="1120"/>
      <c r="E186" s="1122">
        <v>32</v>
      </c>
      <c r="F186" s="1123"/>
      <c r="G186" s="1122"/>
      <c r="H186" s="1123">
        <f>SUM(G182:G186)</f>
        <v>14976</v>
      </c>
      <c r="I186" s="2382"/>
    </row>
    <row r="187" spans="1:9" s="47" customFormat="1" x14ac:dyDescent="0.2">
      <c r="A187" s="1124" t="s">
        <v>421</v>
      </c>
      <c r="B187" s="1125" t="s">
        <v>275</v>
      </c>
      <c r="C187" s="1126" t="s">
        <v>324</v>
      </c>
      <c r="D187" s="1127" t="s">
        <v>17</v>
      </c>
      <c r="E187" s="1128">
        <f>SUM(E188:E191)</f>
        <v>360</v>
      </c>
      <c r="F187" s="1129">
        <f>salaries!H97</f>
        <v>25</v>
      </c>
      <c r="G187" s="1128">
        <f>F187*E187</f>
        <v>9000</v>
      </c>
      <c r="H187" s="1130"/>
      <c r="I187" s="2382"/>
    </row>
    <row r="188" spans="1:9" s="47" customFormat="1" x14ac:dyDescent="0.2">
      <c r="A188" s="1131"/>
      <c r="B188" s="1132"/>
      <c r="C188" s="1133" t="s">
        <v>732</v>
      </c>
      <c r="D188" s="1429"/>
      <c r="E188" s="1134">
        <v>80</v>
      </c>
      <c r="F188" s="1136"/>
      <c r="G188" s="1430"/>
      <c r="H188" s="1135"/>
      <c r="I188" s="2382"/>
    </row>
    <row r="189" spans="1:9" s="47" customFormat="1" x14ac:dyDescent="0.2">
      <c r="A189" s="1131"/>
      <c r="B189" s="1132"/>
      <c r="C189" s="1133" t="s">
        <v>733</v>
      </c>
      <c r="D189" s="1429"/>
      <c r="E189" s="1134">
        <v>40</v>
      </c>
      <c r="F189" s="1136"/>
      <c r="G189" s="1430"/>
      <c r="H189" s="1135"/>
      <c r="I189" s="2382"/>
    </row>
    <row r="190" spans="1:9" s="47" customFormat="1" x14ac:dyDescent="0.2">
      <c r="A190" s="1131"/>
      <c r="B190" s="1132"/>
      <c r="C190" s="1133" t="s">
        <v>736</v>
      </c>
      <c r="D190" s="1429"/>
      <c r="E190" s="1134">
        <v>200</v>
      </c>
      <c r="F190" s="1136"/>
      <c r="G190" s="1430"/>
      <c r="H190" s="1135"/>
      <c r="I190" s="2382"/>
    </row>
    <row r="191" spans="1:9" s="47" customFormat="1" x14ac:dyDescent="0.2">
      <c r="A191" s="1131"/>
      <c r="B191" s="1132"/>
      <c r="C191" s="1133" t="s">
        <v>850</v>
      </c>
      <c r="D191" s="1429"/>
      <c r="E191" s="1134">
        <v>40</v>
      </c>
      <c r="F191" s="1136"/>
      <c r="G191" s="1430"/>
      <c r="H191" s="1135"/>
      <c r="I191" s="2382"/>
    </row>
    <row r="192" spans="1:9" s="47" customFormat="1" x14ac:dyDescent="0.2">
      <c r="A192" s="1131"/>
      <c r="B192" s="1132" t="s">
        <v>277</v>
      </c>
      <c r="C192" s="1154" t="s">
        <v>324</v>
      </c>
      <c r="D192" s="1167" t="s">
        <v>17</v>
      </c>
      <c r="E192" s="1168">
        <f>SUM(E193:E194)</f>
        <v>240</v>
      </c>
      <c r="F192" s="1169">
        <f>salaries!H99</f>
        <v>25</v>
      </c>
      <c r="G192" s="1168">
        <f>F192*E192</f>
        <v>6000</v>
      </c>
      <c r="H192" s="1135"/>
      <c r="I192" s="2382"/>
    </row>
    <row r="193" spans="1:9" s="47" customFormat="1" x14ac:dyDescent="0.2">
      <c r="A193" s="1131"/>
      <c r="B193" s="1132"/>
      <c r="C193" s="1133" t="s">
        <v>736</v>
      </c>
      <c r="D193" s="1429"/>
      <c r="E193" s="1134">
        <v>200</v>
      </c>
      <c r="F193" s="1136"/>
      <c r="G193" s="1430"/>
      <c r="H193" s="1135"/>
      <c r="I193" s="2382"/>
    </row>
    <row r="194" spans="1:9" s="47" customFormat="1" x14ac:dyDescent="0.2">
      <c r="A194" s="1137"/>
      <c r="B194" s="1138"/>
      <c r="C194" s="1139" t="s">
        <v>850</v>
      </c>
      <c r="D194" s="1138"/>
      <c r="E194" s="1140">
        <v>40</v>
      </c>
      <c r="F194" s="1141"/>
      <c r="G194" s="1140"/>
      <c r="H194" s="1141">
        <f>SUM(G187:G194)</f>
        <v>15000</v>
      </c>
      <c r="I194" s="2382"/>
    </row>
    <row r="195" spans="1:9" s="47" customFormat="1" x14ac:dyDescent="0.2">
      <c r="A195" s="548" t="s">
        <v>422</v>
      </c>
      <c r="B195" s="549" t="s">
        <v>279</v>
      </c>
      <c r="C195" s="555" t="s">
        <v>324</v>
      </c>
      <c r="D195" s="550" t="s">
        <v>17</v>
      </c>
      <c r="E195" s="551">
        <f>SUM(E196:E197)</f>
        <v>80</v>
      </c>
      <c r="F195" s="552">
        <f>salaries!H101</f>
        <v>17</v>
      </c>
      <c r="G195" s="551">
        <f>F195*E195</f>
        <v>1360</v>
      </c>
      <c r="H195" s="553"/>
      <c r="I195" s="2382"/>
    </row>
    <row r="196" spans="1:9" s="47" customFormat="1" x14ac:dyDescent="0.2">
      <c r="A196" s="548"/>
      <c r="B196" s="549"/>
      <c r="C196" s="556" t="s">
        <v>737</v>
      </c>
      <c r="D196" s="550"/>
      <c r="E196" s="554">
        <v>40</v>
      </c>
      <c r="F196" s="552"/>
      <c r="G196" s="551"/>
      <c r="H196" s="553"/>
      <c r="I196" s="2382"/>
    </row>
    <row r="197" spans="1:9" s="47" customFormat="1" x14ac:dyDescent="0.2">
      <c r="A197" s="548"/>
      <c r="B197" s="549"/>
      <c r="C197" s="556" t="s">
        <v>850</v>
      </c>
      <c r="D197" s="549"/>
      <c r="E197" s="554">
        <v>40</v>
      </c>
      <c r="F197" s="553"/>
      <c r="G197" s="554"/>
      <c r="H197" s="553">
        <f>SUM(G195:G197)</f>
        <v>1360</v>
      </c>
      <c r="I197" s="2496"/>
    </row>
    <row r="198" spans="1:9" s="47" customFormat="1" x14ac:dyDescent="0.2">
      <c r="A198" s="2132" t="s">
        <v>950</v>
      </c>
      <c r="B198" s="2133" t="s">
        <v>283</v>
      </c>
      <c r="C198" s="2134" t="s">
        <v>324</v>
      </c>
      <c r="D198" s="2135" t="s">
        <v>17</v>
      </c>
      <c r="E198" s="2136">
        <f>SUM(E199:E200)</f>
        <v>80</v>
      </c>
      <c r="F198" s="2137">
        <f>salaries!H105</f>
        <v>0</v>
      </c>
      <c r="G198" s="2136">
        <f>F198*E198</f>
        <v>0</v>
      </c>
      <c r="H198" s="2138"/>
      <c r="I198" s="2382"/>
    </row>
    <row r="199" spans="1:9" s="47" customFormat="1" x14ac:dyDescent="0.2">
      <c r="A199" s="2081"/>
      <c r="B199" s="2082"/>
      <c r="C199" s="2088" t="s">
        <v>737</v>
      </c>
      <c r="D199" s="2084"/>
      <c r="E199" s="2089">
        <v>40</v>
      </c>
      <c r="F199" s="2086"/>
      <c r="G199" s="2085"/>
      <c r="H199" s="2087"/>
      <c r="I199" s="2382"/>
    </row>
    <row r="200" spans="1:9" s="47" customFormat="1" x14ac:dyDescent="0.2">
      <c r="A200" s="2139"/>
      <c r="B200" s="2140"/>
      <c r="C200" s="2141" t="s">
        <v>850</v>
      </c>
      <c r="D200" s="2140"/>
      <c r="E200" s="2142">
        <v>40</v>
      </c>
      <c r="F200" s="2143"/>
      <c r="G200" s="2142"/>
      <c r="H200" s="2143">
        <f>SUM(G198:G200)</f>
        <v>0</v>
      </c>
      <c r="I200" s="2382"/>
    </row>
    <row r="201" spans="1:9" s="47" customFormat="1" x14ac:dyDescent="0.2">
      <c r="A201" s="2094" t="s">
        <v>951</v>
      </c>
      <c r="B201" s="2095" t="s">
        <v>287</v>
      </c>
      <c r="C201" s="2096" t="s">
        <v>324</v>
      </c>
      <c r="D201" s="2097" t="s">
        <v>17</v>
      </c>
      <c r="E201" s="2098">
        <f>SUM(E202:E203)</f>
        <v>104</v>
      </c>
      <c r="F201" s="2099">
        <f>salaries!H109</f>
        <v>57</v>
      </c>
      <c r="G201" s="2098">
        <f>F201*E201</f>
        <v>5928</v>
      </c>
      <c r="H201" s="2100"/>
      <c r="I201" s="2382"/>
    </row>
    <row r="202" spans="1:9" s="47" customFormat="1" x14ac:dyDescent="0.2">
      <c r="A202" s="2094"/>
      <c r="B202" s="2095"/>
      <c r="C202" s="2101" t="s">
        <v>972</v>
      </c>
      <c r="D202" s="2097"/>
      <c r="E202" s="2102">
        <v>80</v>
      </c>
      <c r="F202" s="2099"/>
      <c r="G202" s="2098"/>
      <c r="H202" s="2100"/>
      <c r="I202" s="2382"/>
    </row>
    <row r="203" spans="1:9" s="47" customFormat="1" x14ac:dyDescent="0.2">
      <c r="A203" s="2094"/>
      <c r="B203" s="2095"/>
      <c r="C203" s="2101" t="s">
        <v>855</v>
      </c>
      <c r="D203" s="2097"/>
      <c r="E203" s="2102">
        <v>24</v>
      </c>
      <c r="F203" s="2099"/>
      <c r="G203" s="2098"/>
      <c r="H203" s="2100"/>
      <c r="I203" s="2382"/>
    </row>
    <row r="204" spans="1:9" s="47" customFormat="1" x14ac:dyDescent="0.2">
      <c r="A204" s="2094"/>
      <c r="B204" s="2095" t="s">
        <v>289</v>
      </c>
      <c r="C204" s="2103" t="s">
        <v>324</v>
      </c>
      <c r="D204" s="2104" t="s">
        <v>17</v>
      </c>
      <c r="E204" s="2105">
        <f>SUM(E205:E206)</f>
        <v>104</v>
      </c>
      <c r="F204" s="2106">
        <f>salaries!H111</f>
        <v>46</v>
      </c>
      <c r="G204" s="2105">
        <f>F204*E204</f>
        <v>4784</v>
      </c>
      <c r="H204" s="2100"/>
      <c r="I204" s="2382"/>
    </row>
    <row r="205" spans="1:9" s="47" customFormat="1" x14ac:dyDescent="0.2">
      <c r="A205" s="2094"/>
      <c r="B205" s="2095"/>
      <c r="C205" s="2101" t="s">
        <v>983</v>
      </c>
      <c r="D205" s="2097"/>
      <c r="E205" s="2102">
        <v>64</v>
      </c>
      <c r="F205" s="2099"/>
      <c r="G205" s="2098"/>
      <c r="H205" s="2100"/>
      <c r="I205" s="2382"/>
    </row>
    <row r="206" spans="1:9" s="47" customFormat="1" x14ac:dyDescent="0.2">
      <c r="A206" s="2094"/>
      <c r="B206" s="2095"/>
      <c r="C206" s="2101" t="s">
        <v>982</v>
      </c>
      <c r="D206" s="2095"/>
      <c r="E206" s="2102">
        <v>40</v>
      </c>
      <c r="F206" s="2100"/>
      <c r="G206" s="2102"/>
      <c r="H206" s="2100">
        <f>SUM(G201:G206)</f>
        <v>10712</v>
      </c>
      <c r="I206" s="2382"/>
    </row>
    <row r="207" spans="1:9" s="47" customFormat="1" x14ac:dyDescent="0.2">
      <c r="A207" s="1833" t="s">
        <v>952</v>
      </c>
      <c r="B207" s="2212" t="s">
        <v>291</v>
      </c>
      <c r="C207" s="2213" t="s">
        <v>324</v>
      </c>
      <c r="D207" s="2214" t="s">
        <v>17</v>
      </c>
      <c r="E207" s="2215">
        <f>SUM(E208:E209)</f>
        <v>80</v>
      </c>
      <c r="F207" s="2216">
        <f>salaries!H113</f>
        <v>16</v>
      </c>
      <c r="G207" s="2215">
        <f>F207*E207</f>
        <v>1280</v>
      </c>
      <c r="H207" s="1837"/>
      <c r="I207" s="2382"/>
    </row>
    <row r="208" spans="1:9" s="47" customFormat="1" x14ac:dyDescent="0.2">
      <c r="A208" s="1026"/>
      <c r="B208" s="1027"/>
      <c r="C208" s="1033" t="s">
        <v>737</v>
      </c>
      <c r="D208" s="1029"/>
      <c r="E208" s="1034">
        <v>40</v>
      </c>
      <c r="F208" s="1031"/>
      <c r="G208" s="1030"/>
      <c r="H208" s="1032"/>
      <c r="I208" s="2382"/>
    </row>
    <row r="209" spans="1:11" s="47" customFormat="1" x14ac:dyDescent="0.2">
      <c r="A209" s="1037"/>
      <c r="B209" s="1038"/>
      <c r="C209" s="1039" t="s">
        <v>850</v>
      </c>
      <c r="D209" s="1038"/>
      <c r="E209" s="1040">
        <v>40</v>
      </c>
      <c r="F209" s="1041"/>
      <c r="G209" s="1040"/>
      <c r="H209" s="1041">
        <f>SUM(G207:G209)</f>
        <v>1280</v>
      </c>
      <c r="I209" s="2382"/>
    </row>
    <row r="210" spans="1:11" x14ac:dyDescent="0.2">
      <c r="A210" s="78" t="s">
        <v>8</v>
      </c>
      <c r="B210" s="12"/>
      <c r="C210" s="232"/>
      <c r="D210" s="12" t="s">
        <v>34</v>
      </c>
      <c r="E210" s="27"/>
      <c r="F210" s="27"/>
      <c r="G210" s="27" t="s">
        <v>35</v>
      </c>
      <c r="H210" s="28">
        <f>SUM(H6:H209)</f>
        <v>406936</v>
      </c>
      <c r="I210" s="2495"/>
      <c r="J210" s="180"/>
      <c r="K210" s="180"/>
    </row>
    <row r="211" spans="1:11" x14ac:dyDescent="0.2">
      <c r="A211" s="148" t="s">
        <v>24</v>
      </c>
      <c r="B211" s="149"/>
      <c r="C211" s="1686"/>
      <c r="D211" s="149"/>
      <c r="E211" s="150"/>
      <c r="F211" s="150"/>
      <c r="G211" s="150"/>
      <c r="H211" s="151">
        <f>SUM(G211:G211)</f>
        <v>0</v>
      </c>
      <c r="I211" s="2072"/>
    </row>
    <row r="212" spans="1:11" s="302" customFormat="1" x14ac:dyDescent="0.2">
      <c r="A212" s="1687" t="s">
        <v>308</v>
      </c>
      <c r="B212" s="1688" t="s">
        <v>541</v>
      </c>
      <c r="C212" s="1689" t="s">
        <v>730</v>
      </c>
      <c r="D212" s="1690" t="s">
        <v>14</v>
      </c>
      <c r="E212" s="1691">
        <v>1</v>
      </c>
      <c r="F212" s="1692">
        <v>2000</v>
      </c>
      <c r="G212" s="1691">
        <f>F212</f>
        <v>2000</v>
      </c>
      <c r="H212" s="1692">
        <f>SUM(G212:G212)</f>
        <v>2000</v>
      </c>
      <c r="I212" s="2475"/>
      <c r="J212" s="159"/>
      <c r="K212" s="159"/>
    </row>
    <row r="213" spans="1:11" x14ac:dyDescent="0.2">
      <c r="A213" s="152" t="s">
        <v>74</v>
      </c>
      <c r="B213" s="153"/>
      <c r="C213" s="247"/>
      <c r="D213" s="153"/>
      <c r="E213" s="154"/>
      <c r="F213" s="154"/>
      <c r="G213" s="154"/>
      <c r="H213" s="155">
        <f>SUM(H212:H212)</f>
        <v>2000</v>
      </c>
      <c r="I213" s="2072"/>
    </row>
    <row r="214" spans="1:11" x14ac:dyDescent="0.2">
      <c r="A214" s="76" t="s">
        <v>25</v>
      </c>
      <c r="B214" s="6"/>
      <c r="C214" s="231"/>
      <c r="D214" s="6"/>
      <c r="E214" s="21"/>
      <c r="F214" s="21"/>
      <c r="G214" s="21"/>
      <c r="H214" s="22">
        <f>SUM(G214:G214)</f>
        <v>0</v>
      </c>
      <c r="I214" s="2072"/>
    </row>
    <row r="215" spans="1:11" x14ac:dyDescent="0.2">
      <c r="A215" s="83" t="s">
        <v>107</v>
      </c>
      <c r="B215" s="2006" t="s">
        <v>918</v>
      </c>
      <c r="C215" s="233" t="s">
        <v>113</v>
      </c>
      <c r="D215" s="112" t="s">
        <v>115</v>
      </c>
      <c r="E215" s="69">
        <v>5</v>
      </c>
      <c r="F215" s="71">
        <v>200</v>
      </c>
      <c r="G215" s="70">
        <f t="shared" ref="G215:G223" si="0">F215*E215</f>
        <v>1000</v>
      </c>
      <c r="H215" s="69"/>
      <c r="I215" s="2072"/>
    </row>
    <row r="216" spans="1:11" x14ac:dyDescent="0.2">
      <c r="A216" s="83"/>
      <c r="B216" s="86"/>
      <c r="C216" s="233" t="s">
        <v>90</v>
      </c>
      <c r="D216" s="85" t="s">
        <v>36</v>
      </c>
      <c r="E216" s="69">
        <v>15</v>
      </c>
      <c r="F216" s="71">
        <v>100</v>
      </c>
      <c r="G216" s="70">
        <f t="shared" si="0"/>
        <v>1500</v>
      </c>
      <c r="H216" s="69"/>
      <c r="I216" s="2072"/>
    </row>
    <row r="217" spans="1:11" x14ac:dyDescent="0.2">
      <c r="A217" s="83"/>
      <c r="B217" s="2006" t="s">
        <v>848</v>
      </c>
      <c r="C217" s="233" t="s">
        <v>112</v>
      </c>
      <c r="D217" s="112" t="s">
        <v>16</v>
      </c>
      <c r="E217" s="69">
        <v>3</v>
      </c>
      <c r="F217" s="71">
        <v>500</v>
      </c>
      <c r="G217" s="70">
        <f t="shared" si="0"/>
        <v>1500</v>
      </c>
      <c r="H217" s="69"/>
      <c r="I217" s="2497"/>
    </row>
    <row r="218" spans="1:11" x14ac:dyDescent="0.2">
      <c r="A218" s="83"/>
      <c r="B218" s="86" t="s">
        <v>111</v>
      </c>
      <c r="C218" s="233" t="s">
        <v>90</v>
      </c>
      <c r="D218" s="85" t="s">
        <v>36</v>
      </c>
      <c r="E218" s="69">
        <v>9</v>
      </c>
      <c r="F218" s="71">
        <v>100</v>
      </c>
      <c r="G218" s="70">
        <f t="shared" si="0"/>
        <v>900</v>
      </c>
      <c r="H218" s="69">
        <f>SUM(G215:G218)</f>
        <v>4900</v>
      </c>
      <c r="I218" s="2072"/>
    </row>
    <row r="219" spans="1:11" s="38" customFormat="1" x14ac:dyDescent="0.2">
      <c r="A219" s="532" t="s">
        <v>203</v>
      </c>
      <c r="B219" s="2007" t="s">
        <v>849</v>
      </c>
      <c r="C219" s="1174" t="s">
        <v>713</v>
      </c>
      <c r="D219" s="1175" t="s">
        <v>16</v>
      </c>
      <c r="E219" s="567">
        <v>2</v>
      </c>
      <c r="F219" s="1176">
        <v>500</v>
      </c>
      <c r="G219" s="569">
        <f t="shared" si="0"/>
        <v>1000</v>
      </c>
      <c r="H219" s="567"/>
      <c r="I219" s="322"/>
    </row>
    <row r="220" spans="1:11" s="38" customFormat="1" x14ac:dyDescent="0.2">
      <c r="A220" s="532"/>
      <c r="B220" s="1173"/>
      <c r="C220" s="1174" t="s">
        <v>477</v>
      </c>
      <c r="D220" s="1175" t="s">
        <v>36</v>
      </c>
      <c r="E220" s="567">
        <v>6</v>
      </c>
      <c r="F220" s="1176">
        <v>100</v>
      </c>
      <c r="G220" s="569">
        <f t="shared" si="0"/>
        <v>600</v>
      </c>
      <c r="H220" s="567"/>
      <c r="I220" s="322"/>
    </row>
    <row r="221" spans="1:11" s="38" customFormat="1" x14ac:dyDescent="0.2">
      <c r="A221" s="532"/>
      <c r="B221" s="2007" t="s">
        <v>867</v>
      </c>
      <c r="C221" s="1174" t="s">
        <v>868</v>
      </c>
      <c r="D221" s="2015" t="s">
        <v>16</v>
      </c>
      <c r="E221" s="567">
        <v>2</v>
      </c>
      <c r="F221" s="1176">
        <v>300</v>
      </c>
      <c r="G221" s="569">
        <f t="shared" si="0"/>
        <v>600</v>
      </c>
      <c r="H221" s="567"/>
      <c r="I221" s="322"/>
    </row>
    <row r="222" spans="1:11" s="38" customFormat="1" x14ac:dyDescent="0.2">
      <c r="A222" s="532"/>
      <c r="B222" s="1173"/>
      <c r="C222" s="1174" t="s">
        <v>477</v>
      </c>
      <c r="D222" s="2015" t="s">
        <v>36</v>
      </c>
      <c r="E222" s="567">
        <v>6</v>
      </c>
      <c r="F222" s="1176">
        <v>100</v>
      </c>
      <c r="G222" s="569">
        <f t="shared" si="0"/>
        <v>600</v>
      </c>
      <c r="H222" s="567"/>
      <c r="I222" s="322"/>
    </row>
    <row r="223" spans="1:11" s="38" customFormat="1" x14ac:dyDescent="0.2">
      <c r="A223" s="532"/>
      <c r="B223" s="1177" t="s">
        <v>708</v>
      </c>
      <c r="C223" s="1174" t="s">
        <v>862</v>
      </c>
      <c r="D223" s="2015" t="s">
        <v>15</v>
      </c>
      <c r="E223" s="567">
        <v>1</v>
      </c>
      <c r="F223" s="1214">
        <v>504</v>
      </c>
      <c r="G223" s="569">
        <f t="shared" si="0"/>
        <v>504</v>
      </c>
      <c r="H223" s="567">
        <f>SUM(G219:G223)</f>
        <v>3304</v>
      </c>
      <c r="I223" s="2189" t="s">
        <v>1013</v>
      </c>
    </row>
    <row r="224" spans="1:11" s="38" customFormat="1" x14ac:dyDescent="0.2">
      <c r="A224" s="557" t="s">
        <v>204</v>
      </c>
      <c r="B224" s="2008" t="s">
        <v>849</v>
      </c>
      <c r="C224" s="1179" t="s">
        <v>709</v>
      </c>
      <c r="D224" s="1180" t="s">
        <v>16</v>
      </c>
      <c r="E224" s="547">
        <v>2</v>
      </c>
      <c r="F224" s="1181">
        <v>400</v>
      </c>
      <c r="G224" s="564">
        <f>F224*E224</f>
        <v>800</v>
      </c>
      <c r="H224" s="547"/>
      <c r="I224" s="1612"/>
    </row>
    <row r="225" spans="1:9" s="38" customFormat="1" x14ac:dyDescent="0.2">
      <c r="A225" s="557"/>
      <c r="B225" s="1178"/>
      <c r="C225" s="1179" t="s">
        <v>477</v>
      </c>
      <c r="D225" s="1180" t="s">
        <v>36</v>
      </c>
      <c r="E225" s="547">
        <v>6</v>
      </c>
      <c r="F225" s="1181">
        <v>100</v>
      </c>
      <c r="G225" s="564">
        <f>F225*E225</f>
        <v>600</v>
      </c>
      <c r="H225" s="547"/>
      <c r="I225" s="1612"/>
    </row>
    <row r="226" spans="1:9" s="38" customFormat="1" x14ac:dyDescent="0.2">
      <c r="A226" s="557"/>
      <c r="B226" s="1182"/>
      <c r="C226" s="1179" t="s">
        <v>862</v>
      </c>
      <c r="D226" s="1726" t="s">
        <v>15</v>
      </c>
      <c r="E226" s="547">
        <v>1</v>
      </c>
      <c r="F226" s="1214">
        <v>508</v>
      </c>
      <c r="G226" s="564">
        <f>F226*E226</f>
        <v>508</v>
      </c>
      <c r="H226" s="547">
        <f>SUM(G224:G226)</f>
        <v>1908</v>
      </c>
      <c r="I226" s="2189" t="s">
        <v>1014</v>
      </c>
    </row>
    <row r="227" spans="1:9" x14ac:dyDescent="0.2">
      <c r="A227" s="588" t="s">
        <v>308</v>
      </c>
      <c r="B227" s="1183" t="s">
        <v>849</v>
      </c>
      <c r="C227" s="1184" t="s">
        <v>710</v>
      </c>
      <c r="D227" s="1185" t="s">
        <v>16</v>
      </c>
      <c r="E227" s="593">
        <v>2</v>
      </c>
      <c r="F227" s="1186">
        <v>500</v>
      </c>
      <c r="G227" s="594">
        <f t="shared" ref="G227:G293" si="1">F227*E227</f>
        <v>1000</v>
      </c>
      <c r="H227" s="593"/>
      <c r="I227" s="322"/>
    </row>
    <row r="228" spans="1:9" x14ac:dyDescent="0.2">
      <c r="A228" s="588"/>
      <c r="B228" s="1183"/>
      <c r="C228" s="1184" t="s">
        <v>477</v>
      </c>
      <c r="D228" s="1185" t="s">
        <v>36</v>
      </c>
      <c r="E228" s="593">
        <v>6</v>
      </c>
      <c r="F228" s="1186">
        <v>100</v>
      </c>
      <c r="G228" s="594">
        <f t="shared" si="1"/>
        <v>600</v>
      </c>
      <c r="H228" s="593"/>
      <c r="I228" s="322"/>
    </row>
    <row r="229" spans="1:9" x14ac:dyDescent="0.2">
      <c r="A229" s="588"/>
      <c r="B229" s="1721" t="s">
        <v>864</v>
      </c>
      <c r="C229" s="1184" t="s">
        <v>865</v>
      </c>
      <c r="D229" s="1723" t="s">
        <v>16</v>
      </c>
      <c r="E229" s="593">
        <v>5</v>
      </c>
      <c r="F229" s="1186">
        <v>300</v>
      </c>
      <c r="G229" s="594">
        <f t="shared" si="1"/>
        <v>1500</v>
      </c>
      <c r="H229" s="593"/>
      <c r="I229" s="322"/>
    </row>
    <row r="230" spans="1:9" x14ac:dyDescent="0.2">
      <c r="A230" s="588"/>
      <c r="B230" s="1183"/>
      <c r="C230" s="1184" t="s">
        <v>866</v>
      </c>
      <c r="D230" s="1723" t="s">
        <v>36</v>
      </c>
      <c r="E230" s="593">
        <v>15</v>
      </c>
      <c r="F230" s="1186">
        <v>100</v>
      </c>
      <c r="G230" s="594">
        <f t="shared" si="1"/>
        <v>1500</v>
      </c>
      <c r="H230" s="593"/>
      <c r="I230" s="322"/>
    </row>
    <row r="231" spans="1:9" x14ac:dyDescent="0.2">
      <c r="A231" s="588"/>
      <c r="B231" s="1183"/>
      <c r="C231" s="1184" t="s">
        <v>862</v>
      </c>
      <c r="D231" s="1723" t="s">
        <v>15</v>
      </c>
      <c r="E231" s="593">
        <v>1</v>
      </c>
      <c r="F231" s="1186">
        <v>1000</v>
      </c>
      <c r="G231" s="594">
        <f t="shared" si="1"/>
        <v>1000</v>
      </c>
      <c r="H231" s="593">
        <f>SUM(G227:G231)</f>
        <v>5600</v>
      </c>
      <c r="I231" s="177"/>
    </row>
    <row r="232" spans="1:9" x14ac:dyDescent="0.2">
      <c r="A232" s="617" t="s">
        <v>309</v>
      </c>
      <c r="B232" s="1187" t="s">
        <v>849</v>
      </c>
      <c r="C232" s="1188" t="s">
        <v>711</v>
      </c>
      <c r="D232" s="1189" t="s">
        <v>16</v>
      </c>
      <c r="E232" s="622">
        <v>2</v>
      </c>
      <c r="F232" s="1190">
        <v>400</v>
      </c>
      <c r="G232" s="621">
        <f t="shared" si="1"/>
        <v>800</v>
      </c>
      <c r="H232" s="622"/>
      <c r="I232" s="322"/>
    </row>
    <row r="233" spans="1:9" x14ac:dyDescent="0.2">
      <c r="A233" s="617"/>
      <c r="B233" s="1187"/>
      <c r="C233" s="1188" t="s">
        <v>477</v>
      </c>
      <c r="D233" s="1189" t="s">
        <v>36</v>
      </c>
      <c r="E233" s="622">
        <v>6</v>
      </c>
      <c r="F233" s="1190">
        <v>100</v>
      </c>
      <c r="G233" s="621">
        <f t="shared" si="1"/>
        <v>600</v>
      </c>
      <c r="H233" s="622"/>
      <c r="I233" s="322"/>
    </row>
    <row r="234" spans="1:9" x14ac:dyDescent="0.2">
      <c r="A234" s="617"/>
      <c r="B234" s="1187" t="s">
        <v>867</v>
      </c>
      <c r="C234" s="1188" t="s">
        <v>868</v>
      </c>
      <c r="D234" s="1189" t="s">
        <v>16</v>
      </c>
      <c r="E234" s="622">
        <v>2</v>
      </c>
      <c r="F234" s="1190">
        <v>300</v>
      </c>
      <c r="G234" s="621">
        <f t="shared" si="1"/>
        <v>600</v>
      </c>
      <c r="H234" s="622"/>
      <c r="I234" s="322"/>
    </row>
    <row r="235" spans="1:9" x14ac:dyDescent="0.2">
      <c r="A235" s="617"/>
      <c r="B235" s="1187"/>
      <c r="C235" s="1188" t="s">
        <v>477</v>
      </c>
      <c r="D235" s="1189" t="s">
        <v>36</v>
      </c>
      <c r="E235" s="622">
        <v>6</v>
      </c>
      <c r="F235" s="1190">
        <v>100</v>
      </c>
      <c r="G235" s="621">
        <f t="shared" si="1"/>
        <v>600</v>
      </c>
      <c r="H235" s="622"/>
      <c r="I235" s="322"/>
    </row>
    <row r="236" spans="1:9" x14ac:dyDescent="0.2">
      <c r="A236" s="617"/>
      <c r="B236" s="1187"/>
      <c r="C236" s="1188" t="s">
        <v>863</v>
      </c>
      <c r="D236" s="1728" t="s">
        <v>15</v>
      </c>
      <c r="E236" s="622">
        <v>1</v>
      </c>
      <c r="F236" s="1190">
        <v>500</v>
      </c>
      <c r="G236" s="621">
        <f t="shared" si="1"/>
        <v>500</v>
      </c>
      <c r="H236" s="622">
        <f>SUM(G232:G236)</f>
        <v>3100</v>
      </c>
      <c r="I236" s="324"/>
    </row>
    <row r="237" spans="1:9" x14ac:dyDescent="0.2">
      <c r="A237" s="640" t="s">
        <v>310</v>
      </c>
      <c r="B237" s="1191" t="s">
        <v>849</v>
      </c>
      <c r="C237" s="1192" t="s">
        <v>712</v>
      </c>
      <c r="D237" s="1193" t="s">
        <v>16</v>
      </c>
      <c r="E237" s="645">
        <v>2</v>
      </c>
      <c r="F237" s="1194">
        <v>400</v>
      </c>
      <c r="G237" s="644">
        <f t="shared" si="1"/>
        <v>800</v>
      </c>
      <c r="H237" s="645"/>
      <c r="I237" s="322"/>
    </row>
    <row r="238" spans="1:9" x14ac:dyDescent="0.2">
      <c r="A238" s="640"/>
      <c r="B238" s="1191"/>
      <c r="C238" s="1192" t="s">
        <v>477</v>
      </c>
      <c r="D238" s="1193" t="s">
        <v>36</v>
      </c>
      <c r="E238" s="645">
        <v>6</v>
      </c>
      <c r="F238" s="1194">
        <v>100</v>
      </c>
      <c r="G238" s="644">
        <f t="shared" si="1"/>
        <v>600</v>
      </c>
      <c r="H238" s="645"/>
      <c r="I238" s="322"/>
    </row>
    <row r="239" spans="1:9" x14ac:dyDescent="0.2">
      <c r="A239" s="640"/>
      <c r="B239" s="1191" t="s">
        <v>867</v>
      </c>
      <c r="C239" s="1192" t="s">
        <v>868</v>
      </c>
      <c r="D239" s="1193" t="s">
        <v>16</v>
      </c>
      <c r="E239" s="645">
        <v>2</v>
      </c>
      <c r="F239" s="1194">
        <v>300</v>
      </c>
      <c r="G239" s="644">
        <f t="shared" si="1"/>
        <v>600</v>
      </c>
      <c r="H239" s="645"/>
      <c r="I239" s="322"/>
    </row>
    <row r="240" spans="1:9" x14ac:dyDescent="0.2">
      <c r="A240" s="640"/>
      <c r="B240" s="1191"/>
      <c r="C240" s="1192" t="s">
        <v>477</v>
      </c>
      <c r="D240" s="1193" t="s">
        <v>36</v>
      </c>
      <c r="E240" s="645">
        <v>6</v>
      </c>
      <c r="F240" s="1194">
        <v>100</v>
      </c>
      <c r="G240" s="644">
        <f t="shared" si="1"/>
        <v>600</v>
      </c>
      <c r="H240" s="645"/>
      <c r="I240" s="322"/>
    </row>
    <row r="241" spans="1:9" x14ac:dyDescent="0.2">
      <c r="A241" s="640"/>
      <c r="B241" s="1191"/>
      <c r="C241" s="1192" t="s">
        <v>862</v>
      </c>
      <c r="D241" s="1732" t="s">
        <v>15</v>
      </c>
      <c r="E241" s="645">
        <v>1</v>
      </c>
      <c r="F241" s="1194">
        <v>1000</v>
      </c>
      <c r="G241" s="644">
        <f t="shared" si="1"/>
        <v>1000</v>
      </c>
      <c r="H241" s="645">
        <f>SUM(G237:G241)</f>
        <v>3600</v>
      </c>
      <c r="I241" s="324"/>
    </row>
    <row r="242" spans="1:9" x14ac:dyDescent="0.2">
      <c r="A242" s="656" t="s">
        <v>311</v>
      </c>
      <c r="B242" s="665" t="s">
        <v>849</v>
      </c>
      <c r="C242" s="1195" t="s">
        <v>68</v>
      </c>
      <c r="D242" s="1196" t="s">
        <v>16</v>
      </c>
      <c r="E242" s="661">
        <v>1</v>
      </c>
      <c r="F242" s="1197">
        <v>500</v>
      </c>
      <c r="G242" s="663">
        <f t="shared" si="1"/>
        <v>500</v>
      </c>
      <c r="H242" s="661"/>
      <c r="I242" s="322"/>
    </row>
    <row r="243" spans="1:9" x14ac:dyDescent="0.2">
      <c r="A243" s="656"/>
      <c r="B243" s="665"/>
      <c r="C243" s="1195" t="s">
        <v>558</v>
      </c>
      <c r="D243" s="1196" t="s">
        <v>36</v>
      </c>
      <c r="E243" s="661">
        <v>3</v>
      </c>
      <c r="F243" s="1197">
        <v>100</v>
      </c>
      <c r="G243" s="663">
        <f t="shared" si="1"/>
        <v>300</v>
      </c>
      <c r="H243" s="661">
        <f>SUM(G242:G243)</f>
        <v>800</v>
      </c>
      <c r="I243" s="177"/>
    </row>
    <row r="244" spans="1:9" x14ac:dyDescent="0.2">
      <c r="A244" s="836" t="s">
        <v>407</v>
      </c>
      <c r="B244" s="1198" t="s">
        <v>849</v>
      </c>
      <c r="C244" s="1199" t="s">
        <v>72</v>
      </c>
      <c r="D244" s="1200" t="s">
        <v>16</v>
      </c>
      <c r="E244" s="843">
        <v>1</v>
      </c>
      <c r="F244" s="1201">
        <v>500</v>
      </c>
      <c r="G244" s="846">
        <f t="shared" si="1"/>
        <v>500</v>
      </c>
      <c r="H244" s="843"/>
      <c r="I244" s="322"/>
    </row>
    <row r="245" spans="1:9" x14ac:dyDescent="0.2">
      <c r="A245" s="836"/>
      <c r="B245" s="1198"/>
      <c r="C245" s="1199" t="s">
        <v>558</v>
      </c>
      <c r="D245" s="1200" t="s">
        <v>36</v>
      </c>
      <c r="E245" s="843">
        <v>3</v>
      </c>
      <c r="F245" s="1201">
        <v>100</v>
      </c>
      <c r="G245" s="846">
        <f t="shared" si="1"/>
        <v>300</v>
      </c>
      <c r="H245" s="843"/>
      <c r="I245" s="322"/>
    </row>
    <row r="246" spans="1:9" x14ac:dyDescent="0.2">
      <c r="A246" s="836"/>
      <c r="B246" s="1198" t="s">
        <v>708</v>
      </c>
      <c r="C246" s="1199" t="s">
        <v>891</v>
      </c>
      <c r="D246" s="1200" t="s">
        <v>16</v>
      </c>
      <c r="E246" s="843">
        <v>10</v>
      </c>
      <c r="F246" s="1201">
        <v>300</v>
      </c>
      <c r="G246" s="846">
        <f t="shared" si="1"/>
        <v>3000</v>
      </c>
      <c r="H246" s="843"/>
      <c r="I246" s="322"/>
    </row>
    <row r="247" spans="1:9" x14ac:dyDescent="0.2">
      <c r="A247" s="836"/>
      <c r="B247" s="1198"/>
      <c r="C247" s="1199" t="s">
        <v>893</v>
      </c>
      <c r="D247" s="1200" t="s">
        <v>36</v>
      </c>
      <c r="E247" s="843">
        <v>20</v>
      </c>
      <c r="F247" s="1201">
        <v>150</v>
      </c>
      <c r="G247" s="846">
        <f t="shared" si="1"/>
        <v>3000</v>
      </c>
      <c r="H247" s="843">
        <f>SUM(G244:G247)</f>
        <v>6800</v>
      </c>
      <c r="I247" s="177"/>
    </row>
    <row r="248" spans="1:9" x14ac:dyDescent="0.2">
      <c r="A248" s="548" t="s">
        <v>408</v>
      </c>
      <c r="B248" s="1202" t="s">
        <v>849</v>
      </c>
      <c r="C248" s="1203" t="s">
        <v>69</v>
      </c>
      <c r="D248" s="1204" t="s">
        <v>16</v>
      </c>
      <c r="E248" s="553">
        <v>1</v>
      </c>
      <c r="F248" s="1205">
        <v>500</v>
      </c>
      <c r="G248" s="554">
        <f t="shared" si="1"/>
        <v>500</v>
      </c>
      <c r="H248" s="553"/>
      <c r="I248" s="322"/>
    </row>
    <row r="249" spans="1:9" x14ac:dyDescent="0.2">
      <c r="A249" s="548"/>
      <c r="B249" s="1202"/>
      <c r="C249" s="1203" t="s">
        <v>558</v>
      </c>
      <c r="D249" s="1204" t="s">
        <v>36</v>
      </c>
      <c r="E249" s="553">
        <v>3</v>
      </c>
      <c r="F249" s="1205">
        <v>100</v>
      </c>
      <c r="G249" s="554">
        <f t="shared" si="1"/>
        <v>300</v>
      </c>
      <c r="H249" s="553">
        <f>SUM(G248:G249)</f>
        <v>800</v>
      </c>
      <c r="I249" s="177"/>
    </row>
    <row r="250" spans="1:9" x14ac:dyDescent="0.2">
      <c r="A250" s="876" t="s">
        <v>409</v>
      </c>
      <c r="B250" s="1206" t="s">
        <v>849</v>
      </c>
      <c r="C250" s="1207" t="s">
        <v>70</v>
      </c>
      <c r="D250" s="1208" t="s">
        <v>73</v>
      </c>
      <c r="E250" s="882">
        <v>1</v>
      </c>
      <c r="F250" s="1209">
        <v>300</v>
      </c>
      <c r="G250" s="885">
        <f t="shared" si="1"/>
        <v>300</v>
      </c>
      <c r="H250" s="882"/>
      <c r="I250" s="322"/>
    </row>
    <row r="251" spans="1:9" x14ac:dyDescent="0.2">
      <c r="A251" s="1210"/>
      <c r="B251" s="1206"/>
      <c r="C251" s="1207" t="s">
        <v>558</v>
      </c>
      <c r="D251" s="1208" t="s">
        <v>36</v>
      </c>
      <c r="E251" s="882">
        <v>3</v>
      </c>
      <c r="F251" s="1209">
        <v>100</v>
      </c>
      <c r="G251" s="885">
        <f t="shared" si="1"/>
        <v>300</v>
      </c>
      <c r="H251" s="882">
        <f>SUM(G250:G251)</f>
        <v>600</v>
      </c>
      <c r="I251" s="177"/>
    </row>
    <row r="252" spans="1:9" x14ac:dyDescent="0.2">
      <c r="A252" s="907" t="s">
        <v>410</v>
      </c>
      <c r="B252" s="1211" t="s">
        <v>849</v>
      </c>
      <c r="C252" s="1212" t="s">
        <v>95</v>
      </c>
      <c r="D252" s="1213" t="s">
        <v>16</v>
      </c>
      <c r="E252" s="911">
        <v>1</v>
      </c>
      <c r="F252" s="1214">
        <v>300</v>
      </c>
      <c r="G252" s="910">
        <f t="shared" si="1"/>
        <v>300</v>
      </c>
      <c r="H252" s="911"/>
      <c r="I252" s="322"/>
    </row>
    <row r="253" spans="1:9" x14ac:dyDescent="0.2">
      <c r="A253" s="907"/>
      <c r="B253" s="1211"/>
      <c r="C253" s="1212" t="s">
        <v>558</v>
      </c>
      <c r="D253" s="1213" t="s">
        <v>36</v>
      </c>
      <c r="E253" s="911">
        <v>3</v>
      </c>
      <c r="F253" s="1214">
        <v>100</v>
      </c>
      <c r="G253" s="910">
        <f t="shared" si="1"/>
        <v>300</v>
      </c>
      <c r="H253" s="911">
        <f>SUM(G252:G253)</f>
        <v>600</v>
      </c>
      <c r="I253" s="177"/>
    </row>
    <row r="254" spans="1:9" x14ac:dyDescent="0.2">
      <c r="A254" s="923" t="s">
        <v>411</v>
      </c>
      <c r="B254" s="1215" t="s">
        <v>849</v>
      </c>
      <c r="C254" s="1216" t="s">
        <v>895</v>
      </c>
      <c r="D254" s="1217" t="s">
        <v>16</v>
      </c>
      <c r="E254" s="929">
        <v>4</v>
      </c>
      <c r="F254" s="1218">
        <v>400</v>
      </c>
      <c r="G254" s="931">
        <f t="shared" si="1"/>
        <v>1600</v>
      </c>
      <c r="H254" s="929"/>
      <c r="I254" s="322"/>
    </row>
    <row r="255" spans="1:9" x14ac:dyDescent="0.2">
      <c r="A255" s="923"/>
      <c r="B255" s="2033" t="s">
        <v>894</v>
      </c>
      <c r="C255" s="1216" t="s">
        <v>896</v>
      </c>
      <c r="D255" s="1217" t="s">
        <v>36</v>
      </c>
      <c r="E255" s="929">
        <v>10</v>
      </c>
      <c r="F255" s="1218">
        <v>100</v>
      </c>
      <c r="G255" s="931">
        <f t="shared" si="1"/>
        <v>1000</v>
      </c>
      <c r="H255" s="929">
        <f>SUM(G254:G255)</f>
        <v>2600</v>
      </c>
      <c r="I255" s="324"/>
    </row>
    <row r="256" spans="1:9" x14ac:dyDescent="0.2">
      <c r="A256" s="936" t="s">
        <v>412</v>
      </c>
      <c r="B256" s="1219" t="s">
        <v>708</v>
      </c>
      <c r="C256" s="1220" t="s">
        <v>847</v>
      </c>
      <c r="D256" s="1221" t="s">
        <v>16</v>
      </c>
      <c r="E256" s="943">
        <v>8</v>
      </c>
      <c r="F256" s="1222">
        <v>300</v>
      </c>
      <c r="G256" s="946">
        <f t="shared" si="1"/>
        <v>2400</v>
      </c>
      <c r="H256" s="943"/>
      <c r="I256" s="322"/>
    </row>
    <row r="257" spans="1:9" x14ac:dyDescent="0.2">
      <c r="A257" s="936"/>
      <c r="B257" s="1219"/>
      <c r="C257" s="1220" t="s">
        <v>714</v>
      </c>
      <c r="D257" s="1221" t="s">
        <v>36</v>
      </c>
      <c r="E257" s="943">
        <v>16</v>
      </c>
      <c r="F257" s="1222">
        <v>150</v>
      </c>
      <c r="G257" s="946">
        <f t="shared" si="1"/>
        <v>2400</v>
      </c>
      <c r="H257" s="943">
        <f>SUM(G256:G257)</f>
        <v>4800</v>
      </c>
      <c r="I257" s="177"/>
    </row>
    <row r="258" spans="1:9" x14ac:dyDescent="0.2">
      <c r="A258" s="969" t="s">
        <v>413</v>
      </c>
      <c r="B258" s="1223" t="s">
        <v>849</v>
      </c>
      <c r="C258" s="1224" t="s">
        <v>68</v>
      </c>
      <c r="D258" s="1225" t="s">
        <v>16</v>
      </c>
      <c r="E258" s="975">
        <v>1</v>
      </c>
      <c r="F258" s="1226">
        <v>500</v>
      </c>
      <c r="G258" s="976">
        <f t="shared" si="1"/>
        <v>500</v>
      </c>
      <c r="H258" s="975"/>
      <c r="I258" s="322"/>
    </row>
    <row r="259" spans="1:9" x14ac:dyDescent="0.2">
      <c r="A259" s="969"/>
      <c r="B259" s="1223"/>
      <c r="C259" s="1224" t="s">
        <v>558</v>
      </c>
      <c r="D259" s="1225" t="s">
        <v>36</v>
      </c>
      <c r="E259" s="975">
        <v>3</v>
      </c>
      <c r="F259" s="1226">
        <v>100</v>
      </c>
      <c r="G259" s="976">
        <f t="shared" si="1"/>
        <v>300</v>
      </c>
      <c r="H259" s="975"/>
      <c r="I259" s="322"/>
    </row>
    <row r="260" spans="1:9" x14ac:dyDescent="0.2">
      <c r="A260" s="969"/>
      <c r="B260" s="1223" t="s">
        <v>708</v>
      </c>
      <c r="C260" s="1224" t="s">
        <v>892</v>
      </c>
      <c r="D260" s="1225" t="s">
        <v>16</v>
      </c>
      <c r="E260" s="975">
        <v>10</v>
      </c>
      <c r="F260" s="1226">
        <v>400</v>
      </c>
      <c r="G260" s="976">
        <f t="shared" si="1"/>
        <v>4000</v>
      </c>
      <c r="H260" s="975"/>
      <c r="I260" s="322"/>
    </row>
    <row r="261" spans="1:9" x14ac:dyDescent="0.2">
      <c r="A261" s="969"/>
      <c r="B261" s="1223"/>
      <c r="C261" s="1224" t="s">
        <v>897</v>
      </c>
      <c r="D261" s="1225" t="s">
        <v>36</v>
      </c>
      <c r="E261" s="975">
        <v>20</v>
      </c>
      <c r="F261" s="1226">
        <v>150</v>
      </c>
      <c r="G261" s="976">
        <f t="shared" si="1"/>
        <v>3000</v>
      </c>
      <c r="H261" s="975">
        <f>SUM(G258:G261)</f>
        <v>7800</v>
      </c>
      <c r="I261" s="177"/>
    </row>
    <row r="262" spans="1:9" x14ac:dyDescent="0.2">
      <c r="A262" s="990" t="s">
        <v>414</v>
      </c>
      <c r="B262" s="1227" t="s">
        <v>849</v>
      </c>
      <c r="C262" s="1228" t="s">
        <v>68</v>
      </c>
      <c r="D262" s="1229" t="s">
        <v>16</v>
      </c>
      <c r="E262" s="995">
        <v>1</v>
      </c>
      <c r="F262" s="1230">
        <v>500</v>
      </c>
      <c r="G262" s="998">
        <f t="shared" si="1"/>
        <v>500</v>
      </c>
      <c r="H262" s="995"/>
      <c r="I262" s="322"/>
    </row>
    <row r="263" spans="1:9" x14ac:dyDescent="0.2">
      <c r="A263" s="990"/>
      <c r="B263" s="1227"/>
      <c r="C263" s="1228" t="s">
        <v>558</v>
      </c>
      <c r="D263" s="1229" t="s">
        <v>36</v>
      </c>
      <c r="E263" s="995">
        <v>3</v>
      </c>
      <c r="F263" s="1230">
        <v>100</v>
      </c>
      <c r="G263" s="998">
        <f t="shared" si="1"/>
        <v>300</v>
      </c>
      <c r="H263" s="995">
        <f>SUM(G262:G263)</f>
        <v>800</v>
      </c>
      <c r="I263" s="177"/>
    </row>
    <row r="264" spans="1:9" x14ac:dyDescent="0.2">
      <c r="A264" s="1011" t="s">
        <v>415</v>
      </c>
      <c r="B264" s="1231" t="s">
        <v>849</v>
      </c>
      <c r="C264" s="1232" t="s">
        <v>70</v>
      </c>
      <c r="D264" s="1233" t="s">
        <v>16</v>
      </c>
      <c r="E264" s="1014">
        <v>1</v>
      </c>
      <c r="F264" s="1234">
        <v>300</v>
      </c>
      <c r="G264" s="1016">
        <f t="shared" si="1"/>
        <v>300</v>
      </c>
      <c r="H264" s="1014"/>
      <c r="I264" s="322"/>
    </row>
    <row r="265" spans="1:9" x14ac:dyDescent="0.2">
      <c r="A265" s="1011"/>
      <c r="B265" s="1231"/>
      <c r="C265" s="1232" t="s">
        <v>558</v>
      </c>
      <c r="D265" s="1233" t="s">
        <v>36</v>
      </c>
      <c r="E265" s="1014">
        <v>3</v>
      </c>
      <c r="F265" s="1234">
        <v>100</v>
      </c>
      <c r="G265" s="1016">
        <f t="shared" si="1"/>
        <v>300</v>
      </c>
      <c r="H265" s="1014"/>
      <c r="I265" s="322"/>
    </row>
    <row r="266" spans="1:9" x14ac:dyDescent="0.2">
      <c r="A266" s="1011"/>
      <c r="B266" s="1231"/>
      <c r="C266" s="1232" t="s">
        <v>898</v>
      </c>
      <c r="D266" s="1233" t="s">
        <v>16</v>
      </c>
      <c r="E266" s="1014">
        <v>12</v>
      </c>
      <c r="F266" s="1234">
        <v>200</v>
      </c>
      <c r="G266" s="1016">
        <f t="shared" si="1"/>
        <v>2400</v>
      </c>
      <c r="H266" s="1014"/>
      <c r="I266" s="322"/>
    </row>
    <row r="267" spans="1:9" x14ac:dyDescent="0.2">
      <c r="A267" s="1011"/>
      <c r="B267" s="1231"/>
      <c r="C267" s="1232" t="s">
        <v>897</v>
      </c>
      <c r="D267" s="1233" t="s">
        <v>36</v>
      </c>
      <c r="E267" s="1014">
        <v>24</v>
      </c>
      <c r="F267" s="1234">
        <v>150</v>
      </c>
      <c r="G267" s="1016">
        <f t="shared" si="1"/>
        <v>3600</v>
      </c>
      <c r="H267" s="1014">
        <f>SUM(G264:G267)</f>
        <v>6600</v>
      </c>
      <c r="I267" s="177"/>
    </row>
    <row r="268" spans="1:9" x14ac:dyDescent="0.2">
      <c r="A268" s="1017" t="s">
        <v>416</v>
      </c>
      <c r="B268" s="1235" t="s">
        <v>849</v>
      </c>
      <c r="C268" s="1236" t="s">
        <v>95</v>
      </c>
      <c r="D268" s="1237" t="s">
        <v>16</v>
      </c>
      <c r="E268" s="1023">
        <v>1</v>
      </c>
      <c r="F268" s="1238">
        <v>300</v>
      </c>
      <c r="G268" s="1025">
        <f t="shared" si="1"/>
        <v>300</v>
      </c>
      <c r="H268" s="1023"/>
      <c r="I268" s="322"/>
    </row>
    <row r="269" spans="1:9" x14ac:dyDescent="0.2">
      <c r="A269" s="1017"/>
      <c r="B269" s="1235"/>
      <c r="C269" s="1236" t="s">
        <v>558</v>
      </c>
      <c r="D269" s="1237" t="s">
        <v>36</v>
      </c>
      <c r="E269" s="1023">
        <v>3</v>
      </c>
      <c r="F269" s="1238">
        <v>100</v>
      </c>
      <c r="G269" s="1025">
        <f t="shared" si="1"/>
        <v>300</v>
      </c>
      <c r="H269" s="1023"/>
      <c r="I269" s="322"/>
    </row>
    <row r="270" spans="1:9" x14ac:dyDescent="0.2">
      <c r="A270" s="1017"/>
      <c r="B270" s="1235"/>
      <c r="C270" s="1236" t="s">
        <v>898</v>
      </c>
      <c r="D270" s="1237" t="s">
        <v>16</v>
      </c>
      <c r="E270" s="1023">
        <v>12</v>
      </c>
      <c r="F270" s="1238">
        <v>200</v>
      </c>
      <c r="G270" s="1025">
        <f t="shared" si="1"/>
        <v>2400</v>
      </c>
      <c r="H270" s="1023"/>
      <c r="I270" s="322"/>
    </row>
    <row r="271" spans="1:9" x14ac:dyDescent="0.2">
      <c r="A271" s="1017"/>
      <c r="B271" s="1235"/>
      <c r="C271" s="1236" t="s">
        <v>897</v>
      </c>
      <c r="D271" s="1237" t="s">
        <v>36</v>
      </c>
      <c r="E271" s="1023">
        <v>24</v>
      </c>
      <c r="F271" s="1238">
        <v>150</v>
      </c>
      <c r="G271" s="1025">
        <f t="shared" si="1"/>
        <v>3600</v>
      </c>
      <c r="H271" s="1023">
        <f>SUM(G268:G271)</f>
        <v>6600</v>
      </c>
      <c r="I271" s="177"/>
    </row>
    <row r="272" spans="1:9" x14ac:dyDescent="0.2">
      <c r="A272" s="1026" t="s">
        <v>417</v>
      </c>
      <c r="B272" s="1239" t="s">
        <v>849</v>
      </c>
      <c r="C272" s="1240" t="s">
        <v>95</v>
      </c>
      <c r="D272" s="1035" t="s">
        <v>16</v>
      </c>
      <c r="E272" s="1032">
        <v>1</v>
      </c>
      <c r="F272" s="1036">
        <v>300</v>
      </c>
      <c r="G272" s="1034">
        <f t="shared" si="1"/>
        <v>300</v>
      </c>
      <c r="H272" s="1032"/>
      <c r="I272" s="322"/>
    </row>
    <row r="273" spans="1:9" x14ac:dyDescent="0.2">
      <c r="A273" s="1026"/>
      <c r="B273" s="1239"/>
      <c r="C273" s="1240" t="s">
        <v>558</v>
      </c>
      <c r="D273" s="1035" t="s">
        <v>36</v>
      </c>
      <c r="E273" s="1032">
        <v>3</v>
      </c>
      <c r="F273" s="1036">
        <v>150</v>
      </c>
      <c r="G273" s="1034">
        <f t="shared" si="1"/>
        <v>450</v>
      </c>
      <c r="H273" s="1032">
        <f>SUM(G272:G273)</f>
        <v>750</v>
      </c>
      <c r="I273" s="177"/>
    </row>
    <row r="274" spans="1:9" x14ac:dyDescent="0.2">
      <c r="A274" s="1042" t="s">
        <v>418</v>
      </c>
      <c r="B274" s="1241" t="s">
        <v>849</v>
      </c>
      <c r="C274" s="1242" t="s">
        <v>627</v>
      </c>
      <c r="D274" s="1243" t="s">
        <v>16</v>
      </c>
      <c r="E274" s="1048">
        <v>1</v>
      </c>
      <c r="F274" s="1244">
        <v>400</v>
      </c>
      <c r="G274" s="1050">
        <f t="shared" si="1"/>
        <v>400</v>
      </c>
      <c r="H274" s="1048"/>
      <c r="I274" s="322"/>
    </row>
    <row r="275" spans="1:9" x14ac:dyDescent="0.2">
      <c r="A275" s="1042"/>
      <c r="B275" s="1241"/>
      <c r="C275" s="1242" t="s">
        <v>707</v>
      </c>
      <c r="D275" s="1243" t="s">
        <v>36</v>
      </c>
      <c r="E275" s="1048">
        <v>3</v>
      </c>
      <c r="F275" s="1244">
        <v>100</v>
      </c>
      <c r="G275" s="1050">
        <f t="shared" si="1"/>
        <v>300</v>
      </c>
      <c r="H275" s="1048"/>
      <c r="I275" s="322"/>
    </row>
    <row r="276" spans="1:9" x14ac:dyDescent="0.2">
      <c r="A276" s="1042"/>
      <c r="B276" s="1241"/>
      <c r="C276" s="1242" t="s">
        <v>898</v>
      </c>
      <c r="D276" s="1243" t="s">
        <v>16</v>
      </c>
      <c r="E276" s="1048">
        <v>12</v>
      </c>
      <c r="F276" s="1244">
        <v>300</v>
      </c>
      <c r="G276" s="1050">
        <f t="shared" si="1"/>
        <v>3600</v>
      </c>
      <c r="H276" s="1048"/>
      <c r="I276" s="322"/>
    </row>
    <row r="277" spans="1:9" x14ac:dyDescent="0.2">
      <c r="A277" s="1042"/>
      <c r="B277" s="1241"/>
      <c r="C277" s="1242" t="s">
        <v>897</v>
      </c>
      <c r="D277" s="1243" t="s">
        <v>36</v>
      </c>
      <c r="E277" s="1048">
        <v>24</v>
      </c>
      <c r="F277" s="1244">
        <v>150</v>
      </c>
      <c r="G277" s="1050">
        <f t="shared" si="1"/>
        <v>3600</v>
      </c>
      <c r="H277" s="1048">
        <f>SUM(G274:G277)</f>
        <v>7900</v>
      </c>
      <c r="I277" s="177"/>
    </row>
    <row r="278" spans="1:9" x14ac:dyDescent="0.2">
      <c r="A278" s="1080" t="s">
        <v>419</v>
      </c>
      <c r="B278" s="1245" t="s">
        <v>849</v>
      </c>
      <c r="C278" s="1246" t="s">
        <v>69</v>
      </c>
      <c r="D278" s="1247" t="s">
        <v>16</v>
      </c>
      <c r="E278" s="1084">
        <v>1</v>
      </c>
      <c r="F278" s="1248">
        <v>400</v>
      </c>
      <c r="G278" s="1083">
        <f t="shared" si="1"/>
        <v>400</v>
      </c>
      <c r="H278" s="1084"/>
      <c r="I278" s="322"/>
    </row>
    <row r="279" spans="1:9" x14ac:dyDescent="0.2">
      <c r="A279" s="1080"/>
      <c r="B279" s="1245"/>
      <c r="C279" s="1246" t="s">
        <v>558</v>
      </c>
      <c r="D279" s="1247" t="s">
        <v>36</v>
      </c>
      <c r="E279" s="1084">
        <v>3</v>
      </c>
      <c r="F279" s="1248">
        <v>100</v>
      </c>
      <c r="G279" s="1083">
        <f t="shared" si="1"/>
        <v>300</v>
      </c>
      <c r="H279" s="1084"/>
      <c r="I279" s="322"/>
    </row>
    <row r="280" spans="1:9" x14ac:dyDescent="0.2">
      <c r="A280" s="1080"/>
      <c r="B280" s="1245"/>
      <c r="C280" s="1246" t="s">
        <v>898</v>
      </c>
      <c r="D280" s="1247" t="s">
        <v>16</v>
      </c>
      <c r="E280" s="1084">
        <v>12</v>
      </c>
      <c r="F280" s="1248">
        <v>300</v>
      </c>
      <c r="G280" s="1083">
        <f t="shared" si="1"/>
        <v>3600</v>
      </c>
      <c r="H280" s="1084"/>
      <c r="I280" s="322"/>
    </row>
    <row r="281" spans="1:9" x14ac:dyDescent="0.2">
      <c r="A281" s="1080"/>
      <c r="B281" s="1245"/>
      <c r="C281" s="1246" t="s">
        <v>897</v>
      </c>
      <c r="D281" s="1247" t="s">
        <v>36</v>
      </c>
      <c r="E281" s="1084">
        <v>24</v>
      </c>
      <c r="F281" s="1248">
        <v>150</v>
      </c>
      <c r="G281" s="1083">
        <f t="shared" si="1"/>
        <v>3600</v>
      </c>
      <c r="H281" s="1084">
        <f>SUM(G278:G281)</f>
        <v>7900</v>
      </c>
      <c r="I281" s="177"/>
    </row>
    <row r="282" spans="1:9" x14ac:dyDescent="0.2">
      <c r="A282" s="1097" t="s">
        <v>420</v>
      </c>
      <c r="B282" s="1249" t="s">
        <v>849</v>
      </c>
      <c r="C282" s="1250" t="s">
        <v>71</v>
      </c>
      <c r="D282" s="1251" t="s">
        <v>73</v>
      </c>
      <c r="E282" s="1101">
        <v>1</v>
      </c>
      <c r="F282" s="1252">
        <v>400</v>
      </c>
      <c r="G282" s="1100">
        <f t="shared" si="1"/>
        <v>400</v>
      </c>
      <c r="H282" s="1101"/>
      <c r="I282" s="322"/>
    </row>
    <row r="283" spans="1:9" x14ac:dyDescent="0.2">
      <c r="A283" s="1097"/>
      <c r="B283" s="1249"/>
      <c r="C283" s="1250" t="s">
        <v>558</v>
      </c>
      <c r="D283" s="1251" t="s">
        <v>36</v>
      </c>
      <c r="E283" s="1101">
        <v>3</v>
      </c>
      <c r="F283" s="1252">
        <v>100</v>
      </c>
      <c r="G283" s="1100">
        <f t="shared" si="1"/>
        <v>300</v>
      </c>
      <c r="H283" s="1101">
        <f>SUM(G282:G283)</f>
        <v>700</v>
      </c>
      <c r="I283" s="177"/>
    </row>
    <row r="284" spans="1:9" x14ac:dyDescent="0.2">
      <c r="A284" s="1114" t="s">
        <v>949</v>
      </c>
      <c r="B284" s="1253" t="s">
        <v>849</v>
      </c>
      <c r="C284" s="1254" t="s">
        <v>969</v>
      </c>
      <c r="D284" s="2067" t="s">
        <v>16</v>
      </c>
      <c r="E284" s="1118">
        <v>1</v>
      </c>
      <c r="F284" s="1256">
        <v>400</v>
      </c>
      <c r="G284" s="1117">
        <f t="shared" si="1"/>
        <v>400</v>
      </c>
      <c r="H284" s="1118"/>
      <c r="I284" s="2383"/>
    </row>
    <row r="285" spans="1:9" x14ac:dyDescent="0.2">
      <c r="A285" s="1114"/>
      <c r="B285" s="1253"/>
      <c r="C285" s="1254" t="s">
        <v>558</v>
      </c>
      <c r="D285" s="2067" t="s">
        <v>36</v>
      </c>
      <c r="E285" s="1118">
        <v>3</v>
      </c>
      <c r="F285" s="1256">
        <v>100</v>
      </c>
      <c r="G285" s="1117">
        <f t="shared" si="1"/>
        <v>300</v>
      </c>
      <c r="H285" s="1118"/>
      <c r="I285" s="2383"/>
    </row>
    <row r="286" spans="1:9" x14ac:dyDescent="0.2">
      <c r="A286" s="1114"/>
      <c r="B286" s="1253"/>
      <c r="C286" s="1254" t="s">
        <v>988</v>
      </c>
      <c r="D286" s="2067" t="s">
        <v>115</v>
      </c>
      <c r="E286" s="1118">
        <v>1</v>
      </c>
      <c r="F286" s="1256">
        <v>450</v>
      </c>
      <c r="G286" s="1117">
        <f t="shared" si="1"/>
        <v>450</v>
      </c>
      <c r="H286" s="1118"/>
      <c r="I286" s="2383"/>
    </row>
    <row r="287" spans="1:9" x14ac:dyDescent="0.2">
      <c r="A287" s="1114"/>
      <c r="B287" s="1253"/>
      <c r="C287" s="1254" t="s">
        <v>991</v>
      </c>
      <c r="D287" s="1255" t="s">
        <v>36</v>
      </c>
      <c r="E287" s="1118">
        <v>8</v>
      </c>
      <c r="F287" s="1256">
        <v>120</v>
      </c>
      <c r="G287" s="1117">
        <f t="shared" si="1"/>
        <v>960</v>
      </c>
      <c r="H287" s="1118">
        <f>SUM(G284:G287)</f>
        <v>2110</v>
      </c>
      <c r="I287" s="2382"/>
    </row>
    <row r="288" spans="1:9" x14ac:dyDescent="0.2">
      <c r="A288" s="1131" t="s">
        <v>421</v>
      </c>
      <c r="B288" s="1257" t="s">
        <v>849</v>
      </c>
      <c r="C288" s="1258" t="s">
        <v>846</v>
      </c>
      <c r="D288" s="1259" t="s">
        <v>16</v>
      </c>
      <c r="E288" s="1135">
        <v>1</v>
      </c>
      <c r="F288" s="1260">
        <v>0</v>
      </c>
      <c r="G288" s="1134">
        <f t="shared" si="1"/>
        <v>0</v>
      </c>
      <c r="H288" s="1135"/>
      <c r="I288" s="2383"/>
    </row>
    <row r="289" spans="1:9" x14ac:dyDescent="0.2">
      <c r="A289" s="1131"/>
      <c r="B289" s="1257"/>
      <c r="C289" s="1258" t="s">
        <v>558</v>
      </c>
      <c r="D289" s="1259" t="s">
        <v>36</v>
      </c>
      <c r="E289" s="1135">
        <v>3</v>
      </c>
      <c r="F289" s="1260">
        <v>0</v>
      </c>
      <c r="G289" s="1134">
        <f t="shared" si="1"/>
        <v>0</v>
      </c>
      <c r="H289" s="1135"/>
      <c r="I289" s="2383"/>
    </row>
    <row r="290" spans="1:9" x14ac:dyDescent="0.2">
      <c r="A290" s="1131"/>
      <c r="B290" s="1257"/>
      <c r="C290" s="1258" t="s">
        <v>898</v>
      </c>
      <c r="D290" s="1259" t="s">
        <v>16</v>
      </c>
      <c r="E290" s="1135">
        <v>12</v>
      </c>
      <c r="F290" s="1260">
        <v>300</v>
      </c>
      <c r="G290" s="1134">
        <f t="shared" si="1"/>
        <v>3600</v>
      </c>
      <c r="H290" s="1135"/>
      <c r="I290" s="2383"/>
    </row>
    <row r="291" spans="1:9" x14ac:dyDescent="0.2">
      <c r="A291" s="1131"/>
      <c r="B291" s="1257"/>
      <c r="C291" s="1258" t="s">
        <v>897</v>
      </c>
      <c r="D291" s="1259" t="s">
        <v>36</v>
      </c>
      <c r="E291" s="1135">
        <v>24</v>
      </c>
      <c r="F291" s="1260">
        <v>150</v>
      </c>
      <c r="G291" s="1134">
        <f t="shared" si="1"/>
        <v>3600</v>
      </c>
      <c r="H291" s="1135">
        <f>SUM(G288:G291)</f>
        <v>7200</v>
      </c>
      <c r="I291" s="2382"/>
    </row>
    <row r="292" spans="1:9" x14ac:dyDescent="0.2">
      <c r="A292" s="548" t="s">
        <v>422</v>
      </c>
      <c r="B292" s="1202" t="s">
        <v>849</v>
      </c>
      <c r="C292" s="1203" t="s">
        <v>846</v>
      </c>
      <c r="D292" s="1204" t="s">
        <v>16</v>
      </c>
      <c r="E292" s="553">
        <v>1</v>
      </c>
      <c r="F292" s="1205">
        <v>100</v>
      </c>
      <c r="G292" s="554">
        <f t="shared" si="1"/>
        <v>100</v>
      </c>
      <c r="H292" s="553"/>
      <c r="I292" s="2383"/>
    </row>
    <row r="293" spans="1:9" x14ac:dyDescent="0.2">
      <c r="A293" s="548"/>
      <c r="B293" s="1202"/>
      <c r="C293" s="1203" t="s">
        <v>558</v>
      </c>
      <c r="D293" s="1204" t="s">
        <v>36</v>
      </c>
      <c r="E293" s="553">
        <v>3</v>
      </c>
      <c r="F293" s="1205">
        <v>100</v>
      </c>
      <c r="G293" s="554">
        <f t="shared" si="1"/>
        <v>300</v>
      </c>
      <c r="H293" s="553">
        <f>SUM(G292:G293)</f>
        <v>400</v>
      </c>
      <c r="I293" s="2382"/>
    </row>
    <row r="294" spans="1:9" x14ac:dyDescent="0.2">
      <c r="A294" s="2081" t="s">
        <v>950</v>
      </c>
      <c r="B294" s="2119" t="s">
        <v>849</v>
      </c>
      <c r="C294" s="2120" t="s">
        <v>70</v>
      </c>
      <c r="D294" s="2121" t="s">
        <v>16</v>
      </c>
      <c r="E294" s="2087">
        <v>0</v>
      </c>
      <c r="F294" s="2122">
        <v>100</v>
      </c>
      <c r="G294" s="2089">
        <f t="shared" ref="G294:G295" si="2">F294*E294</f>
        <v>0</v>
      </c>
      <c r="H294" s="2087"/>
      <c r="I294" s="2383"/>
    </row>
    <row r="295" spans="1:9" x14ac:dyDescent="0.2">
      <c r="A295" s="2081"/>
      <c r="B295" s="2119"/>
      <c r="C295" s="2120" t="s">
        <v>558</v>
      </c>
      <c r="D295" s="2121" t="s">
        <v>36</v>
      </c>
      <c r="E295" s="2087">
        <v>0</v>
      </c>
      <c r="F295" s="2122">
        <v>100</v>
      </c>
      <c r="G295" s="2089">
        <f t="shared" si="2"/>
        <v>0</v>
      </c>
      <c r="H295" s="2087">
        <f>SUM(G294:G295)</f>
        <v>0</v>
      </c>
      <c r="I295" s="2382"/>
    </row>
    <row r="296" spans="1:9" x14ac:dyDescent="0.2">
      <c r="A296" s="2094" t="s">
        <v>951</v>
      </c>
      <c r="B296" s="2127" t="s">
        <v>849</v>
      </c>
      <c r="C296" s="2128" t="s">
        <v>985</v>
      </c>
      <c r="D296" s="2129" t="s">
        <v>16</v>
      </c>
      <c r="E296" s="2100">
        <v>1</v>
      </c>
      <c r="F296" s="2130">
        <v>100</v>
      </c>
      <c r="G296" s="2102">
        <f t="shared" ref="G296:G299" si="3">F296*E296</f>
        <v>100</v>
      </c>
      <c r="H296" s="2100"/>
      <c r="I296" s="2383"/>
    </row>
    <row r="297" spans="1:9" x14ac:dyDescent="0.2">
      <c r="A297" s="2094"/>
      <c r="B297" s="2127"/>
      <c r="C297" s="2128" t="s">
        <v>558</v>
      </c>
      <c r="D297" s="2131" t="s">
        <v>36</v>
      </c>
      <c r="E297" s="2100">
        <v>3</v>
      </c>
      <c r="F297" s="2130">
        <v>100</v>
      </c>
      <c r="G297" s="2102">
        <f t="shared" si="3"/>
        <v>300</v>
      </c>
      <c r="H297" s="2100"/>
      <c r="I297" s="2383"/>
    </row>
    <row r="298" spans="1:9" x14ac:dyDescent="0.2">
      <c r="A298" s="2094"/>
      <c r="B298" s="2127"/>
      <c r="C298" s="2128" t="s">
        <v>989</v>
      </c>
      <c r="D298" s="2131" t="s">
        <v>115</v>
      </c>
      <c r="E298" s="2100">
        <v>1</v>
      </c>
      <c r="F298" s="2130">
        <v>350</v>
      </c>
      <c r="G298" s="2102">
        <f t="shared" si="3"/>
        <v>350</v>
      </c>
      <c r="H298" s="2100"/>
      <c r="I298" s="2383"/>
    </row>
    <row r="299" spans="1:9" x14ac:dyDescent="0.2">
      <c r="A299" s="2094"/>
      <c r="B299" s="2127"/>
      <c r="C299" s="2128" t="s">
        <v>990</v>
      </c>
      <c r="D299" s="2129" t="s">
        <v>36</v>
      </c>
      <c r="E299" s="2100">
        <v>5</v>
      </c>
      <c r="F299" s="2130">
        <v>120</v>
      </c>
      <c r="G299" s="2102">
        <f t="shared" si="3"/>
        <v>600</v>
      </c>
      <c r="H299" s="2100">
        <f>SUM(G296:G299)</f>
        <v>1350</v>
      </c>
      <c r="I299" s="2382"/>
    </row>
    <row r="300" spans="1:9" x14ac:dyDescent="0.2">
      <c r="A300" s="1026" t="s">
        <v>952</v>
      </c>
      <c r="B300" s="1239" t="s">
        <v>849</v>
      </c>
      <c r="C300" s="1240" t="s">
        <v>979</v>
      </c>
      <c r="D300" s="1035" t="s">
        <v>16</v>
      </c>
      <c r="E300" s="1032">
        <v>1</v>
      </c>
      <c r="F300" s="1036">
        <v>400</v>
      </c>
      <c r="G300" s="1034">
        <f t="shared" ref="G300:G301" si="4">F300*E300</f>
        <v>400</v>
      </c>
      <c r="H300" s="1032"/>
      <c r="I300" s="2383"/>
    </row>
    <row r="301" spans="1:9" x14ac:dyDescent="0.2">
      <c r="A301" s="1026"/>
      <c r="B301" s="1239"/>
      <c r="C301" s="1240" t="s">
        <v>558</v>
      </c>
      <c r="D301" s="1035" t="s">
        <v>36</v>
      </c>
      <c r="E301" s="1032">
        <v>3</v>
      </c>
      <c r="F301" s="1036">
        <v>100</v>
      </c>
      <c r="G301" s="1034">
        <f t="shared" si="4"/>
        <v>300</v>
      </c>
      <c r="H301" s="1032">
        <f>SUM(G300:G301)</f>
        <v>700</v>
      </c>
      <c r="I301" s="2382"/>
    </row>
    <row r="302" spans="1:9" x14ac:dyDescent="0.2">
      <c r="A302" s="78" t="s">
        <v>9</v>
      </c>
      <c r="B302" s="12"/>
      <c r="C302" s="232"/>
      <c r="D302" s="12"/>
      <c r="E302" s="27"/>
      <c r="F302" s="27"/>
      <c r="G302" s="27"/>
      <c r="H302" s="28">
        <f>SUM(H215:H301)</f>
        <v>90222</v>
      </c>
    </row>
    <row r="303" spans="1:9" x14ac:dyDescent="0.2">
      <c r="A303" s="76" t="s">
        <v>27</v>
      </c>
      <c r="B303" s="6"/>
      <c r="C303" s="231"/>
      <c r="D303" s="6"/>
      <c r="E303" s="21"/>
      <c r="F303" s="21"/>
      <c r="G303" s="21"/>
      <c r="H303" s="22"/>
    </row>
    <row r="304" spans="1:9" s="159" customFormat="1" x14ac:dyDescent="0.2">
      <c r="A304" s="210"/>
      <c r="B304" s="43"/>
      <c r="C304" s="234"/>
      <c r="D304" s="43"/>
      <c r="E304" s="211"/>
      <c r="F304" s="44"/>
      <c r="G304" s="211">
        <v>0</v>
      </c>
      <c r="H304" s="44"/>
      <c r="I304" s="96"/>
    </row>
    <row r="305" spans="1:9" s="159" customFormat="1" x14ac:dyDescent="0.2">
      <c r="A305" s="160"/>
      <c r="B305" s="161"/>
      <c r="C305" s="235"/>
      <c r="D305" s="161"/>
      <c r="E305" s="162"/>
      <c r="F305" s="163"/>
      <c r="G305" s="162">
        <v>0</v>
      </c>
      <c r="H305" s="163">
        <f>SUM(G303:G305)</f>
        <v>0</v>
      </c>
      <c r="I305" s="96"/>
    </row>
    <row r="306" spans="1:9" x14ac:dyDescent="0.2">
      <c r="A306" s="78" t="s">
        <v>10</v>
      </c>
      <c r="B306" s="12"/>
      <c r="C306" s="232"/>
      <c r="D306" s="12"/>
      <c r="E306" s="27"/>
      <c r="F306" s="27"/>
      <c r="G306" s="27"/>
      <c r="H306" s="28">
        <f>SUM(H305:H305)</f>
        <v>0</v>
      </c>
    </row>
    <row r="307" spans="1:9" x14ac:dyDescent="0.2">
      <c r="A307" s="76" t="s">
        <v>76</v>
      </c>
      <c r="B307" s="6"/>
      <c r="C307" s="231"/>
      <c r="D307" s="6"/>
      <c r="E307" s="21"/>
      <c r="F307" s="21"/>
      <c r="G307" s="21"/>
      <c r="H307" s="22">
        <f>SUM(G307:G307)</f>
        <v>0</v>
      </c>
    </row>
    <row r="308" spans="1:9" x14ac:dyDescent="0.2">
      <c r="A308" s="1680" t="s">
        <v>412</v>
      </c>
      <c r="B308" s="968" t="s">
        <v>114</v>
      </c>
      <c r="C308" s="1675" t="s">
        <v>675</v>
      </c>
      <c r="D308" s="968" t="s">
        <v>49</v>
      </c>
      <c r="E308" s="1681">
        <v>1</v>
      </c>
      <c r="F308" s="963">
        <v>4000</v>
      </c>
      <c r="G308" s="1681">
        <f>F308*E308</f>
        <v>4000</v>
      </c>
      <c r="H308" s="963"/>
    </row>
    <row r="309" spans="1:9" x14ac:dyDescent="0.2">
      <c r="A309" s="1676"/>
      <c r="B309" s="1678"/>
      <c r="C309" s="1370" t="s">
        <v>674</v>
      </c>
      <c r="D309" s="944"/>
      <c r="E309" s="946"/>
      <c r="F309" s="943"/>
      <c r="G309" s="946">
        <v>0</v>
      </c>
      <c r="H309" s="943"/>
    </row>
    <row r="310" spans="1:9" x14ac:dyDescent="0.2">
      <c r="A310" s="1677"/>
      <c r="B310" s="1679"/>
      <c r="C310" s="1375" t="s">
        <v>676</v>
      </c>
      <c r="D310" s="950"/>
      <c r="E310" s="951"/>
      <c r="F310" s="965"/>
      <c r="G310" s="951">
        <v>0</v>
      </c>
      <c r="H310" s="965">
        <f>SUM(G308:G310)</f>
        <v>4000</v>
      </c>
    </row>
    <row r="311" spans="1:9" x14ac:dyDescent="0.2">
      <c r="A311" s="836" t="s">
        <v>407</v>
      </c>
      <c r="B311" s="1998" t="s">
        <v>844</v>
      </c>
      <c r="C311" s="1879" t="s">
        <v>97</v>
      </c>
      <c r="D311" s="1999" t="s">
        <v>49</v>
      </c>
      <c r="E311" s="2000">
        <v>1</v>
      </c>
      <c r="F311" s="2001">
        <v>3000</v>
      </c>
      <c r="G311" s="1316">
        <f>F311*E311</f>
        <v>3000</v>
      </c>
      <c r="H311" s="1992"/>
    </row>
    <row r="312" spans="1:9" x14ac:dyDescent="0.2">
      <c r="A312" s="1996"/>
      <c r="B312" s="1998" t="s">
        <v>701</v>
      </c>
      <c r="C312" s="1199" t="s">
        <v>700</v>
      </c>
      <c r="D312" s="1999"/>
      <c r="E312" s="1992"/>
      <c r="F312" s="2001"/>
      <c r="G312" s="1316"/>
      <c r="H312" s="1992"/>
    </row>
    <row r="313" spans="1:9" x14ac:dyDescent="0.2">
      <c r="A313" s="1996"/>
      <c r="B313" s="1998"/>
      <c r="C313" s="1199" t="s">
        <v>843</v>
      </c>
      <c r="D313" s="1999"/>
      <c r="E313" s="1992"/>
      <c r="F313" s="2001"/>
      <c r="G313" s="1316"/>
      <c r="H313" s="1992">
        <f>SUM(G311:G313)</f>
        <v>3000</v>
      </c>
    </row>
    <row r="314" spans="1:9" x14ac:dyDescent="0.2">
      <c r="A314" s="907" t="s">
        <v>410</v>
      </c>
      <c r="B314" s="2002" t="s">
        <v>845</v>
      </c>
      <c r="C314" s="1212" t="s">
        <v>97</v>
      </c>
      <c r="D314" s="2003" t="s">
        <v>49</v>
      </c>
      <c r="E314" s="2004">
        <v>1</v>
      </c>
      <c r="F314" s="2005">
        <v>3000</v>
      </c>
      <c r="G314" s="1344">
        <f>F314*E314</f>
        <v>3000</v>
      </c>
      <c r="H314" s="2004"/>
    </row>
    <row r="315" spans="1:9" x14ac:dyDescent="0.2">
      <c r="A315" s="1997"/>
      <c r="B315" s="2002" t="s">
        <v>701</v>
      </c>
      <c r="C315" s="1212" t="s">
        <v>700</v>
      </c>
      <c r="D315" s="2003"/>
      <c r="E315" s="2004"/>
      <c r="F315" s="2005"/>
      <c r="G315" s="1344"/>
      <c r="H315" s="2004"/>
    </row>
    <row r="316" spans="1:9" x14ac:dyDescent="0.2">
      <c r="A316" s="1997"/>
      <c r="B316" s="2002"/>
      <c r="C316" s="1212" t="s">
        <v>843</v>
      </c>
      <c r="D316" s="2003"/>
      <c r="E316" s="2004"/>
      <c r="F316" s="2005"/>
      <c r="G316" s="1344"/>
      <c r="H316" s="2004">
        <f>SUM(G314:G316)</f>
        <v>3000</v>
      </c>
    </row>
    <row r="317" spans="1:9" x14ac:dyDescent="0.2">
      <c r="A317" s="588" t="s">
        <v>308</v>
      </c>
      <c r="B317" s="1721" t="s">
        <v>869</v>
      </c>
      <c r="C317" s="1722" t="s">
        <v>97</v>
      </c>
      <c r="D317" s="1723" t="s">
        <v>49</v>
      </c>
      <c r="E317" s="1724">
        <v>1</v>
      </c>
      <c r="F317" s="1725">
        <v>3000</v>
      </c>
      <c r="G317" s="1556">
        <f>F317*E317</f>
        <v>3000</v>
      </c>
      <c r="H317" s="1552"/>
    </row>
    <row r="318" spans="1:9" x14ac:dyDescent="0.2">
      <c r="A318" s="588"/>
      <c r="B318" s="1183" t="s">
        <v>701</v>
      </c>
      <c r="C318" s="1722" t="s">
        <v>700</v>
      </c>
      <c r="D318" s="1723"/>
      <c r="E318" s="1724"/>
      <c r="F318" s="1725"/>
      <c r="G318" s="1556">
        <v>0</v>
      </c>
      <c r="H318" s="1552"/>
    </row>
    <row r="319" spans="1:9" x14ac:dyDescent="0.2">
      <c r="A319" s="588"/>
      <c r="B319" s="1721"/>
      <c r="C319" s="1722" t="s">
        <v>843</v>
      </c>
      <c r="D319" s="1723"/>
      <c r="E319" s="1724"/>
      <c r="F319" s="1725"/>
      <c r="G319" s="1556">
        <v>0</v>
      </c>
      <c r="H319" s="1552"/>
    </row>
    <row r="320" spans="1:9" x14ac:dyDescent="0.2">
      <c r="A320" s="588"/>
      <c r="B320" s="1183" t="s">
        <v>702</v>
      </c>
      <c r="C320" s="1722" t="s">
        <v>703</v>
      </c>
      <c r="D320" s="1185" t="s">
        <v>14</v>
      </c>
      <c r="E320" s="1724">
        <v>1</v>
      </c>
      <c r="F320" s="1725">
        <v>1000</v>
      </c>
      <c r="G320" s="1556">
        <f>F320*E320</f>
        <v>1000</v>
      </c>
      <c r="H320" s="1552"/>
    </row>
    <row r="321" spans="1:9" x14ac:dyDescent="0.2">
      <c r="A321" s="588"/>
      <c r="B321" s="1183" t="s">
        <v>704</v>
      </c>
      <c r="C321" s="1722" t="s">
        <v>705</v>
      </c>
      <c r="D321" s="1185" t="s">
        <v>706</v>
      </c>
      <c r="E321" s="1724">
        <v>2</v>
      </c>
      <c r="F321" s="1725">
        <v>500</v>
      </c>
      <c r="G321" s="1556">
        <f>F321*E321</f>
        <v>1000</v>
      </c>
      <c r="H321" s="1552">
        <f>SUM(G317:G321)</f>
        <v>5000</v>
      </c>
    </row>
    <row r="322" spans="1:9" x14ac:dyDescent="0.2">
      <c r="A322" s="2094" t="s">
        <v>951</v>
      </c>
      <c r="B322" s="2218" t="s">
        <v>117</v>
      </c>
      <c r="C322" s="2219" t="s">
        <v>97</v>
      </c>
      <c r="D322" s="2131" t="s">
        <v>49</v>
      </c>
      <c r="E322" s="2217">
        <v>1</v>
      </c>
      <c r="F322" s="2220">
        <v>3000</v>
      </c>
      <c r="G322" s="2221">
        <f>F322*E322</f>
        <v>3000</v>
      </c>
      <c r="H322" s="2222"/>
      <c r="I322" s="2072"/>
    </row>
    <row r="323" spans="1:9" x14ac:dyDescent="0.2">
      <c r="A323" s="2094"/>
      <c r="B323" s="2127" t="s">
        <v>701</v>
      </c>
      <c r="C323" s="2219" t="s">
        <v>700</v>
      </c>
      <c r="D323" s="2131"/>
      <c r="E323" s="2217"/>
      <c r="F323" s="2220"/>
      <c r="G323" s="2221">
        <v>0</v>
      </c>
      <c r="H323" s="2222"/>
      <c r="I323" s="2072"/>
    </row>
    <row r="324" spans="1:9" x14ac:dyDescent="0.2">
      <c r="A324" s="2094"/>
      <c r="B324" s="2218"/>
      <c r="C324" s="2219" t="s">
        <v>698</v>
      </c>
      <c r="D324" s="2131"/>
      <c r="E324" s="2217"/>
      <c r="F324" s="2220"/>
      <c r="G324" s="2221">
        <v>0</v>
      </c>
      <c r="H324" s="2222"/>
      <c r="I324" s="2072"/>
    </row>
    <row r="325" spans="1:9" x14ac:dyDescent="0.2">
      <c r="A325" s="2094"/>
      <c r="B325" s="2095" t="s">
        <v>704</v>
      </c>
      <c r="C325" s="2223" t="s">
        <v>705</v>
      </c>
      <c r="D325" s="2095" t="s">
        <v>706</v>
      </c>
      <c r="E325" s="2221">
        <v>2</v>
      </c>
      <c r="F325" s="2222">
        <v>500</v>
      </c>
      <c r="G325" s="2221">
        <f>F325*E325</f>
        <v>1000</v>
      </c>
      <c r="H325" s="2222">
        <f>SUM(G322:G325)</f>
        <v>4000</v>
      </c>
      <c r="I325" s="2072"/>
    </row>
    <row r="326" spans="1:9" x14ac:dyDescent="0.2">
      <c r="A326" s="617" t="s">
        <v>309</v>
      </c>
      <c r="B326" s="1187" t="s">
        <v>696</v>
      </c>
      <c r="C326" s="1727" t="s">
        <v>97</v>
      </c>
      <c r="D326" s="1728" t="s">
        <v>49</v>
      </c>
      <c r="E326" s="1729">
        <v>1</v>
      </c>
      <c r="F326" s="1730">
        <v>3000</v>
      </c>
      <c r="G326" s="1447">
        <f>F326*E326</f>
        <v>3000</v>
      </c>
      <c r="H326" s="1290"/>
      <c r="I326" s="2072"/>
    </row>
    <row r="327" spans="1:9" x14ac:dyDescent="0.2">
      <c r="A327" s="617"/>
      <c r="B327" s="1187" t="s">
        <v>701</v>
      </c>
      <c r="C327" s="1727" t="s">
        <v>700</v>
      </c>
      <c r="D327" s="1728"/>
      <c r="E327" s="1729"/>
      <c r="F327" s="1730"/>
      <c r="G327" s="1447">
        <v>0</v>
      </c>
      <c r="H327" s="1290"/>
      <c r="I327" s="2072"/>
    </row>
    <row r="328" spans="1:9" x14ac:dyDescent="0.2">
      <c r="A328" s="617"/>
      <c r="B328" s="1448"/>
      <c r="C328" s="1727" t="s">
        <v>699</v>
      </c>
      <c r="D328" s="1728"/>
      <c r="E328" s="1729"/>
      <c r="F328" s="1730"/>
      <c r="G328" s="1447">
        <v>0</v>
      </c>
      <c r="H328" s="1290"/>
      <c r="I328" s="2072"/>
    </row>
    <row r="329" spans="1:9" x14ac:dyDescent="0.2">
      <c r="A329" s="617"/>
      <c r="B329" s="620" t="s">
        <v>704</v>
      </c>
      <c r="C329" s="1288" t="s">
        <v>705</v>
      </c>
      <c r="D329" s="620" t="s">
        <v>706</v>
      </c>
      <c r="E329" s="1447">
        <v>2</v>
      </c>
      <c r="F329" s="1290">
        <v>500</v>
      </c>
      <c r="G329" s="1447">
        <f>F329*E329</f>
        <v>1000</v>
      </c>
      <c r="H329" s="1290">
        <f>SUM(G326:G329)</f>
        <v>4000</v>
      </c>
      <c r="I329" s="2072"/>
    </row>
    <row r="330" spans="1:9" x14ac:dyDescent="0.2">
      <c r="A330" s="1114" t="s">
        <v>949</v>
      </c>
      <c r="B330" s="1253" t="s">
        <v>697</v>
      </c>
      <c r="C330" s="2068" t="s">
        <v>97</v>
      </c>
      <c r="D330" s="1255" t="s">
        <v>49</v>
      </c>
      <c r="E330" s="2069">
        <v>1</v>
      </c>
      <c r="F330" s="2070">
        <v>3000</v>
      </c>
      <c r="G330" s="2073">
        <f>F330*E330</f>
        <v>3000</v>
      </c>
      <c r="H330" s="2074"/>
      <c r="I330" s="2072"/>
    </row>
    <row r="331" spans="1:9" x14ac:dyDescent="0.2">
      <c r="A331" s="1114"/>
      <c r="B331" s="1253" t="s">
        <v>701</v>
      </c>
      <c r="C331" s="2068" t="s">
        <v>700</v>
      </c>
      <c r="D331" s="2067"/>
      <c r="E331" s="2069"/>
      <c r="F331" s="2070"/>
      <c r="G331" s="2073">
        <v>0</v>
      </c>
      <c r="H331" s="2074"/>
    </row>
    <row r="332" spans="1:9" x14ac:dyDescent="0.2">
      <c r="A332" s="1114"/>
      <c r="B332" s="2071"/>
      <c r="C332" s="2068" t="s">
        <v>699</v>
      </c>
      <c r="D332" s="2067"/>
      <c r="E332" s="2069"/>
      <c r="F332" s="2070"/>
      <c r="G332" s="2073">
        <v>0</v>
      </c>
      <c r="H332" s="2074"/>
    </row>
    <row r="333" spans="1:9" x14ac:dyDescent="0.2">
      <c r="A333" s="1114"/>
      <c r="B333" s="1253" t="s">
        <v>704</v>
      </c>
      <c r="C333" s="2068" t="s">
        <v>705</v>
      </c>
      <c r="D333" s="1255" t="s">
        <v>706</v>
      </c>
      <c r="E333" s="2069">
        <v>2</v>
      </c>
      <c r="F333" s="2070">
        <v>500</v>
      </c>
      <c r="G333" s="2073">
        <f>F333*E333</f>
        <v>1000</v>
      </c>
      <c r="H333" s="2074">
        <f>SUM(G330:G333)</f>
        <v>4000</v>
      </c>
    </row>
    <row r="334" spans="1:9" x14ac:dyDescent="0.2">
      <c r="A334" s="78" t="s">
        <v>211</v>
      </c>
      <c r="B334" s="50"/>
      <c r="C334" s="232"/>
      <c r="D334" s="50"/>
      <c r="E334" s="27"/>
      <c r="F334" s="51"/>
      <c r="G334" s="27"/>
      <c r="H334" s="51">
        <f>SUM(H308:H333)</f>
        <v>27000</v>
      </c>
    </row>
    <row r="335" spans="1:9" x14ac:dyDescent="0.2">
      <c r="A335" s="79" t="s">
        <v>13</v>
      </c>
      <c r="B335" s="18"/>
      <c r="C335" s="236"/>
      <c r="D335" s="18"/>
      <c r="E335" s="33"/>
      <c r="F335" s="33"/>
      <c r="G335" s="33"/>
      <c r="H335" s="34">
        <f>WP3_SEC1_subtotal+WP3_SEC2_subtotal+WP3_SEC3_subtotal+WP3_SEC4_subtotal+WP3_SEC5_subtotal</f>
        <v>526158</v>
      </c>
    </row>
    <row r="336" spans="1:9" ht="14.25" x14ac:dyDescent="0.2">
      <c r="A336" s="140" t="s">
        <v>87</v>
      </c>
      <c r="B336" s="141" t="s">
        <v>122</v>
      </c>
      <c r="C336" s="237"/>
      <c r="D336" s="141"/>
      <c r="E336" s="142"/>
      <c r="F336" s="142"/>
      <c r="G336" s="142"/>
      <c r="H336" s="186">
        <f>H210*0.6</f>
        <v>244161.59999999998</v>
      </c>
      <c r="I336" s="66"/>
    </row>
    <row r="337" spans="1:8" ht="15.75" x14ac:dyDescent="0.25">
      <c r="A337" s="79" t="s">
        <v>11</v>
      </c>
      <c r="B337" s="10"/>
      <c r="C337" s="236"/>
      <c r="D337" s="10"/>
      <c r="E337" s="31"/>
      <c r="F337" s="31"/>
      <c r="G337" s="31"/>
      <c r="H337" s="32">
        <f>H336+H335</f>
        <v>770319.6</v>
      </c>
    </row>
  </sheetData>
  <sheetProtection password="A72F" sheet="1" objects="1" scenarios="1"/>
  <phoneticPr fontId="0" type="noConversion"/>
  <dataValidations count="91">
    <dataValidation type="list" allowBlank="1" showInputMessage="1" showErrorMessage="1" error="This name is not cecognized" sqref="A1 A202:A205 A238:A240 A233:A235 A228:A230 A225 A220:A222 A208 A297:A298 A289:A290 A285:A286 A199 A279:A280 A275:A276 A196 A269:A270 A265:A266 A188:A193 A259:A260 A183:A185 A180 A172:A177 A164:A169 A160 A245:A246">
      <formula1>partners_list</formula1>
    </dataValidation>
    <dataValidation type="list" allowBlank="1" showInputMessage="1" showErrorMessage="1" error="This name is not cecognized" sqref="B122:B124">
      <formula1>P12_employees</formula1>
    </dataValidation>
    <dataValidation type="list" allowBlank="1" showInputMessage="1" showErrorMessage="1" error="This name is not cecognized" sqref="B17:B26">
      <formula1>P2_employees</formula1>
    </dataValidation>
    <dataValidation type="list" allowBlank="1" showInputMessage="1" showErrorMessage="1" error="This name is not cecognized" sqref="B187:B194">
      <formula1>P23_employees</formula1>
    </dataValidation>
    <dataValidation type="list" allowBlank="1" showInputMessage="1" showErrorMessage="1" error="This name is not cecognized" sqref="B6:B16">
      <formula1>CO_employees</formula1>
    </dataValidation>
    <dataValidation type="list" allowBlank="1" showInputMessage="1" showErrorMessage="1" error="This name is not cecognized" sqref="B71:B87">
      <formula1>P6_employees</formula1>
    </dataValidation>
    <dataValidation type="list" allowBlank="1" showInputMessage="1" showErrorMessage="1" error="This name is not cecognized" sqref="B40:B55">
      <formula1>P4_employees</formula1>
    </dataValidation>
    <dataValidation type="list" allowBlank="1" showInputMessage="1" showErrorMessage="1" error="This name is not cecognized" sqref="B27:B39">
      <formula1>P3_employees</formula1>
    </dataValidation>
    <dataValidation type="list" allowBlank="1" showInputMessage="1" showErrorMessage="1" error="This name is not cecognized" sqref="B95:B108">
      <formula1>P8_employees</formula1>
    </dataValidation>
    <dataValidation type="list" allowBlank="1" showInputMessage="1" showErrorMessage="1" error="This name is not cecognized" sqref="B109:B111">
      <formula1>P9_employees</formula1>
    </dataValidation>
    <dataValidation type="list" allowBlank="1" showInputMessage="1" showErrorMessage="1" error="This name is not cecognized" sqref="B112:B114">
      <formula1>P10_employees</formula1>
    </dataValidation>
    <dataValidation type="list" allowBlank="1" showInputMessage="1" showErrorMessage="1" error="This name is not cecognized" sqref="B163:B170">
      <formula1>P19_employees</formula1>
    </dataValidation>
    <dataValidation type="list" allowBlank="1" showInputMessage="1" showErrorMessage="1" error="This name is not cecognized" sqref="B140:B142">
      <formula1>P15_employees</formula1>
    </dataValidation>
    <dataValidation type="list" allowBlank="1" showInputMessage="1" showErrorMessage="1" error="This name is not cecognized" sqref="B151:B158">
      <formula1>P17_employees</formula1>
    </dataValidation>
    <dataValidation type="list" allowBlank="1" showInputMessage="1" showErrorMessage="1" error="This name is not cecognized" sqref="B159:B162">
      <formula1>P18_employees</formula1>
    </dataValidation>
    <dataValidation type="list" allowBlank="1" showInputMessage="1" showErrorMessage="1" error="This name is not cecognized" sqref="B143:B150">
      <formula1>P16_employees</formula1>
    </dataValidation>
    <dataValidation type="list" allowBlank="1" showInputMessage="1" showErrorMessage="1" error="This name is not cecognized" sqref="B171:B178">
      <formula1>P20_employees</formula1>
    </dataValidation>
    <dataValidation type="list" allowBlank="1" showInputMessage="1" showErrorMessage="1" error="This name is not cecognized" sqref="B179:B181">
      <formula1>P21_employees</formula1>
    </dataValidation>
    <dataValidation type="list" allowBlank="1" showInputMessage="1" showErrorMessage="1" error="This name is not cecognized" sqref="B195:B197">
      <formula1>P24_employees</formula1>
    </dataValidation>
    <dataValidation type="list" allowBlank="1" showInputMessage="1" showErrorMessage="1" error="This name is not cecognized" sqref="B115:B121">
      <formula1>P11_employees</formula1>
    </dataValidation>
    <dataValidation type="list" allowBlank="1" showInputMessage="1" showErrorMessage="1" error="This name is not cecognized" sqref="B56:B70">
      <formula1>P5_employees</formula1>
    </dataValidation>
    <dataValidation type="list" allowBlank="1" showInputMessage="1" showErrorMessage="1" error="This name is not cecognized" sqref="B88:B94">
      <formula1>P7_employees</formula1>
    </dataValidation>
    <dataValidation type="list" allowBlank="1" showInputMessage="1" showErrorMessage="1" error="This name is not cecognized" sqref="B132:B139">
      <formula1>P14_employees</formula1>
    </dataValidation>
    <dataValidation type="list" allowBlank="1" showInputMessage="1" showErrorMessage="1" error="This name is not cecognized" sqref="B125:B131">
      <formula1>P13_employees</formula1>
    </dataValidation>
    <dataValidation type="list" allowBlank="1" showInputMessage="1" showErrorMessage="1" error="This name is not cecognized" sqref="B182:B186">
      <formula1>P22_employees</formula1>
    </dataValidation>
    <dataValidation type="list" allowBlank="1" showInputMessage="1" showErrorMessage="1" error="This name is not cecognized" sqref="B198:B200">
      <formula1>P25_employees</formula1>
    </dataValidation>
    <dataValidation type="list" allowBlank="1" showInputMessage="1" showErrorMessage="1" error="This name is not cecognized" sqref="B201:B206">
      <formula1>P26_employees</formula1>
    </dataValidation>
    <dataValidation type="list" allowBlank="1" showInputMessage="1" showErrorMessage="1" error="This name is not cecognized" sqref="B207:B209">
      <formula1>P27_employees</formula1>
    </dataValidation>
    <dataValidation type="list" allowBlank="1" showInputMessage="1" showErrorMessage="1" error="This name is not cecognized" sqref="A6">
      <formula1>partners_list</formula1>
    </dataValidation>
    <dataValidation type="list" allowBlank="1" showInputMessage="1" showErrorMessage="1" error="This name is not cecognized" sqref="A17">
      <formula1>partners_list</formula1>
    </dataValidation>
    <dataValidation type="list" allowBlank="1" showInputMessage="1" showErrorMessage="1" error="This name is not cecognized" sqref="A27">
      <formula1>partners_list</formula1>
    </dataValidation>
    <dataValidation type="list" allowBlank="1" showInputMessage="1" showErrorMessage="1" error="This name is not cecognized" sqref="A40">
      <formula1>partners_list</formula1>
    </dataValidation>
    <dataValidation type="list" allowBlank="1" showInputMessage="1" showErrorMessage="1" error="This name is not cecognized" sqref="A56">
      <formula1>partners_list</formula1>
    </dataValidation>
    <dataValidation type="list" allowBlank="1" showInputMessage="1" showErrorMessage="1" error="This name is not cecognized" sqref="A71">
      <formula1>partners_list</formula1>
    </dataValidation>
    <dataValidation type="list" allowBlank="1" showInputMessage="1" showErrorMessage="1" error="This name is not cecognized" sqref="A88">
      <formula1>partners_list</formula1>
    </dataValidation>
    <dataValidation type="list" allowBlank="1" showInputMessage="1" showErrorMessage="1" error="This name is not cecognized" sqref="A95">
      <formula1>partners_list</formula1>
    </dataValidation>
    <dataValidation type="list" allowBlank="1" showInputMessage="1" showErrorMessage="1" error="This name is not cecognized" sqref="A109">
      <formula1>partners_list</formula1>
    </dataValidation>
    <dataValidation type="list" allowBlank="1" showInputMessage="1" showErrorMessage="1" error="This name is not cecognized" sqref="A112">
      <formula1>partners_list</formula1>
    </dataValidation>
    <dataValidation type="list" allowBlank="1" showInputMessage="1" showErrorMessage="1" error="This name is not cecognized" sqref="A115">
      <formula1>partners_list</formula1>
    </dataValidation>
    <dataValidation type="list" allowBlank="1" showInputMessage="1" showErrorMessage="1" error="This name is not cecognized" sqref="A122">
      <formula1>partners_list</formula1>
    </dataValidation>
    <dataValidation type="list" allowBlank="1" showInputMessage="1" showErrorMessage="1" error="This name is not cecognized" sqref="A125">
      <formula1>partners_list</formula1>
    </dataValidation>
    <dataValidation type="list" allowBlank="1" showInputMessage="1" showErrorMessage="1" error="This name is not cecognized" sqref="A132">
      <formula1>partners_list</formula1>
    </dataValidation>
    <dataValidation type="list" allowBlank="1" showInputMessage="1" showErrorMessage="1" error="This name is not cecognized" sqref="A140">
      <formula1>partners_list</formula1>
    </dataValidation>
    <dataValidation type="list" allowBlank="1" showInputMessage="1" showErrorMessage="1" error="This name is not cecognized" sqref="A143">
      <formula1>partners_list</formula1>
    </dataValidation>
    <dataValidation type="list" allowBlank="1" showInputMessage="1" showErrorMessage="1" error="This name is not cecognized" sqref="A151">
      <formula1>partners_list</formula1>
    </dataValidation>
    <dataValidation type="list" allowBlank="1" showInputMessage="1" showErrorMessage="1" error="This name is not cecognized" sqref="A159">
      <formula1>partners_list</formula1>
    </dataValidation>
    <dataValidation type="list" allowBlank="1" showInputMessage="1" showErrorMessage="1" error="This name is not cecognized" sqref="A163">
      <formula1>partners_list</formula1>
    </dataValidation>
    <dataValidation type="list" allowBlank="1" showInputMessage="1" showErrorMessage="1" error="This name is not cecognized" sqref="A171">
      <formula1>partners_list</formula1>
    </dataValidation>
    <dataValidation type="list" allowBlank="1" showInputMessage="1" showErrorMessage="1" error="This name is not cecognized" sqref="A179">
      <formula1>partners_list</formula1>
    </dataValidation>
    <dataValidation type="list" allowBlank="1" showInputMessage="1" showErrorMessage="1" error="This name is not cecognized" sqref="A182">
      <formula1>partners_list</formula1>
    </dataValidation>
    <dataValidation type="list" allowBlank="1" showInputMessage="1" showErrorMessage="1" error="This name is not cecognized" sqref="A187">
      <formula1>partners_list</formula1>
    </dataValidation>
    <dataValidation type="list" allowBlank="1" showInputMessage="1" showErrorMessage="1" error="This name is not cecognized" sqref="A195">
      <formula1>partners_list</formula1>
    </dataValidation>
    <dataValidation type="list" allowBlank="1" showInputMessage="1" showErrorMessage="1" error="This name is not cecognized" sqref="A198">
      <formula1>partners_list</formula1>
    </dataValidation>
    <dataValidation type="list" allowBlank="1" showInputMessage="1" showErrorMessage="1" error="This name is not cecognized" sqref="A201">
      <formula1>partners_list</formula1>
    </dataValidation>
    <dataValidation type="list" allowBlank="1" showInputMessage="1" showErrorMessage="1" error="This name is not cecognized" sqref="A207">
      <formula1>partners_list</formula1>
    </dataValidation>
    <dataValidation type="list" allowBlank="1" showInputMessage="1" showErrorMessage="1" error="This name is not cecognized" sqref="A212">
      <formula1>partners_list</formula1>
    </dataValidation>
    <dataValidation type="list" allowBlank="1" showInputMessage="1" showErrorMessage="1" error="This name is not cecognized" sqref="A215">
      <formula1>partners_list</formula1>
    </dataValidation>
    <dataValidation type="list" allowBlank="1" showInputMessage="1" showErrorMessage="1" error="This name is not cecognized" sqref="A219">
      <formula1>partners_list</formula1>
    </dataValidation>
    <dataValidation type="list" allowBlank="1" showInputMessage="1" showErrorMessage="1" error="This name is not cecognized" sqref="A224">
      <formula1>partners_list</formula1>
    </dataValidation>
    <dataValidation type="list" allowBlank="1" showInputMessage="1" showErrorMessage="1" error="This name is not cecognized" sqref="A227">
      <formula1>partners_list</formula1>
    </dataValidation>
    <dataValidation type="list" allowBlank="1" showInputMessage="1" showErrorMessage="1" error="This name is not cecognized" sqref="A232">
      <formula1>partners_list</formula1>
    </dataValidation>
    <dataValidation type="list" allowBlank="1" showInputMessage="1" showErrorMessage="1" error="This name is not cecognized" sqref="A237">
      <formula1>partners_list</formula1>
    </dataValidation>
    <dataValidation type="list" allowBlank="1" showInputMessage="1" showErrorMessage="1" error="This name is not cecognized" sqref="A242">
      <formula1>partners_list</formula1>
    </dataValidation>
    <dataValidation type="list" allowBlank="1" showInputMessage="1" showErrorMessage="1" error="This name is not cecognized" sqref="A244">
      <formula1>partners_list</formula1>
    </dataValidation>
    <dataValidation type="list" allowBlank="1" showInputMessage="1" showErrorMessage="1" error="This name is not cecognized" sqref="A248">
      <formula1>partners_list</formula1>
    </dataValidation>
    <dataValidation type="list" allowBlank="1" showInputMessage="1" showErrorMessage="1" error="This name is not cecognized" sqref="A250">
      <formula1>partners_list</formula1>
    </dataValidation>
    <dataValidation type="list" allowBlank="1" showInputMessage="1" showErrorMessage="1" error="This name is not cecognized" sqref="A252">
      <formula1>partners_list</formula1>
    </dataValidation>
    <dataValidation type="list" allowBlank="1" showInputMessage="1" showErrorMessage="1" error="This name is not cecognized" sqref="A254">
      <formula1>partners_list</formula1>
    </dataValidation>
    <dataValidation type="list" allowBlank="1" showInputMessage="1" showErrorMessage="1" error="This name is not cecognized" sqref="A256">
      <formula1>partners_list</formula1>
    </dataValidation>
    <dataValidation type="list" allowBlank="1" showInputMessage="1" showErrorMessage="1" error="This name is not cecognized" sqref="A258">
      <formula1>partners_list</formula1>
    </dataValidation>
    <dataValidation type="list" allowBlank="1" showInputMessage="1" showErrorMessage="1" error="This name is not cecognized" sqref="A262">
      <formula1>partners_list</formula1>
    </dataValidation>
    <dataValidation type="list" allowBlank="1" showInputMessage="1" showErrorMessage="1" error="This name is not cecognized" sqref="A264">
      <formula1>partners_list</formula1>
    </dataValidation>
    <dataValidation type="list" allowBlank="1" showInputMessage="1" showErrorMessage="1" error="This name is not cecognized" sqref="A268">
      <formula1>partners_list</formula1>
    </dataValidation>
    <dataValidation type="list" allowBlank="1" showInputMessage="1" showErrorMessage="1" error="This name is not cecognized" sqref="A272">
      <formula1>partners_list</formula1>
    </dataValidation>
    <dataValidation type="list" allowBlank="1" showInputMessage="1" showErrorMessage="1" error="This name is not cecognized" sqref="A274">
      <formula1>partners_list</formula1>
    </dataValidation>
    <dataValidation type="list" allowBlank="1" showInputMessage="1" showErrorMessage="1" error="This name is not cecognized" sqref="A278">
      <formula1>partners_list</formula1>
    </dataValidation>
    <dataValidation type="list" allowBlank="1" showInputMessage="1" showErrorMessage="1" error="This name is not cecognized" sqref="A282">
      <formula1>partners_list</formula1>
    </dataValidation>
    <dataValidation type="list" allowBlank="1" showInputMessage="1" showErrorMessage="1" error="This name is not cecognized" sqref="A284">
      <formula1>partners_list</formula1>
    </dataValidation>
    <dataValidation type="list" allowBlank="1" showInputMessage="1" showErrorMessage="1" error="This name is not cecognized" sqref="A288">
      <formula1>partners_list</formula1>
    </dataValidation>
    <dataValidation type="list" allowBlank="1" showInputMessage="1" showErrorMessage="1" error="This name is not cecognized" sqref="A292">
      <formula1>partners_list</formula1>
    </dataValidation>
    <dataValidation type="list" allowBlank="1" showInputMessage="1" showErrorMessage="1" error="This name is not cecognized" sqref="A294">
      <formula1>partners_list</formula1>
    </dataValidation>
    <dataValidation type="list" allowBlank="1" showInputMessage="1" showErrorMessage="1" error="This name is not cecognized" sqref="A296">
      <formula1>partners_list</formula1>
    </dataValidation>
    <dataValidation type="list" allowBlank="1" showInputMessage="1" showErrorMessage="1" error="This name is not cecognized" sqref="A300">
      <formula1>partners_list</formula1>
    </dataValidation>
    <dataValidation type="list" allowBlank="1" showInputMessage="1" showErrorMessage="1" error="This name is not cecognized" sqref="A304">
      <formula1>partners_list</formula1>
    </dataValidation>
    <dataValidation type="list" allowBlank="1" showInputMessage="1" showErrorMessage="1" error="This name is not cecognized" sqref="A308">
      <formula1>partners_list</formula1>
    </dataValidation>
    <dataValidation type="list" allowBlank="1" showInputMessage="1" showErrorMessage="1" error="This name is not cecognized" sqref="A311">
      <formula1>partners_list</formula1>
    </dataValidation>
    <dataValidation type="list" allowBlank="1" showInputMessage="1" showErrorMessage="1" error="This name is not cecognized" sqref="A314">
      <formula1>partners_list</formula1>
    </dataValidation>
    <dataValidation type="list" allowBlank="1" showInputMessage="1" showErrorMessage="1" error="This name is not cecognized" sqref="A317">
      <formula1>partners_list</formula1>
    </dataValidation>
    <dataValidation type="list" allowBlank="1" showInputMessage="1" showErrorMessage="1" error="This name is not cecognized" sqref="A322">
      <formula1>partners_list</formula1>
    </dataValidation>
    <dataValidation type="list" allowBlank="1" showInputMessage="1" showErrorMessage="1" error="This name is not cecognized" sqref="A326">
      <formula1>partners_list</formula1>
    </dataValidation>
    <dataValidation type="list" allowBlank="1" showInputMessage="1" showErrorMessage="1" error="This name is not cecognized" sqref="A330">
      <formula1>partners_list</formula1>
    </dataValidation>
  </dataValidations>
  <pageMargins left="0.45" right="0.57999999999999996" top="0.56000000000000005" bottom="0.56999999999999995" header="0.5" footer="0.5"/>
  <pageSetup scale="78" orientation="landscape" r:id="rId1"/>
  <headerFooter alignWithMargins="0"/>
  <rowBreaks count="3" manualBreakCount="3">
    <brk id="57" max="7" man="1"/>
    <brk id="160" max="7" man="1"/>
    <brk id="210"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255" r:id="rId4" name="Button 87">
              <controlPr defaultSize="0" print="0" autoFill="0" autoPict="0" macro="[0]!btnAddPartnerToSection_Click">
                <anchor moveWithCells="1" sizeWithCells="1">
                  <from>
                    <xdr:col>4</xdr:col>
                    <xdr:colOff>47625</xdr:colOff>
                    <xdr:row>0</xdr:row>
                    <xdr:rowOff>19050</xdr:rowOff>
                  </from>
                  <to>
                    <xdr:col>6</xdr:col>
                    <xdr:colOff>276225</xdr:colOff>
                    <xdr:row>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289"/>
  <sheetViews>
    <sheetView zoomScaleNormal="100" workbookViewId="0">
      <selection activeCell="H190" sqref="B190:H190"/>
    </sheetView>
  </sheetViews>
  <sheetFormatPr defaultColWidth="9.140625" defaultRowHeight="12.75" x14ac:dyDescent="0.2"/>
  <cols>
    <col min="1" max="1" width="12" style="74" customWidth="1"/>
    <col min="2" max="2" width="21.42578125" style="1" customWidth="1"/>
    <col min="3" max="3" width="60.7109375" style="229" customWidth="1"/>
    <col min="4" max="4" width="12.85546875" style="1" customWidth="1"/>
    <col min="5" max="5" width="13.5703125" style="19" customWidth="1"/>
    <col min="6" max="6" width="13.140625" style="19" customWidth="1"/>
    <col min="7" max="7" width="13.28515625" style="19" customWidth="1"/>
    <col min="8" max="8" width="13.7109375" style="19" customWidth="1"/>
    <col min="9" max="9" width="35.28515625" style="2072" customWidth="1"/>
    <col min="10" max="256" width="11.42578125" customWidth="1"/>
  </cols>
  <sheetData>
    <row r="1" spans="1:9" ht="20.25" x14ac:dyDescent="0.3">
      <c r="A1" s="328" t="s">
        <v>143</v>
      </c>
    </row>
    <row r="2" spans="1:9" s="35" customFormat="1" ht="18" x14ac:dyDescent="0.25">
      <c r="A2" s="334" t="s">
        <v>368</v>
      </c>
      <c r="B2" s="334"/>
      <c r="C2" s="340"/>
      <c r="D2" s="334"/>
      <c r="E2" s="336"/>
      <c r="F2" s="336"/>
      <c r="G2" s="336"/>
      <c r="H2" s="336"/>
      <c r="I2" s="2484"/>
    </row>
    <row r="4" spans="1:9" x14ac:dyDescent="0.2">
      <c r="A4" s="75" t="s">
        <v>0</v>
      </c>
      <c r="B4" s="13" t="s">
        <v>1</v>
      </c>
      <c r="C4" s="230" t="s">
        <v>2</v>
      </c>
      <c r="D4" s="13" t="s">
        <v>3</v>
      </c>
      <c r="E4" s="20" t="s">
        <v>4</v>
      </c>
      <c r="F4" s="20" t="s">
        <v>7</v>
      </c>
      <c r="G4" s="20" t="s">
        <v>5</v>
      </c>
      <c r="H4" s="20" t="s">
        <v>6</v>
      </c>
      <c r="I4" s="2494"/>
    </row>
    <row r="5" spans="1:9" x14ac:dyDescent="0.2">
      <c r="A5" s="76" t="s">
        <v>23</v>
      </c>
      <c r="B5" s="6"/>
      <c r="C5" s="231"/>
      <c r="D5" s="6"/>
      <c r="E5" s="21"/>
      <c r="F5" s="21"/>
      <c r="G5" s="21"/>
      <c r="H5" s="22">
        <f>SUM(G5:G5)</f>
        <v>0</v>
      </c>
    </row>
    <row r="6" spans="1:9" x14ac:dyDescent="0.2">
      <c r="A6" s="83" t="s">
        <v>107</v>
      </c>
      <c r="B6" s="121" t="s">
        <v>150</v>
      </c>
      <c r="C6" s="240" t="s">
        <v>329</v>
      </c>
      <c r="D6" s="241" t="s">
        <v>17</v>
      </c>
      <c r="E6" s="242">
        <v>0</v>
      </c>
      <c r="F6" s="243">
        <f>salaries!H3</f>
        <v>26</v>
      </c>
      <c r="G6" s="242">
        <f>F6*E6</f>
        <v>0</v>
      </c>
      <c r="H6" s="88"/>
      <c r="I6" s="2471"/>
    </row>
    <row r="7" spans="1:9" x14ac:dyDescent="0.2">
      <c r="A7" s="83"/>
      <c r="B7" s="86"/>
      <c r="C7" s="239"/>
      <c r="D7" s="238"/>
      <c r="E7" s="178"/>
      <c r="F7" s="69"/>
      <c r="G7" s="70"/>
      <c r="H7" s="69"/>
      <c r="I7" s="2471"/>
    </row>
    <row r="8" spans="1:9" x14ac:dyDescent="0.2">
      <c r="A8" s="83"/>
      <c r="B8" s="124" t="s">
        <v>155</v>
      </c>
      <c r="C8" s="240" t="s">
        <v>329</v>
      </c>
      <c r="D8" s="244" t="s">
        <v>17</v>
      </c>
      <c r="E8" s="242">
        <f>SUM(E9:E10)</f>
        <v>56</v>
      </c>
      <c r="F8" s="245">
        <f>salaries!H4</f>
        <v>29</v>
      </c>
      <c r="G8" s="242">
        <f>F8*E8</f>
        <v>1624</v>
      </c>
      <c r="H8" s="69"/>
      <c r="I8" s="2471"/>
    </row>
    <row r="9" spans="1:9" x14ac:dyDescent="0.2">
      <c r="A9" s="83"/>
      <c r="B9" s="86"/>
      <c r="C9" s="239" t="s">
        <v>367</v>
      </c>
      <c r="D9" s="238"/>
      <c r="E9" s="178">
        <v>40</v>
      </c>
      <c r="F9" s="69"/>
      <c r="G9" s="70"/>
      <c r="H9" s="69"/>
      <c r="I9" s="2471"/>
    </row>
    <row r="10" spans="1:9" x14ac:dyDescent="0.2">
      <c r="A10" s="83"/>
      <c r="B10" s="86"/>
      <c r="C10" s="239" t="s">
        <v>751</v>
      </c>
      <c r="D10" s="238"/>
      <c r="E10" s="178">
        <v>16</v>
      </c>
      <c r="F10" s="69"/>
      <c r="G10" s="70"/>
      <c r="H10" s="69"/>
      <c r="I10" s="2471"/>
    </row>
    <row r="11" spans="1:9" x14ac:dyDescent="0.2">
      <c r="A11" s="83"/>
      <c r="B11" s="124" t="s">
        <v>160</v>
      </c>
      <c r="C11" s="240" t="s">
        <v>324</v>
      </c>
      <c r="D11" s="244" t="s">
        <v>17</v>
      </c>
      <c r="E11" s="242">
        <f>SUM(E12:E12)</f>
        <v>80</v>
      </c>
      <c r="F11" s="245">
        <f>salaries!H6</f>
        <v>26</v>
      </c>
      <c r="G11" s="242">
        <f>F11*E11</f>
        <v>2080</v>
      </c>
      <c r="H11" s="69"/>
      <c r="I11" s="2471"/>
    </row>
    <row r="12" spans="1:9" x14ac:dyDescent="0.2">
      <c r="A12" s="83"/>
      <c r="B12" s="86"/>
      <c r="C12" s="233" t="s">
        <v>366</v>
      </c>
      <c r="D12" s="238"/>
      <c r="E12" s="178">
        <v>80</v>
      </c>
      <c r="F12" s="69"/>
      <c r="G12" s="70"/>
      <c r="H12" s="69"/>
      <c r="I12" s="2471"/>
    </row>
    <row r="13" spans="1:9" x14ac:dyDescent="0.2">
      <c r="A13" s="83"/>
      <c r="B13" s="124" t="s">
        <v>156</v>
      </c>
      <c r="C13" s="240" t="s">
        <v>123</v>
      </c>
      <c r="D13" s="244" t="s">
        <v>17</v>
      </c>
      <c r="E13" s="242">
        <v>0</v>
      </c>
      <c r="F13" s="245">
        <f>salaries!H5</f>
        <v>60</v>
      </c>
      <c r="G13" s="242">
        <f>F13*E13</f>
        <v>0</v>
      </c>
      <c r="H13" s="69"/>
      <c r="I13" s="2471"/>
    </row>
    <row r="14" spans="1:9" x14ac:dyDescent="0.2">
      <c r="A14" s="525"/>
      <c r="B14" s="526"/>
      <c r="C14" s="527"/>
      <c r="D14" s="528"/>
      <c r="E14" s="529"/>
      <c r="F14" s="530"/>
      <c r="G14" s="531"/>
      <c r="H14" s="530">
        <f>SUM(G6:G14)</f>
        <v>3704</v>
      </c>
      <c r="I14" s="2471"/>
    </row>
    <row r="15" spans="1:9" x14ac:dyDescent="0.2">
      <c r="A15" s="557" t="s">
        <v>204</v>
      </c>
      <c r="B15" s="558" t="s">
        <v>183</v>
      </c>
      <c r="C15" s="559" t="s">
        <v>324</v>
      </c>
      <c r="D15" s="560" t="s">
        <v>17</v>
      </c>
      <c r="E15" s="561">
        <f>SUM(E16:E20)</f>
        <v>744</v>
      </c>
      <c r="F15" s="562">
        <f>salaries!H12</f>
        <v>27</v>
      </c>
      <c r="G15" s="561">
        <f>F15*E15</f>
        <v>20088</v>
      </c>
      <c r="H15" s="547"/>
      <c r="I15" s="2382"/>
    </row>
    <row r="16" spans="1:9" ht="22.5" x14ac:dyDescent="0.2">
      <c r="A16" s="557"/>
      <c r="B16" s="558"/>
      <c r="C16" s="1410" t="s">
        <v>773</v>
      </c>
      <c r="D16" s="558"/>
      <c r="E16" s="564">
        <f>48*8</f>
        <v>384</v>
      </c>
      <c r="F16" s="547"/>
      <c r="G16" s="564"/>
      <c r="H16" s="547"/>
      <c r="I16" s="2382"/>
    </row>
    <row r="17" spans="1:9" x14ac:dyDescent="0.2">
      <c r="A17" s="557"/>
      <c r="B17" s="558"/>
      <c r="C17" s="1410" t="s">
        <v>760</v>
      </c>
      <c r="D17" s="558"/>
      <c r="E17" s="564">
        <v>80</v>
      </c>
      <c r="F17" s="547"/>
      <c r="G17" s="564"/>
      <c r="H17" s="547"/>
      <c r="I17" s="2382"/>
    </row>
    <row r="18" spans="1:9" ht="22.5" x14ac:dyDescent="0.2">
      <c r="A18" s="557"/>
      <c r="B18" s="558"/>
      <c r="C18" s="1771" t="s">
        <v>765</v>
      </c>
      <c r="D18" s="558"/>
      <c r="E18" s="564">
        <v>120</v>
      </c>
      <c r="F18" s="547"/>
      <c r="G18" s="564"/>
      <c r="H18" s="547"/>
      <c r="I18" s="2383"/>
    </row>
    <row r="19" spans="1:9" x14ac:dyDescent="0.2">
      <c r="A19" s="557"/>
      <c r="B19" s="558"/>
      <c r="C19" s="1771" t="s">
        <v>761</v>
      </c>
      <c r="D19" s="558"/>
      <c r="E19" s="564"/>
      <c r="F19" s="547"/>
      <c r="G19" s="564"/>
      <c r="H19" s="547"/>
      <c r="I19" s="2383"/>
    </row>
    <row r="20" spans="1:9" x14ac:dyDescent="0.2">
      <c r="A20" s="557"/>
      <c r="B20" s="558"/>
      <c r="C20" s="563" t="s">
        <v>766</v>
      </c>
      <c r="D20" s="558"/>
      <c r="E20" s="564">
        <v>160</v>
      </c>
      <c r="F20" s="547"/>
      <c r="G20" s="564"/>
      <c r="H20" s="547"/>
      <c r="I20" s="2382"/>
    </row>
    <row r="21" spans="1:9" x14ac:dyDescent="0.2">
      <c r="A21" s="557"/>
      <c r="B21" s="558" t="s">
        <v>186</v>
      </c>
      <c r="C21" s="559" t="s">
        <v>324</v>
      </c>
      <c r="D21" s="560" t="s">
        <v>17</v>
      </c>
      <c r="E21" s="561">
        <f>SUM(E22:E26)</f>
        <v>680</v>
      </c>
      <c r="F21" s="562">
        <f>salaries!H15</f>
        <v>20</v>
      </c>
      <c r="G21" s="561">
        <f>F21*E21</f>
        <v>13600</v>
      </c>
      <c r="H21" s="562"/>
      <c r="I21" s="2471"/>
    </row>
    <row r="22" spans="1:9" x14ac:dyDescent="0.2">
      <c r="A22" s="557"/>
      <c r="B22" s="558"/>
      <c r="C22" s="563" t="s">
        <v>763</v>
      </c>
      <c r="D22" s="558"/>
      <c r="E22" s="564">
        <v>160</v>
      </c>
      <c r="F22" s="547"/>
      <c r="G22" s="564"/>
      <c r="H22" s="547"/>
      <c r="I22" s="2382"/>
    </row>
    <row r="23" spans="1:9" x14ac:dyDescent="0.2">
      <c r="A23" s="557"/>
      <c r="B23" s="558"/>
      <c r="C23" s="1410" t="s">
        <v>760</v>
      </c>
      <c r="D23" s="558"/>
      <c r="E23" s="564">
        <v>40</v>
      </c>
      <c r="F23" s="547"/>
      <c r="G23" s="564"/>
      <c r="H23" s="547"/>
      <c r="I23" s="2382"/>
    </row>
    <row r="24" spans="1:9" ht="22.5" x14ac:dyDescent="0.2">
      <c r="A24" s="557"/>
      <c r="B24" s="558"/>
      <c r="C24" s="1771" t="s">
        <v>764</v>
      </c>
      <c r="D24" s="558"/>
      <c r="E24" s="564">
        <v>160</v>
      </c>
      <c r="F24" s="547"/>
      <c r="G24" s="564"/>
      <c r="H24" s="547"/>
      <c r="I24" s="2382"/>
    </row>
    <row r="25" spans="1:9" x14ac:dyDescent="0.2">
      <c r="A25" s="557"/>
      <c r="B25" s="558"/>
      <c r="C25" s="1771" t="s">
        <v>761</v>
      </c>
      <c r="D25" s="558"/>
      <c r="E25" s="564">
        <v>160</v>
      </c>
      <c r="F25" s="547"/>
      <c r="G25" s="564"/>
      <c r="H25" s="547"/>
      <c r="I25" s="2382"/>
    </row>
    <row r="26" spans="1:9" x14ac:dyDescent="0.2">
      <c r="A26" s="580"/>
      <c r="B26" s="578"/>
      <c r="C26" s="1772" t="s">
        <v>762</v>
      </c>
      <c r="D26" s="578"/>
      <c r="E26" s="579">
        <v>160</v>
      </c>
      <c r="F26" s="581"/>
      <c r="G26" s="579"/>
      <c r="H26" s="581">
        <f>SUM(G15:G26)</f>
        <v>33688</v>
      </c>
      <c r="I26" s="2382"/>
    </row>
    <row r="27" spans="1:9" x14ac:dyDescent="0.2">
      <c r="A27" s="532" t="s">
        <v>203</v>
      </c>
      <c r="B27" s="565" t="s">
        <v>152</v>
      </c>
      <c r="C27" s="566" t="s">
        <v>324</v>
      </c>
      <c r="D27" s="534" t="s">
        <v>17</v>
      </c>
      <c r="E27" s="535">
        <f>SUM(E28:E28)</f>
        <v>40</v>
      </c>
      <c r="F27" s="536">
        <f>salaries!H9</f>
        <v>29</v>
      </c>
      <c r="G27" s="535">
        <f>F27*E27</f>
        <v>1160</v>
      </c>
      <c r="H27" s="567"/>
      <c r="I27" s="2382"/>
    </row>
    <row r="28" spans="1:9" x14ac:dyDescent="0.2">
      <c r="A28" s="532"/>
      <c r="B28" s="565"/>
      <c r="C28" s="568" t="s">
        <v>768</v>
      </c>
      <c r="D28" s="565"/>
      <c r="E28" s="569">
        <v>40</v>
      </c>
      <c r="F28" s="567"/>
      <c r="G28" s="569"/>
      <c r="H28" s="567"/>
      <c r="I28" s="2382"/>
    </row>
    <row r="29" spans="1:9" x14ac:dyDescent="0.2">
      <c r="A29" s="532"/>
      <c r="B29" s="565" t="s">
        <v>154</v>
      </c>
      <c r="C29" s="566" t="s">
        <v>324</v>
      </c>
      <c r="D29" s="534" t="s">
        <v>17</v>
      </c>
      <c r="E29" s="535">
        <f>SUM(E30:E30)</f>
        <v>80</v>
      </c>
      <c r="F29" s="536">
        <f>salaries!H11</f>
        <v>20</v>
      </c>
      <c r="G29" s="535">
        <f>F29*E29</f>
        <v>1600</v>
      </c>
      <c r="H29" s="536"/>
      <c r="I29" s="2471"/>
    </row>
    <row r="30" spans="1:9" x14ac:dyDescent="0.2">
      <c r="A30" s="571"/>
      <c r="B30" s="572"/>
      <c r="C30" s="573" t="s">
        <v>904</v>
      </c>
      <c r="D30" s="572"/>
      <c r="E30" s="574">
        <v>80</v>
      </c>
      <c r="F30" s="575"/>
      <c r="G30" s="574"/>
      <c r="H30" s="575">
        <f>SUM(G27:G30)</f>
        <v>2760</v>
      </c>
      <c r="I30" s="2382"/>
    </row>
    <row r="31" spans="1:9" x14ac:dyDescent="0.2">
      <c r="A31" s="598" t="s">
        <v>308</v>
      </c>
      <c r="B31" s="599" t="s">
        <v>820</v>
      </c>
      <c r="C31" s="600" t="s">
        <v>324</v>
      </c>
      <c r="D31" s="601" t="s">
        <v>17</v>
      </c>
      <c r="E31" s="602">
        <f>SUM(E32:E32)</f>
        <v>80</v>
      </c>
      <c r="F31" s="603">
        <f>salaries!H18</f>
        <v>39</v>
      </c>
      <c r="G31" s="602">
        <f>F31*E31</f>
        <v>3120</v>
      </c>
      <c r="H31" s="604"/>
      <c r="I31" s="2382"/>
    </row>
    <row r="32" spans="1:9" x14ac:dyDescent="0.2">
      <c r="A32" s="588"/>
      <c r="B32" s="589"/>
      <c r="C32" s="605" t="s">
        <v>768</v>
      </c>
      <c r="D32" s="589"/>
      <c r="E32" s="594">
        <v>80</v>
      </c>
      <c r="F32" s="593"/>
      <c r="G32" s="594"/>
      <c r="H32" s="593"/>
      <c r="I32" s="2382"/>
    </row>
    <row r="33" spans="1:9" x14ac:dyDescent="0.2">
      <c r="A33" s="588"/>
      <c r="B33" s="589" t="s">
        <v>188</v>
      </c>
      <c r="C33" s="607" t="s">
        <v>324</v>
      </c>
      <c r="D33" s="590" t="s">
        <v>17</v>
      </c>
      <c r="E33" s="591">
        <f>SUM(E34:E34)</f>
        <v>80</v>
      </c>
      <c r="F33" s="592">
        <f>salaries!H19</f>
        <v>16</v>
      </c>
      <c r="G33" s="591">
        <f>F33*E33</f>
        <v>1280</v>
      </c>
      <c r="H33" s="592"/>
      <c r="I33" s="2471"/>
    </row>
    <row r="34" spans="1:9" x14ac:dyDescent="0.2">
      <c r="A34" s="608"/>
      <c r="B34" s="596"/>
      <c r="C34" s="595" t="s">
        <v>904</v>
      </c>
      <c r="D34" s="596"/>
      <c r="E34" s="597">
        <v>80</v>
      </c>
      <c r="F34" s="609"/>
      <c r="G34" s="597"/>
      <c r="H34" s="609">
        <f>SUM(G31:G34)</f>
        <v>4400</v>
      </c>
      <c r="I34" s="2382"/>
    </row>
    <row r="35" spans="1:9" x14ac:dyDescent="0.2">
      <c r="A35" s="610" t="s">
        <v>309</v>
      </c>
      <c r="B35" s="611" t="s">
        <v>189</v>
      </c>
      <c r="C35" s="612" t="s">
        <v>324</v>
      </c>
      <c r="D35" s="613" t="s">
        <v>17</v>
      </c>
      <c r="E35" s="614">
        <f>SUM(E36:E37)</f>
        <v>280</v>
      </c>
      <c r="F35" s="615">
        <f>salaries!H20</f>
        <v>40</v>
      </c>
      <c r="G35" s="614">
        <f>F35*E35</f>
        <v>11200</v>
      </c>
      <c r="H35" s="616"/>
      <c r="I35" s="2382"/>
    </row>
    <row r="36" spans="1:9" x14ac:dyDescent="0.2">
      <c r="A36" s="617"/>
      <c r="B36" s="618"/>
      <c r="C36" s="619" t="s">
        <v>903</v>
      </c>
      <c r="D36" s="620"/>
      <c r="E36" s="621">
        <v>160</v>
      </c>
      <c r="F36" s="622"/>
      <c r="G36" s="621"/>
      <c r="H36" s="622"/>
      <c r="I36" s="2383"/>
    </row>
    <row r="37" spans="1:9" x14ac:dyDescent="0.2">
      <c r="A37" s="617"/>
      <c r="B37" s="618"/>
      <c r="C37" s="619" t="s">
        <v>955</v>
      </c>
      <c r="D37" s="620"/>
      <c r="E37" s="621">
        <v>120</v>
      </c>
      <c r="F37" s="622"/>
      <c r="G37" s="621"/>
      <c r="H37" s="622"/>
      <c r="I37" s="2383"/>
    </row>
    <row r="38" spans="1:9" x14ac:dyDescent="0.2">
      <c r="A38" s="617"/>
      <c r="B38" s="618" t="s">
        <v>315</v>
      </c>
      <c r="C38" s="624" t="s">
        <v>324</v>
      </c>
      <c r="D38" s="2060" t="s">
        <v>17</v>
      </c>
      <c r="E38" s="633">
        <f>SUM(E39)</f>
        <v>90</v>
      </c>
      <c r="F38" s="632">
        <f>salaries!H21</f>
        <v>75</v>
      </c>
      <c r="G38" s="633">
        <f>F38*E38</f>
        <v>6750</v>
      </c>
      <c r="H38" s="622"/>
      <c r="I38" s="2383"/>
    </row>
    <row r="39" spans="1:9" x14ac:dyDescent="0.2">
      <c r="A39" s="617"/>
      <c r="B39" s="618"/>
      <c r="C39" s="619" t="s">
        <v>954</v>
      </c>
      <c r="D39" s="620"/>
      <c r="E39" s="621">
        <v>90</v>
      </c>
      <c r="F39" s="622"/>
      <c r="G39" s="621"/>
      <c r="H39" s="622"/>
      <c r="I39" s="2383"/>
    </row>
    <row r="40" spans="1:9" x14ac:dyDescent="0.2">
      <c r="A40" s="617"/>
      <c r="B40" s="618" t="s">
        <v>825</v>
      </c>
      <c r="C40" s="624" t="s">
        <v>324</v>
      </c>
      <c r="D40" s="2060" t="s">
        <v>17</v>
      </c>
      <c r="E40" s="633">
        <f>SUM(E41)</f>
        <v>120</v>
      </c>
      <c r="F40" s="632">
        <f>salaries!H23</f>
        <v>36</v>
      </c>
      <c r="G40" s="633">
        <f>F40*E40</f>
        <v>4320</v>
      </c>
      <c r="H40" s="622"/>
      <c r="I40" s="2383"/>
    </row>
    <row r="41" spans="1:9" x14ac:dyDescent="0.2">
      <c r="A41" s="617"/>
      <c r="B41" s="618"/>
      <c r="C41" s="619" t="s">
        <v>944</v>
      </c>
      <c r="D41" s="620"/>
      <c r="E41" s="621">
        <v>120</v>
      </c>
      <c r="F41" s="622"/>
      <c r="G41" s="621"/>
      <c r="H41" s="622"/>
      <c r="I41" s="2383"/>
    </row>
    <row r="42" spans="1:9" x14ac:dyDescent="0.2">
      <c r="A42" s="617"/>
      <c r="B42" s="618" t="s">
        <v>824</v>
      </c>
      <c r="C42" s="624" t="s">
        <v>324</v>
      </c>
      <c r="D42" s="625" t="s">
        <v>17</v>
      </c>
      <c r="E42" s="626">
        <f>SUM(E43:E44)</f>
        <v>200</v>
      </c>
      <c r="F42" s="632">
        <f>salaries!H22</f>
        <v>38</v>
      </c>
      <c r="G42" s="633">
        <f>F42*E42</f>
        <v>7600</v>
      </c>
      <c r="H42" s="622"/>
      <c r="I42" s="2382"/>
    </row>
    <row r="43" spans="1:9" x14ac:dyDescent="0.2">
      <c r="A43" s="617"/>
      <c r="B43" s="618"/>
      <c r="C43" s="619" t="s">
        <v>944</v>
      </c>
      <c r="D43" s="625"/>
      <c r="E43" s="1289">
        <v>120</v>
      </c>
      <c r="F43" s="632"/>
      <c r="G43" s="633"/>
      <c r="H43" s="622"/>
      <c r="I43" s="2382"/>
    </row>
    <row r="44" spans="1:9" x14ac:dyDescent="0.2">
      <c r="A44" s="627"/>
      <c r="B44" s="628"/>
      <c r="C44" s="684" t="s">
        <v>943</v>
      </c>
      <c r="D44" s="629"/>
      <c r="E44" s="630">
        <v>80</v>
      </c>
      <c r="F44" s="631"/>
      <c r="G44" s="630"/>
      <c r="H44" s="631">
        <f>SUM(G35:G44)</f>
        <v>29870</v>
      </c>
      <c r="I44" s="2382"/>
    </row>
    <row r="45" spans="1:9" x14ac:dyDescent="0.2">
      <c r="A45" s="634" t="s">
        <v>310</v>
      </c>
      <c r="B45" s="635" t="s">
        <v>219</v>
      </c>
      <c r="C45" s="636" t="s">
        <v>324</v>
      </c>
      <c r="D45" s="637" t="s">
        <v>17</v>
      </c>
      <c r="E45" s="638">
        <f>SUM(E46:E46)</f>
        <v>80</v>
      </c>
      <c r="F45" s="639">
        <f>salaries!H27</f>
        <v>32</v>
      </c>
      <c r="G45" s="638">
        <f>F45*E45</f>
        <v>2560</v>
      </c>
      <c r="H45" s="639"/>
      <c r="I45" s="2476"/>
    </row>
    <row r="46" spans="1:9" x14ac:dyDescent="0.2">
      <c r="A46" s="640"/>
      <c r="B46" s="641"/>
      <c r="C46" s="642" t="s">
        <v>904</v>
      </c>
      <c r="D46" s="643"/>
      <c r="E46" s="644">
        <v>80</v>
      </c>
      <c r="F46" s="645"/>
      <c r="G46" s="644"/>
      <c r="H46" s="645"/>
      <c r="I46" s="2476"/>
    </row>
    <row r="47" spans="1:9" x14ac:dyDescent="0.2">
      <c r="A47" s="647"/>
      <c r="B47" s="641" t="s">
        <v>218</v>
      </c>
      <c r="C47" s="648" t="s">
        <v>324</v>
      </c>
      <c r="D47" s="649" t="s">
        <v>17</v>
      </c>
      <c r="E47" s="650">
        <f>SUM(E48:E48)</f>
        <v>80</v>
      </c>
      <c r="F47" s="682">
        <f>salaries!H26</f>
        <v>44</v>
      </c>
      <c r="G47" s="683">
        <f>F47*E47</f>
        <v>3520</v>
      </c>
      <c r="H47" s="645"/>
      <c r="I47" s="2476"/>
    </row>
    <row r="48" spans="1:9" x14ac:dyDescent="0.2">
      <c r="A48" s="651"/>
      <c r="B48" s="652"/>
      <c r="C48" s="653" t="s">
        <v>768</v>
      </c>
      <c r="D48" s="652"/>
      <c r="E48" s="654">
        <v>80</v>
      </c>
      <c r="F48" s="655"/>
      <c r="G48" s="654"/>
      <c r="H48" s="655">
        <f>SUM(G45:G48)</f>
        <v>6080</v>
      </c>
      <c r="I48" s="2476"/>
    </row>
    <row r="49" spans="1:9" x14ac:dyDescent="0.2">
      <c r="A49" s="669" t="s">
        <v>311</v>
      </c>
      <c r="B49" s="670" t="s">
        <v>213</v>
      </c>
      <c r="C49" s="671" t="s">
        <v>324</v>
      </c>
      <c r="D49" s="672" t="s">
        <v>17</v>
      </c>
      <c r="E49" s="673">
        <f>SUM(E50:E53)</f>
        <v>664</v>
      </c>
      <c r="F49" s="674">
        <f>salaries!H29</f>
        <v>15</v>
      </c>
      <c r="G49" s="673">
        <f>F49*E49</f>
        <v>9960</v>
      </c>
      <c r="H49" s="675"/>
      <c r="I49" s="2476"/>
    </row>
    <row r="50" spans="1:9" ht="22.5" x14ac:dyDescent="0.2">
      <c r="A50" s="656"/>
      <c r="B50" s="657"/>
      <c r="C50" s="1773" t="s">
        <v>772</v>
      </c>
      <c r="D50" s="662"/>
      <c r="E50" s="663">
        <v>384</v>
      </c>
      <c r="F50" s="661"/>
      <c r="G50" s="663"/>
      <c r="H50" s="661"/>
      <c r="I50" s="2476"/>
    </row>
    <row r="51" spans="1:9" x14ac:dyDescent="0.2">
      <c r="A51" s="656"/>
      <c r="B51" s="657"/>
      <c r="C51" s="1773" t="s">
        <v>760</v>
      </c>
      <c r="D51" s="662"/>
      <c r="E51" s="663">
        <v>80</v>
      </c>
      <c r="F51" s="661"/>
      <c r="G51" s="663"/>
      <c r="H51" s="661"/>
      <c r="I51" s="2382"/>
    </row>
    <row r="52" spans="1:9" ht="22.5" x14ac:dyDescent="0.2">
      <c r="A52" s="656"/>
      <c r="B52" s="657"/>
      <c r="C52" s="1773" t="s">
        <v>774</v>
      </c>
      <c r="D52" s="662"/>
      <c r="E52" s="663">
        <v>80</v>
      </c>
      <c r="F52" s="661"/>
      <c r="G52" s="663"/>
      <c r="H52" s="661"/>
      <c r="I52" s="2382"/>
    </row>
    <row r="53" spans="1:9" x14ac:dyDescent="0.2">
      <c r="A53" s="656"/>
      <c r="B53" s="657"/>
      <c r="C53" s="676" t="s">
        <v>761</v>
      </c>
      <c r="D53" s="662"/>
      <c r="E53" s="663">
        <v>120</v>
      </c>
      <c r="F53" s="661"/>
      <c r="G53" s="663"/>
      <c r="H53" s="661"/>
      <c r="I53" s="2382"/>
    </row>
    <row r="54" spans="1:9" x14ac:dyDescent="0.2">
      <c r="A54" s="656"/>
      <c r="B54" s="657" t="s">
        <v>815</v>
      </c>
      <c r="C54" s="1634" t="s">
        <v>324</v>
      </c>
      <c r="D54" s="1635" t="s">
        <v>17</v>
      </c>
      <c r="E54" s="1636">
        <f>SUM(E55:E56)</f>
        <v>120</v>
      </c>
      <c r="F54" s="1637">
        <f>salaries!H31</f>
        <v>11</v>
      </c>
      <c r="G54" s="1636">
        <f>F54*E54</f>
        <v>1320</v>
      </c>
      <c r="H54" s="661"/>
      <c r="I54" s="2382"/>
    </row>
    <row r="55" spans="1:9" x14ac:dyDescent="0.2">
      <c r="A55" s="656"/>
      <c r="B55" s="657"/>
      <c r="C55" s="676" t="s">
        <v>771</v>
      </c>
      <c r="D55" s="662"/>
      <c r="E55" s="663">
        <v>80</v>
      </c>
      <c r="F55" s="661"/>
      <c r="G55" s="663"/>
      <c r="H55" s="661"/>
      <c r="I55" s="2382"/>
    </row>
    <row r="56" spans="1:9" s="68" customFormat="1" x14ac:dyDescent="0.2">
      <c r="A56" s="679"/>
      <c r="B56" s="667"/>
      <c r="C56" s="666" t="s">
        <v>770</v>
      </c>
      <c r="D56" s="667"/>
      <c r="E56" s="668">
        <v>40</v>
      </c>
      <c r="F56" s="680"/>
      <c r="G56" s="668"/>
      <c r="H56" s="680">
        <f>SUM(G49:G56)</f>
        <v>11280</v>
      </c>
      <c r="I56" s="2474"/>
    </row>
    <row r="57" spans="1:9" x14ac:dyDescent="0.2">
      <c r="A57" s="853" t="s">
        <v>407</v>
      </c>
      <c r="B57" s="854" t="s">
        <v>221</v>
      </c>
      <c r="C57" s="838" t="s">
        <v>324</v>
      </c>
      <c r="D57" s="839" t="s">
        <v>17</v>
      </c>
      <c r="E57" s="840">
        <f>SUM(E58:E62)</f>
        <v>540</v>
      </c>
      <c r="F57" s="855">
        <f>salaries!H34</f>
        <v>15</v>
      </c>
      <c r="G57" s="840">
        <f>F57*E57</f>
        <v>8100</v>
      </c>
      <c r="H57" s="856"/>
      <c r="I57" s="2382"/>
    </row>
    <row r="58" spans="1:9" x14ac:dyDescent="0.2">
      <c r="A58" s="836"/>
      <c r="B58" s="837"/>
      <c r="C58" s="844" t="s">
        <v>783</v>
      </c>
      <c r="D58" s="849"/>
      <c r="E58" s="846">
        <v>160</v>
      </c>
      <c r="F58" s="841"/>
      <c r="G58" s="842"/>
      <c r="H58" s="843"/>
      <c r="I58" s="2382"/>
    </row>
    <row r="59" spans="1:9" x14ac:dyDescent="0.2">
      <c r="A59" s="836"/>
      <c r="B59" s="837"/>
      <c r="C59" s="844" t="s">
        <v>785</v>
      </c>
      <c r="D59" s="849"/>
      <c r="E59" s="846">
        <v>80</v>
      </c>
      <c r="F59" s="841"/>
      <c r="G59" s="842"/>
      <c r="H59" s="843"/>
      <c r="I59" s="2382"/>
    </row>
    <row r="60" spans="1:9" x14ac:dyDescent="0.2">
      <c r="A60" s="836"/>
      <c r="B60" s="837"/>
      <c r="C60" s="844" t="s">
        <v>769</v>
      </c>
      <c r="D60" s="849"/>
      <c r="E60" s="846">
        <v>40</v>
      </c>
      <c r="F60" s="841"/>
      <c r="G60" s="842"/>
      <c r="H60" s="843"/>
      <c r="I60" s="2382"/>
    </row>
    <row r="61" spans="1:9" x14ac:dyDescent="0.2">
      <c r="A61" s="836"/>
      <c r="B61" s="837"/>
      <c r="C61" s="844" t="s">
        <v>905</v>
      </c>
      <c r="D61" s="849"/>
      <c r="E61" s="846">
        <v>180</v>
      </c>
      <c r="F61" s="841"/>
      <c r="G61" s="842"/>
      <c r="H61" s="843"/>
      <c r="I61" s="2382"/>
    </row>
    <row r="62" spans="1:9" x14ac:dyDescent="0.2">
      <c r="A62" s="836"/>
      <c r="B62" s="837"/>
      <c r="C62" s="844" t="s">
        <v>784</v>
      </c>
      <c r="D62" s="849"/>
      <c r="E62" s="846">
        <v>80</v>
      </c>
      <c r="F62" s="841"/>
      <c r="G62" s="842"/>
      <c r="H62" s="843"/>
      <c r="I62" s="2382"/>
    </row>
    <row r="63" spans="1:9" x14ac:dyDescent="0.2">
      <c r="A63" s="836"/>
      <c r="B63" s="837" t="s">
        <v>222</v>
      </c>
      <c r="C63" s="848" t="s">
        <v>324</v>
      </c>
      <c r="D63" s="1774" t="s">
        <v>17</v>
      </c>
      <c r="E63" s="861">
        <f>SUM(E64:E65)</f>
        <v>320</v>
      </c>
      <c r="F63" s="860">
        <f>salaries!H35</f>
        <v>15</v>
      </c>
      <c r="G63" s="861">
        <f>F63*E63</f>
        <v>4800</v>
      </c>
      <c r="H63" s="843"/>
      <c r="I63" s="2382"/>
    </row>
    <row r="64" spans="1:9" x14ac:dyDescent="0.2">
      <c r="A64" s="836"/>
      <c r="B64" s="837"/>
      <c r="C64" s="844" t="s">
        <v>905</v>
      </c>
      <c r="D64" s="849"/>
      <c r="E64" s="846">
        <v>240</v>
      </c>
      <c r="F64" s="841"/>
      <c r="G64" s="842"/>
      <c r="H64" s="843"/>
      <c r="I64" s="2382"/>
    </row>
    <row r="65" spans="1:9" x14ac:dyDescent="0.2">
      <c r="A65" s="836"/>
      <c r="B65" s="1986"/>
      <c r="C65" s="1988" t="s">
        <v>781</v>
      </c>
      <c r="D65" s="1987"/>
      <c r="E65" s="846">
        <v>80</v>
      </c>
      <c r="F65" s="841"/>
      <c r="G65" s="842"/>
      <c r="H65" s="843"/>
      <c r="I65" s="2382"/>
    </row>
    <row r="66" spans="1:9" x14ac:dyDescent="0.2">
      <c r="A66" s="836"/>
      <c r="B66" s="1986" t="s">
        <v>224</v>
      </c>
      <c r="C66" s="1993" t="s">
        <v>329</v>
      </c>
      <c r="D66" s="1994" t="s">
        <v>17</v>
      </c>
      <c r="E66" s="861">
        <f>SUM(E67:E67)</f>
        <v>320</v>
      </c>
      <c r="F66" s="860">
        <f>salaries!H37</f>
        <v>12</v>
      </c>
      <c r="G66" s="861">
        <f>F66*E66</f>
        <v>3840</v>
      </c>
      <c r="H66" s="843"/>
      <c r="I66" s="2382"/>
    </row>
    <row r="67" spans="1:9" x14ac:dyDescent="0.2">
      <c r="A67" s="836"/>
      <c r="B67" s="1986"/>
      <c r="C67" s="1199" t="s">
        <v>828</v>
      </c>
      <c r="D67" s="1987"/>
      <c r="E67" s="846">
        <v>320</v>
      </c>
      <c r="F67" s="841"/>
      <c r="G67" s="842"/>
      <c r="H67" s="843"/>
      <c r="I67" s="2382"/>
    </row>
    <row r="68" spans="1:9" x14ac:dyDescent="0.2">
      <c r="A68" s="836"/>
      <c r="B68" s="837" t="s">
        <v>223</v>
      </c>
      <c r="C68" s="848" t="s">
        <v>324</v>
      </c>
      <c r="D68" s="1774" t="s">
        <v>17</v>
      </c>
      <c r="E68" s="842">
        <f>SUM(E69:E71)</f>
        <v>300</v>
      </c>
      <c r="F68" s="841">
        <f>salaries!H36</f>
        <v>12</v>
      </c>
      <c r="G68" s="842">
        <f>F68*E68</f>
        <v>3600</v>
      </c>
      <c r="H68" s="843"/>
      <c r="I68" s="2382"/>
    </row>
    <row r="69" spans="1:9" x14ac:dyDescent="0.2">
      <c r="A69" s="836"/>
      <c r="B69" s="837"/>
      <c r="C69" s="844" t="s">
        <v>782</v>
      </c>
      <c r="D69" s="849"/>
      <c r="E69" s="846">
        <v>80</v>
      </c>
      <c r="F69" s="841"/>
      <c r="G69" s="842"/>
      <c r="H69" s="843"/>
      <c r="I69" s="2382"/>
    </row>
    <row r="70" spans="1:9" x14ac:dyDescent="0.2">
      <c r="A70" s="836"/>
      <c r="B70" s="837"/>
      <c r="C70" s="844" t="s">
        <v>905</v>
      </c>
      <c r="D70" s="845"/>
      <c r="E70" s="846">
        <v>180</v>
      </c>
      <c r="F70" s="843"/>
      <c r="G70" s="846"/>
      <c r="H70" s="843"/>
      <c r="I70" s="2382"/>
    </row>
    <row r="71" spans="1:9" x14ac:dyDescent="0.2">
      <c r="A71" s="857"/>
      <c r="B71" s="858"/>
      <c r="C71" s="844" t="s">
        <v>769</v>
      </c>
      <c r="D71" s="851"/>
      <c r="E71" s="852">
        <v>40</v>
      </c>
      <c r="F71" s="859"/>
      <c r="G71" s="852"/>
      <c r="H71" s="859">
        <f>SUM(G57:G71)</f>
        <v>20340</v>
      </c>
      <c r="I71" s="2382"/>
    </row>
    <row r="72" spans="1:9" x14ac:dyDescent="0.2">
      <c r="A72" s="867" t="s">
        <v>408</v>
      </c>
      <c r="B72" s="868" t="s">
        <v>225</v>
      </c>
      <c r="C72" s="869" t="s">
        <v>583</v>
      </c>
      <c r="D72" s="870" t="s">
        <v>17</v>
      </c>
      <c r="E72" s="871">
        <f>SUM(E73:E74)</f>
        <v>120</v>
      </c>
      <c r="F72" s="872">
        <f>salaries!H38</f>
        <v>11</v>
      </c>
      <c r="G72" s="871">
        <f>F72*E72</f>
        <v>1320</v>
      </c>
      <c r="H72" s="873"/>
      <c r="I72" s="2382"/>
    </row>
    <row r="73" spans="1:9" x14ac:dyDescent="0.2">
      <c r="A73" s="548"/>
      <c r="B73" s="549"/>
      <c r="C73" s="556" t="s">
        <v>771</v>
      </c>
      <c r="D73" s="549"/>
      <c r="E73" s="554">
        <v>80</v>
      </c>
      <c r="F73" s="553"/>
      <c r="G73" s="554"/>
      <c r="H73" s="553"/>
      <c r="I73" s="2382"/>
    </row>
    <row r="74" spans="1:9" s="105" customFormat="1" x14ac:dyDescent="0.2">
      <c r="A74" s="874"/>
      <c r="B74" s="865"/>
      <c r="C74" s="864" t="s">
        <v>770</v>
      </c>
      <c r="D74" s="865"/>
      <c r="E74" s="866">
        <v>40</v>
      </c>
      <c r="F74" s="875"/>
      <c r="G74" s="866"/>
      <c r="H74" s="875">
        <f>SUM(G72:G74)</f>
        <v>1320</v>
      </c>
      <c r="I74" s="2486"/>
    </row>
    <row r="75" spans="1:9" x14ac:dyDescent="0.2">
      <c r="A75" s="890" t="s">
        <v>409</v>
      </c>
      <c r="B75" s="891" t="s">
        <v>229</v>
      </c>
      <c r="C75" s="892" t="s">
        <v>324</v>
      </c>
      <c r="D75" s="893" t="s">
        <v>17</v>
      </c>
      <c r="E75" s="894">
        <f>SUM(E76:E76)</f>
        <v>80</v>
      </c>
      <c r="F75" s="895">
        <f>salaries!H42</f>
        <v>24</v>
      </c>
      <c r="G75" s="894">
        <f>F75*E75</f>
        <v>1920</v>
      </c>
      <c r="H75" s="896"/>
      <c r="I75" s="2382"/>
    </row>
    <row r="76" spans="1:9" x14ac:dyDescent="0.2">
      <c r="A76" s="876"/>
      <c r="B76" s="877"/>
      <c r="C76" s="883" t="s">
        <v>771</v>
      </c>
      <c r="D76" s="879"/>
      <c r="E76" s="885">
        <v>80</v>
      </c>
      <c r="F76" s="881"/>
      <c r="G76" s="880"/>
      <c r="H76" s="882"/>
      <c r="I76" s="2382"/>
    </row>
    <row r="77" spans="1:9" x14ac:dyDescent="0.2">
      <c r="A77" s="897"/>
      <c r="B77" s="898"/>
      <c r="C77" s="887" t="s">
        <v>770</v>
      </c>
      <c r="D77" s="888"/>
      <c r="E77" s="889">
        <v>40</v>
      </c>
      <c r="F77" s="899"/>
      <c r="G77" s="889"/>
      <c r="H77" s="899">
        <f>SUM(G75:G77)</f>
        <v>1920</v>
      </c>
      <c r="I77" s="2382"/>
    </row>
    <row r="78" spans="1:9" x14ac:dyDescent="0.2">
      <c r="A78" s="900" t="s">
        <v>410</v>
      </c>
      <c r="B78" s="901" t="s">
        <v>233</v>
      </c>
      <c r="C78" s="902" t="s">
        <v>324</v>
      </c>
      <c r="D78" s="903" t="s">
        <v>17</v>
      </c>
      <c r="E78" s="904">
        <f>SUM(E79:E80)</f>
        <v>120</v>
      </c>
      <c r="F78" s="905">
        <f>salaries!H48</f>
        <v>21</v>
      </c>
      <c r="G78" s="904">
        <f>F78*E78</f>
        <v>2520</v>
      </c>
      <c r="H78" s="906"/>
      <c r="I78" s="2382"/>
    </row>
    <row r="79" spans="1:9" x14ac:dyDescent="0.2">
      <c r="A79" s="907"/>
      <c r="B79" s="908"/>
      <c r="C79" s="909" t="s">
        <v>771</v>
      </c>
      <c r="D79" s="908"/>
      <c r="E79" s="910">
        <v>80</v>
      </c>
      <c r="F79" s="911"/>
      <c r="G79" s="910"/>
      <c r="H79" s="911"/>
      <c r="I79" s="2382"/>
    </row>
    <row r="80" spans="1:9" s="68" customFormat="1" x14ac:dyDescent="0.2">
      <c r="A80" s="918"/>
      <c r="B80" s="919"/>
      <c r="C80" s="920" t="s">
        <v>770</v>
      </c>
      <c r="D80" s="919"/>
      <c r="E80" s="921">
        <v>40</v>
      </c>
      <c r="F80" s="922"/>
      <c r="G80" s="921"/>
      <c r="H80" s="922">
        <f>SUM(G78:G80)</f>
        <v>2520</v>
      </c>
      <c r="I80" s="2382"/>
    </row>
    <row r="81" spans="1:9" s="68" customFormat="1" x14ac:dyDescent="0.2">
      <c r="A81" s="952" t="s">
        <v>411</v>
      </c>
      <c r="B81" s="953" t="s">
        <v>240</v>
      </c>
      <c r="C81" s="954" t="s">
        <v>324</v>
      </c>
      <c r="D81" s="955" t="s">
        <v>17</v>
      </c>
      <c r="E81" s="956">
        <f>SUM(E82:E83)</f>
        <v>120</v>
      </c>
      <c r="F81" s="957">
        <f>salaries!H51</f>
        <v>20</v>
      </c>
      <c r="G81" s="956">
        <f>F81*E81</f>
        <v>2400</v>
      </c>
      <c r="H81" s="958"/>
      <c r="I81" s="2382"/>
    </row>
    <row r="82" spans="1:9" s="68" customFormat="1" x14ac:dyDescent="0.2">
      <c r="A82" s="923"/>
      <c r="B82" s="924"/>
      <c r="C82" s="930" t="s">
        <v>771</v>
      </c>
      <c r="D82" s="924"/>
      <c r="E82" s="931">
        <v>80</v>
      </c>
      <c r="F82" s="929"/>
      <c r="G82" s="931"/>
      <c r="H82" s="929"/>
      <c r="I82" s="2382"/>
    </row>
    <row r="83" spans="1:9" s="68" customFormat="1" x14ac:dyDescent="0.2">
      <c r="A83" s="959"/>
      <c r="B83" s="934"/>
      <c r="C83" s="933" t="s">
        <v>770</v>
      </c>
      <c r="D83" s="934"/>
      <c r="E83" s="935">
        <v>40</v>
      </c>
      <c r="F83" s="960"/>
      <c r="G83" s="935"/>
      <c r="H83" s="960">
        <f>SUM(G81:G83)</f>
        <v>2400</v>
      </c>
      <c r="I83" s="2382"/>
    </row>
    <row r="84" spans="1:9" s="68" customFormat="1" x14ac:dyDescent="0.2">
      <c r="A84" s="961" t="s">
        <v>412</v>
      </c>
      <c r="B84" s="968" t="s">
        <v>236</v>
      </c>
      <c r="C84" s="938" t="s">
        <v>324</v>
      </c>
      <c r="D84" s="939" t="s">
        <v>17</v>
      </c>
      <c r="E84" s="940">
        <f>SUM(E85:E86)</f>
        <v>120</v>
      </c>
      <c r="F84" s="962">
        <f>salaries!H55</f>
        <v>21</v>
      </c>
      <c r="G84" s="940">
        <f>F84*E84</f>
        <v>2520</v>
      </c>
      <c r="H84" s="963"/>
      <c r="I84" s="2382"/>
    </row>
    <row r="85" spans="1:9" s="68" customFormat="1" x14ac:dyDescent="0.2">
      <c r="A85" s="936"/>
      <c r="B85" s="944"/>
      <c r="C85" s="945" t="s">
        <v>771</v>
      </c>
      <c r="D85" s="944"/>
      <c r="E85" s="946">
        <v>80</v>
      </c>
      <c r="F85" s="943"/>
      <c r="G85" s="946"/>
      <c r="H85" s="943"/>
      <c r="I85" s="2382"/>
    </row>
    <row r="86" spans="1:9" s="68" customFormat="1" x14ac:dyDescent="0.2">
      <c r="A86" s="964"/>
      <c r="B86" s="950"/>
      <c r="C86" s="949" t="s">
        <v>770</v>
      </c>
      <c r="D86" s="950"/>
      <c r="E86" s="951">
        <v>40</v>
      </c>
      <c r="F86" s="965"/>
      <c r="G86" s="951"/>
      <c r="H86" s="965">
        <f>SUM(G84:G86)</f>
        <v>2520</v>
      </c>
      <c r="I86" s="2382"/>
    </row>
    <row r="87" spans="1:9" x14ac:dyDescent="0.2">
      <c r="A87" s="977" t="s">
        <v>413</v>
      </c>
      <c r="B87" s="978" t="s">
        <v>244</v>
      </c>
      <c r="C87" s="979" t="s">
        <v>324</v>
      </c>
      <c r="D87" s="980" t="s">
        <v>17</v>
      </c>
      <c r="E87" s="981">
        <f>SUM(E88:E92)</f>
        <v>540</v>
      </c>
      <c r="F87" s="982">
        <f>salaries!H59</f>
        <v>27</v>
      </c>
      <c r="G87" s="981">
        <f>F87*E87</f>
        <v>14580</v>
      </c>
      <c r="H87" s="982"/>
      <c r="I87" s="2382"/>
    </row>
    <row r="88" spans="1:9" x14ac:dyDescent="0.2">
      <c r="A88" s="969"/>
      <c r="B88" s="970"/>
      <c r="C88" s="1782" t="s">
        <v>783</v>
      </c>
      <c r="D88" s="970"/>
      <c r="E88" s="976">
        <v>160</v>
      </c>
      <c r="F88" s="972"/>
      <c r="G88" s="971"/>
      <c r="H88" s="972"/>
      <c r="I88" s="2382"/>
    </row>
    <row r="89" spans="1:9" x14ac:dyDescent="0.2">
      <c r="A89" s="969"/>
      <c r="B89" s="970"/>
      <c r="C89" s="1782" t="s">
        <v>785</v>
      </c>
      <c r="D89" s="970"/>
      <c r="E89" s="976">
        <v>80</v>
      </c>
      <c r="F89" s="972"/>
      <c r="G89" s="971"/>
      <c r="H89" s="972"/>
      <c r="I89" s="2382"/>
    </row>
    <row r="90" spans="1:9" x14ac:dyDescent="0.2">
      <c r="A90" s="969"/>
      <c r="B90" s="970"/>
      <c r="C90" s="1782" t="s">
        <v>769</v>
      </c>
      <c r="D90" s="970"/>
      <c r="E90" s="976">
        <v>40</v>
      </c>
      <c r="F90" s="972"/>
      <c r="G90" s="971"/>
      <c r="H90" s="972"/>
      <c r="I90" s="2382"/>
    </row>
    <row r="91" spans="1:9" ht="15.75" customHeight="1" x14ac:dyDescent="0.2">
      <c r="A91" s="969"/>
      <c r="B91" s="970"/>
      <c r="C91" s="1782" t="s">
        <v>905</v>
      </c>
      <c r="D91" s="970"/>
      <c r="E91" s="976">
        <v>180</v>
      </c>
      <c r="F91" s="972"/>
      <c r="G91" s="971"/>
      <c r="H91" s="972"/>
      <c r="I91" s="2382"/>
    </row>
    <row r="92" spans="1:9" x14ac:dyDescent="0.2">
      <c r="A92" s="969"/>
      <c r="B92" s="970"/>
      <c r="C92" s="1782" t="s">
        <v>784</v>
      </c>
      <c r="D92" s="970"/>
      <c r="E92" s="976">
        <v>80</v>
      </c>
      <c r="F92" s="972"/>
      <c r="G92" s="971"/>
      <c r="H92" s="972"/>
      <c r="I92" s="2382"/>
    </row>
    <row r="93" spans="1:9" x14ac:dyDescent="0.2">
      <c r="A93" s="969"/>
      <c r="B93" s="970" t="s">
        <v>246</v>
      </c>
      <c r="C93" s="1775" t="s">
        <v>324</v>
      </c>
      <c r="D93" s="1776" t="s">
        <v>17</v>
      </c>
      <c r="E93" s="971">
        <f>SUM(E94:E96)</f>
        <v>340</v>
      </c>
      <c r="F93" s="972">
        <f>salaries!H61</f>
        <v>27</v>
      </c>
      <c r="G93" s="971">
        <f>F93*E93</f>
        <v>9180</v>
      </c>
      <c r="H93" s="972"/>
      <c r="I93" s="2382"/>
    </row>
    <row r="94" spans="1:9" x14ac:dyDescent="0.2">
      <c r="A94" s="969"/>
      <c r="B94" s="970"/>
      <c r="C94" s="1782" t="s">
        <v>782</v>
      </c>
      <c r="D94" s="970"/>
      <c r="E94" s="976">
        <v>80</v>
      </c>
      <c r="F94" s="972"/>
      <c r="G94" s="971"/>
      <c r="H94" s="972"/>
      <c r="I94" s="2382"/>
    </row>
    <row r="95" spans="1:9" x14ac:dyDescent="0.2">
      <c r="A95" s="969"/>
      <c r="B95" s="970"/>
      <c r="C95" s="984" t="s">
        <v>905</v>
      </c>
      <c r="D95" s="970"/>
      <c r="E95" s="976">
        <v>180</v>
      </c>
      <c r="F95" s="972"/>
      <c r="G95" s="971"/>
      <c r="H95" s="975"/>
      <c r="I95" s="2382"/>
    </row>
    <row r="96" spans="1:9" x14ac:dyDescent="0.2">
      <c r="A96" s="985"/>
      <c r="B96" s="986"/>
      <c r="C96" s="987" t="s">
        <v>781</v>
      </c>
      <c r="D96" s="986"/>
      <c r="E96" s="988">
        <v>80</v>
      </c>
      <c r="F96" s="989"/>
      <c r="G96" s="988"/>
      <c r="H96" s="989">
        <f>SUM(G87:G96)</f>
        <v>23760</v>
      </c>
      <c r="I96" s="2382"/>
    </row>
    <row r="97" spans="1:9" x14ac:dyDescent="0.2">
      <c r="A97" s="999" t="s">
        <v>414</v>
      </c>
      <c r="B97" s="1000" t="s">
        <v>249</v>
      </c>
      <c r="C97" s="1001" t="s">
        <v>329</v>
      </c>
      <c r="D97" s="1002" t="s">
        <v>17</v>
      </c>
      <c r="E97" s="1003">
        <f>SUM(E98:E99)</f>
        <v>80</v>
      </c>
      <c r="F97" s="1004">
        <f>salaries!H64</f>
        <v>22</v>
      </c>
      <c r="G97" s="1003">
        <f>F97*E97</f>
        <v>1760</v>
      </c>
      <c r="H97" s="1005"/>
      <c r="I97" s="2382"/>
    </row>
    <row r="98" spans="1:9" x14ac:dyDescent="0.2">
      <c r="A98" s="990"/>
      <c r="B98" s="996"/>
      <c r="C98" s="997" t="s">
        <v>770</v>
      </c>
      <c r="D98" s="996"/>
      <c r="E98" s="998">
        <v>40</v>
      </c>
      <c r="F98" s="995"/>
      <c r="G98" s="998"/>
      <c r="H98" s="995"/>
      <c r="I98" s="2382"/>
    </row>
    <row r="99" spans="1:9" x14ac:dyDescent="0.2">
      <c r="A99" s="1006"/>
      <c r="B99" s="1007"/>
      <c r="C99" s="1008" t="s">
        <v>769</v>
      </c>
      <c r="D99" s="1007"/>
      <c r="E99" s="1009">
        <v>40</v>
      </c>
      <c r="F99" s="1010"/>
      <c r="G99" s="1009"/>
      <c r="H99" s="1010">
        <f>SUM(G97:G99)</f>
        <v>1760</v>
      </c>
      <c r="I99" s="2382"/>
    </row>
    <row r="100" spans="1:9" s="47" customFormat="1" x14ac:dyDescent="0.2">
      <c r="A100" s="1061" t="s">
        <v>415</v>
      </c>
      <c r="B100" s="1062" t="s">
        <v>252</v>
      </c>
      <c r="C100" s="1063" t="s">
        <v>324</v>
      </c>
      <c r="D100" s="1064" t="s">
        <v>17</v>
      </c>
      <c r="E100" s="1065">
        <f>SUM(E101:E105)</f>
        <v>540</v>
      </c>
      <c r="F100" s="1066">
        <f>salaries!H67</f>
        <v>20</v>
      </c>
      <c r="G100" s="1065">
        <f>F100*E100</f>
        <v>10800</v>
      </c>
      <c r="H100" s="1067"/>
      <c r="I100" s="2382"/>
    </row>
    <row r="101" spans="1:9" s="47" customFormat="1" x14ac:dyDescent="0.2">
      <c r="A101" s="1011"/>
      <c r="B101" s="1012"/>
      <c r="C101" s="1015" t="s">
        <v>783</v>
      </c>
      <c r="D101" s="1012"/>
      <c r="E101" s="1016">
        <v>160</v>
      </c>
      <c r="F101" s="1013"/>
      <c r="G101" s="1779"/>
      <c r="H101" s="1014"/>
      <c r="I101" s="2382"/>
    </row>
    <row r="102" spans="1:9" s="47" customFormat="1" x14ac:dyDescent="0.2">
      <c r="A102" s="1011"/>
      <c r="B102" s="1012"/>
      <c r="C102" s="1015" t="s">
        <v>785</v>
      </c>
      <c r="D102" s="1012"/>
      <c r="E102" s="1016">
        <v>80</v>
      </c>
      <c r="F102" s="1013"/>
      <c r="G102" s="1779"/>
      <c r="H102" s="1014"/>
      <c r="I102" s="2382"/>
    </row>
    <row r="103" spans="1:9" s="47" customFormat="1" x14ac:dyDescent="0.2">
      <c r="A103" s="1011"/>
      <c r="B103" s="1012"/>
      <c r="C103" s="1015" t="s">
        <v>769</v>
      </c>
      <c r="D103" s="1012"/>
      <c r="E103" s="1016">
        <v>40</v>
      </c>
      <c r="F103" s="1013"/>
      <c r="G103" s="1779"/>
      <c r="H103" s="1014"/>
      <c r="I103" s="2382"/>
    </row>
    <row r="104" spans="1:9" s="47" customFormat="1" x14ac:dyDescent="0.2">
      <c r="A104" s="1011"/>
      <c r="B104" s="1012"/>
      <c r="C104" s="1015" t="s">
        <v>905</v>
      </c>
      <c r="D104" s="1012"/>
      <c r="E104" s="1016">
        <v>180</v>
      </c>
      <c r="F104" s="1013"/>
      <c r="G104" s="1779"/>
      <c r="H104" s="1014"/>
      <c r="I104" s="2382"/>
    </row>
    <row r="105" spans="1:9" s="47" customFormat="1" x14ac:dyDescent="0.2">
      <c r="A105" s="1011"/>
      <c r="B105" s="1012"/>
      <c r="C105" s="1015" t="s">
        <v>784</v>
      </c>
      <c r="D105" s="1012"/>
      <c r="E105" s="1016">
        <v>80</v>
      </c>
      <c r="F105" s="1013"/>
      <c r="G105" s="1779"/>
      <c r="H105" s="1014"/>
      <c r="I105" s="2382"/>
    </row>
    <row r="106" spans="1:9" s="47" customFormat="1" x14ac:dyDescent="0.2">
      <c r="A106" s="1011"/>
      <c r="B106" s="1012" t="s">
        <v>253</v>
      </c>
      <c r="C106" s="1777" t="s">
        <v>324</v>
      </c>
      <c r="D106" s="1778" t="s">
        <v>17</v>
      </c>
      <c r="E106" s="1779">
        <f>SUM(E107:E109)</f>
        <v>340</v>
      </c>
      <c r="F106" s="1013">
        <f>salaries!H68</f>
        <v>24</v>
      </c>
      <c r="G106" s="1779">
        <f>F106*E106</f>
        <v>8160</v>
      </c>
      <c r="H106" s="1014"/>
      <c r="I106" s="2382"/>
    </row>
    <row r="107" spans="1:9" s="47" customFormat="1" x14ac:dyDescent="0.2">
      <c r="A107" s="1011"/>
      <c r="B107" s="1012"/>
      <c r="C107" s="1015" t="s">
        <v>782</v>
      </c>
      <c r="D107" s="1012"/>
      <c r="E107" s="1016">
        <v>80</v>
      </c>
      <c r="F107" s="1013"/>
      <c r="G107" s="1779"/>
      <c r="H107" s="1014"/>
      <c r="I107" s="2382"/>
    </row>
    <row r="108" spans="1:9" s="47" customFormat="1" x14ac:dyDescent="0.2">
      <c r="A108" s="1011"/>
      <c r="B108" s="1012"/>
      <c r="C108" s="1015" t="s">
        <v>905</v>
      </c>
      <c r="D108" s="1012"/>
      <c r="E108" s="1016">
        <v>180</v>
      </c>
      <c r="F108" s="1014"/>
      <c r="G108" s="1016"/>
      <c r="H108" s="1013"/>
      <c r="I108" s="2382"/>
    </row>
    <row r="109" spans="1:9" s="47" customFormat="1" x14ac:dyDescent="0.2">
      <c r="A109" s="1068"/>
      <c r="B109" s="1069"/>
      <c r="C109" s="1070" t="s">
        <v>781</v>
      </c>
      <c r="D109" s="1069"/>
      <c r="E109" s="1071">
        <v>80</v>
      </c>
      <c r="F109" s="1072"/>
      <c r="G109" s="1071"/>
      <c r="H109" s="1072">
        <f>SUM(G100:G109)</f>
        <v>18960</v>
      </c>
      <c r="I109" s="2382"/>
    </row>
    <row r="110" spans="1:9" s="47" customFormat="1" x14ac:dyDescent="0.2">
      <c r="A110" s="1017" t="s">
        <v>416</v>
      </c>
      <c r="B110" s="1018" t="s">
        <v>255</v>
      </c>
      <c r="C110" s="1019" t="s">
        <v>324</v>
      </c>
      <c r="D110" s="1020" t="s">
        <v>17</v>
      </c>
      <c r="E110" s="1021">
        <f>SUM(E111:E115)</f>
        <v>540</v>
      </c>
      <c r="F110" s="1022">
        <f>salaries!H72</f>
        <v>24</v>
      </c>
      <c r="G110" s="1021">
        <f>F110*E110</f>
        <v>12960</v>
      </c>
      <c r="H110" s="1023"/>
      <c r="I110" s="2382"/>
    </row>
    <row r="111" spans="1:9" s="47" customFormat="1" x14ac:dyDescent="0.2">
      <c r="A111" s="1017"/>
      <c r="B111" s="1018"/>
      <c r="C111" s="1024" t="s">
        <v>783</v>
      </c>
      <c r="D111" s="1018"/>
      <c r="E111" s="1025">
        <v>160</v>
      </c>
      <c r="F111" s="1022"/>
      <c r="G111" s="1021"/>
      <c r="H111" s="1023"/>
      <c r="I111" s="2382"/>
    </row>
    <row r="112" spans="1:9" s="47" customFormat="1" x14ac:dyDescent="0.2">
      <c r="A112" s="1017"/>
      <c r="B112" s="1018"/>
      <c r="C112" s="1024" t="s">
        <v>785</v>
      </c>
      <c r="D112" s="1018"/>
      <c r="E112" s="1025">
        <v>80</v>
      </c>
      <c r="F112" s="1022"/>
      <c r="G112" s="1021"/>
      <c r="H112" s="1023"/>
      <c r="I112" s="2382"/>
    </row>
    <row r="113" spans="1:9" s="47" customFormat="1" x14ac:dyDescent="0.2">
      <c r="A113" s="1017"/>
      <c r="B113" s="1018"/>
      <c r="C113" s="1024" t="s">
        <v>769</v>
      </c>
      <c r="D113" s="1018"/>
      <c r="E113" s="1025">
        <v>40</v>
      </c>
      <c r="F113" s="1022"/>
      <c r="G113" s="1021"/>
      <c r="H113" s="1023"/>
      <c r="I113" s="2382"/>
    </row>
    <row r="114" spans="1:9" s="47" customFormat="1" x14ac:dyDescent="0.2">
      <c r="A114" s="1017"/>
      <c r="B114" s="1018"/>
      <c r="C114" s="1024" t="s">
        <v>905</v>
      </c>
      <c r="D114" s="1018"/>
      <c r="E114" s="1025">
        <v>180</v>
      </c>
      <c r="F114" s="1022"/>
      <c r="G114" s="1021"/>
      <c r="H114" s="1023"/>
      <c r="I114" s="2382"/>
    </row>
    <row r="115" spans="1:9" s="47" customFormat="1" x14ac:dyDescent="0.2">
      <c r="A115" s="1017"/>
      <c r="B115" s="1018"/>
      <c r="C115" s="1024" t="s">
        <v>784</v>
      </c>
      <c r="D115" s="1018"/>
      <c r="E115" s="1025">
        <v>80</v>
      </c>
      <c r="F115" s="1022"/>
      <c r="G115" s="1021"/>
      <c r="H115" s="1023"/>
      <c r="I115" s="2382"/>
    </row>
    <row r="116" spans="1:9" s="47" customFormat="1" x14ac:dyDescent="0.2">
      <c r="A116" s="1017"/>
      <c r="B116" s="1018" t="s">
        <v>456</v>
      </c>
      <c r="C116" s="1019" t="s">
        <v>324</v>
      </c>
      <c r="D116" s="1020" t="s">
        <v>17</v>
      </c>
      <c r="E116" s="1021">
        <f>SUM(E117:E119)</f>
        <v>340</v>
      </c>
      <c r="F116" s="1022">
        <f>salaries!H74</f>
        <v>7</v>
      </c>
      <c r="G116" s="1021">
        <f>F116*E116</f>
        <v>2380</v>
      </c>
      <c r="H116" s="1023"/>
      <c r="I116" s="2382"/>
    </row>
    <row r="117" spans="1:9" s="47" customFormat="1" x14ac:dyDescent="0.2">
      <c r="A117" s="1017"/>
      <c r="B117" s="1018"/>
      <c r="C117" s="1024" t="s">
        <v>782</v>
      </c>
      <c r="D117" s="1018"/>
      <c r="E117" s="1025">
        <v>80</v>
      </c>
      <c r="F117" s="1022"/>
      <c r="G117" s="1021"/>
      <c r="H117" s="1023"/>
      <c r="I117" s="2382"/>
    </row>
    <row r="118" spans="1:9" s="47" customFormat="1" x14ac:dyDescent="0.2">
      <c r="A118" s="1017"/>
      <c r="B118" s="1018"/>
      <c r="C118" s="1024" t="s">
        <v>905</v>
      </c>
      <c r="D118" s="1018"/>
      <c r="E118" s="1025">
        <v>180</v>
      </c>
      <c r="F118" s="1023"/>
      <c r="G118" s="1025"/>
      <c r="H118" s="1022"/>
      <c r="I118" s="2382"/>
    </row>
    <row r="119" spans="1:9" s="47" customFormat="1" x14ac:dyDescent="0.2">
      <c r="A119" s="1056"/>
      <c r="B119" s="1057"/>
      <c r="C119" s="1058" t="s">
        <v>781</v>
      </c>
      <c r="D119" s="1057"/>
      <c r="E119" s="1059">
        <v>80</v>
      </c>
      <c r="F119" s="1060"/>
      <c r="G119" s="1059"/>
      <c r="H119" s="1060">
        <f>SUM(G110:G119)</f>
        <v>15340</v>
      </c>
      <c r="I119" s="2382"/>
    </row>
    <row r="120" spans="1:9" s="47" customFormat="1" x14ac:dyDescent="0.2">
      <c r="A120" s="1026" t="s">
        <v>417</v>
      </c>
      <c r="B120" s="1027" t="s">
        <v>258</v>
      </c>
      <c r="C120" s="1028" t="s">
        <v>324</v>
      </c>
      <c r="D120" s="1029" t="s">
        <v>17</v>
      </c>
      <c r="E120" s="1030">
        <f>SUM(E121:E122)</f>
        <v>80</v>
      </c>
      <c r="F120" s="1031">
        <f>salaries!H77</f>
        <v>13</v>
      </c>
      <c r="G120" s="1030">
        <f>F120*E120</f>
        <v>1040</v>
      </c>
      <c r="H120" s="1032"/>
      <c r="I120" s="2382"/>
    </row>
    <row r="121" spans="1:9" s="47" customFormat="1" x14ac:dyDescent="0.2">
      <c r="A121" s="1026"/>
      <c r="B121" s="1027"/>
      <c r="C121" s="1033" t="s">
        <v>770</v>
      </c>
      <c r="D121" s="1027"/>
      <c r="E121" s="1034">
        <v>40</v>
      </c>
      <c r="F121" s="1032"/>
      <c r="G121" s="1034"/>
      <c r="H121" s="1031"/>
      <c r="I121" s="2382"/>
    </row>
    <row r="122" spans="1:9" s="47" customFormat="1" x14ac:dyDescent="0.2">
      <c r="A122" s="1037"/>
      <c r="B122" s="1038"/>
      <c r="C122" s="1033" t="s">
        <v>769</v>
      </c>
      <c r="D122" s="1038"/>
      <c r="E122" s="1040">
        <v>40</v>
      </c>
      <c r="F122" s="1041"/>
      <c r="G122" s="1040"/>
      <c r="H122" s="1041">
        <f>SUM(G120:G122)</f>
        <v>1040</v>
      </c>
      <c r="I122" s="2382"/>
    </row>
    <row r="123" spans="1:9" s="47" customFormat="1" x14ac:dyDescent="0.2">
      <c r="A123" s="1042" t="s">
        <v>418</v>
      </c>
      <c r="B123" s="1043" t="s">
        <v>259</v>
      </c>
      <c r="C123" s="1044" t="s">
        <v>324</v>
      </c>
      <c r="D123" s="1045" t="s">
        <v>17</v>
      </c>
      <c r="E123" s="1046">
        <f>SUM(E124:E128)</f>
        <v>540</v>
      </c>
      <c r="F123" s="1047">
        <f>salaries!H81</f>
        <v>33</v>
      </c>
      <c r="G123" s="1046">
        <f>F123*E123</f>
        <v>17820</v>
      </c>
      <c r="H123" s="1048"/>
      <c r="I123" s="2382"/>
    </row>
    <row r="124" spans="1:9" s="47" customFormat="1" x14ac:dyDescent="0.2">
      <c r="A124" s="1042"/>
      <c r="B124" s="1043"/>
      <c r="C124" s="1049" t="s">
        <v>783</v>
      </c>
      <c r="D124" s="1043"/>
      <c r="E124" s="1050">
        <v>160</v>
      </c>
      <c r="F124" s="1047"/>
      <c r="G124" s="1046"/>
      <c r="H124" s="1048"/>
      <c r="I124" s="2382"/>
    </row>
    <row r="125" spans="1:9" s="47" customFormat="1" x14ac:dyDescent="0.2">
      <c r="A125" s="1042"/>
      <c r="B125" s="1043"/>
      <c r="C125" s="1049" t="s">
        <v>785</v>
      </c>
      <c r="D125" s="1043"/>
      <c r="E125" s="1050">
        <v>80</v>
      </c>
      <c r="F125" s="1047"/>
      <c r="G125" s="1046"/>
      <c r="H125" s="1048"/>
      <c r="I125" s="2382"/>
    </row>
    <row r="126" spans="1:9" s="47" customFormat="1" x14ac:dyDescent="0.2">
      <c r="A126" s="1042"/>
      <c r="B126" s="1043"/>
      <c r="C126" s="1049" t="s">
        <v>769</v>
      </c>
      <c r="D126" s="1043"/>
      <c r="E126" s="1050">
        <v>40</v>
      </c>
      <c r="F126" s="1047"/>
      <c r="G126" s="1046"/>
      <c r="H126" s="1048"/>
      <c r="I126" s="2382"/>
    </row>
    <row r="127" spans="1:9" s="47" customFormat="1" x14ac:dyDescent="0.2">
      <c r="A127" s="1042"/>
      <c r="B127" s="1043"/>
      <c r="C127" s="1049" t="s">
        <v>905</v>
      </c>
      <c r="D127" s="1043"/>
      <c r="E127" s="1050">
        <v>180</v>
      </c>
      <c r="F127" s="1047"/>
      <c r="G127" s="1046"/>
      <c r="H127" s="1048"/>
      <c r="I127" s="2382"/>
    </row>
    <row r="128" spans="1:9" s="47" customFormat="1" x14ac:dyDescent="0.2">
      <c r="A128" s="1042"/>
      <c r="B128" s="1043"/>
      <c r="C128" s="1049" t="s">
        <v>784</v>
      </c>
      <c r="D128" s="1043"/>
      <c r="E128" s="1050">
        <v>80</v>
      </c>
      <c r="F128" s="1047"/>
      <c r="G128" s="1046"/>
      <c r="H128" s="1048"/>
      <c r="I128" s="2382"/>
    </row>
    <row r="129" spans="1:9" s="47" customFormat="1" x14ac:dyDescent="0.2">
      <c r="A129" s="1042"/>
      <c r="B129" s="1043" t="s">
        <v>261</v>
      </c>
      <c r="C129" s="1044" t="s">
        <v>324</v>
      </c>
      <c r="D129" s="1045" t="s">
        <v>17</v>
      </c>
      <c r="E129" s="1046">
        <f>SUM(E130:E132)</f>
        <v>340</v>
      </c>
      <c r="F129" s="1047">
        <f>salaries!H83</f>
        <v>23</v>
      </c>
      <c r="G129" s="1046">
        <f>F129*E129</f>
        <v>7820</v>
      </c>
      <c r="H129" s="1048"/>
      <c r="I129" s="2382"/>
    </row>
    <row r="130" spans="1:9" s="47" customFormat="1" x14ac:dyDescent="0.2">
      <c r="A130" s="1042"/>
      <c r="B130" s="1043"/>
      <c r="C130" s="1049" t="s">
        <v>782</v>
      </c>
      <c r="D130" s="1043"/>
      <c r="E130" s="1050">
        <v>80</v>
      </c>
      <c r="F130" s="1047"/>
      <c r="G130" s="1046"/>
      <c r="H130" s="1048"/>
      <c r="I130" s="2382"/>
    </row>
    <row r="131" spans="1:9" s="47" customFormat="1" x14ac:dyDescent="0.2">
      <c r="A131" s="1042"/>
      <c r="B131" s="1043"/>
      <c r="C131" s="1049" t="s">
        <v>905</v>
      </c>
      <c r="D131" s="1043"/>
      <c r="E131" s="1050">
        <v>180</v>
      </c>
      <c r="F131" s="1047"/>
      <c r="G131" s="1046"/>
      <c r="H131" s="1048"/>
      <c r="I131" s="2382"/>
    </row>
    <row r="132" spans="1:9" s="47" customFormat="1" x14ac:dyDescent="0.2">
      <c r="A132" s="1051"/>
      <c r="B132" s="1052"/>
      <c r="C132" s="1053" t="s">
        <v>781</v>
      </c>
      <c r="D132" s="1052"/>
      <c r="E132" s="1054">
        <v>80</v>
      </c>
      <c r="F132" s="1055"/>
      <c r="G132" s="1054"/>
      <c r="H132" s="1055">
        <f>SUM(G123:G132)</f>
        <v>25640</v>
      </c>
      <c r="I132" s="2382"/>
    </row>
    <row r="133" spans="1:9" s="47" customFormat="1" x14ac:dyDescent="0.2">
      <c r="A133" s="1073" t="s">
        <v>419</v>
      </c>
      <c r="B133" s="1074" t="s">
        <v>263</v>
      </c>
      <c r="C133" s="1075" t="s">
        <v>324</v>
      </c>
      <c r="D133" s="1076" t="s">
        <v>17</v>
      </c>
      <c r="E133" s="1077">
        <f>SUM(E134:E138)</f>
        <v>540</v>
      </c>
      <c r="F133" s="1078">
        <f>salaries!H85</f>
        <v>18</v>
      </c>
      <c r="G133" s="1077">
        <f>F133*E133</f>
        <v>9720</v>
      </c>
      <c r="H133" s="1079"/>
      <c r="I133" s="2382"/>
    </row>
    <row r="134" spans="1:9" s="47" customFormat="1" x14ac:dyDescent="0.2">
      <c r="A134" s="1080"/>
      <c r="B134" s="1081"/>
      <c r="C134" s="1082" t="s">
        <v>783</v>
      </c>
      <c r="D134" s="1081"/>
      <c r="E134" s="1083">
        <v>160</v>
      </c>
      <c r="F134" s="1421"/>
      <c r="G134" s="1420"/>
      <c r="H134" s="1084"/>
      <c r="I134" s="2382"/>
    </row>
    <row r="135" spans="1:9" s="47" customFormat="1" x14ac:dyDescent="0.2">
      <c r="A135" s="1080"/>
      <c r="B135" s="1081"/>
      <c r="C135" s="1082" t="s">
        <v>785</v>
      </c>
      <c r="D135" s="1081"/>
      <c r="E135" s="1083">
        <v>80</v>
      </c>
      <c r="F135" s="1421"/>
      <c r="G135" s="1420"/>
      <c r="H135" s="1084"/>
      <c r="I135" s="2382"/>
    </row>
    <row r="136" spans="1:9" s="47" customFormat="1" x14ac:dyDescent="0.2">
      <c r="A136" s="1080"/>
      <c r="B136" s="1081"/>
      <c r="C136" s="1082" t="s">
        <v>769</v>
      </c>
      <c r="D136" s="1081"/>
      <c r="E136" s="1083">
        <v>40</v>
      </c>
      <c r="F136" s="1421"/>
      <c r="G136" s="1420"/>
      <c r="H136" s="1084"/>
      <c r="I136" s="2382"/>
    </row>
    <row r="137" spans="1:9" s="47" customFormat="1" x14ac:dyDescent="0.2">
      <c r="A137" s="1080"/>
      <c r="B137" s="1081"/>
      <c r="C137" s="1082" t="s">
        <v>905</v>
      </c>
      <c r="D137" s="1081"/>
      <c r="E137" s="1083">
        <v>180</v>
      </c>
      <c r="F137" s="1421"/>
      <c r="G137" s="1420"/>
      <c r="H137" s="1084"/>
      <c r="I137" s="2382"/>
    </row>
    <row r="138" spans="1:9" s="47" customFormat="1" x14ac:dyDescent="0.2">
      <c r="A138" s="1080"/>
      <c r="B138" s="1081"/>
      <c r="C138" s="1082" t="s">
        <v>784</v>
      </c>
      <c r="D138" s="1081"/>
      <c r="E138" s="1083">
        <v>80</v>
      </c>
      <c r="F138" s="1421"/>
      <c r="G138" s="1420"/>
      <c r="H138" s="1084"/>
      <c r="I138" s="2382"/>
    </row>
    <row r="139" spans="1:9" s="47" customFormat="1" x14ac:dyDescent="0.2">
      <c r="A139" s="1080"/>
      <c r="B139" s="1081" t="s">
        <v>265</v>
      </c>
      <c r="C139" s="1780" t="s">
        <v>324</v>
      </c>
      <c r="D139" s="1419" t="s">
        <v>17</v>
      </c>
      <c r="E139" s="1420">
        <f>SUM(E140:E142)</f>
        <v>340</v>
      </c>
      <c r="F139" s="1421">
        <f>salaries!H87</f>
        <v>21</v>
      </c>
      <c r="G139" s="1420">
        <f>F139*E139</f>
        <v>7140</v>
      </c>
      <c r="H139" s="1084"/>
      <c r="I139" s="2382"/>
    </row>
    <row r="140" spans="1:9" s="47" customFormat="1" x14ac:dyDescent="0.2">
      <c r="A140" s="1080"/>
      <c r="B140" s="1081"/>
      <c r="C140" s="1082" t="s">
        <v>782</v>
      </c>
      <c r="D140" s="1081"/>
      <c r="E140" s="1083">
        <v>80</v>
      </c>
      <c r="F140" s="1421"/>
      <c r="G140" s="1420"/>
      <c r="H140" s="1084"/>
      <c r="I140" s="2382"/>
    </row>
    <row r="141" spans="1:9" s="47" customFormat="1" x14ac:dyDescent="0.2">
      <c r="A141" s="1080"/>
      <c r="B141" s="1081"/>
      <c r="C141" s="1082" t="s">
        <v>905</v>
      </c>
      <c r="D141" s="1081"/>
      <c r="E141" s="1083">
        <v>180</v>
      </c>
      <c r="F141" s="1421"/>
      <c r="G141" s="1420"/>
      <c r="H141" s="1084"/>
      <c r="I141" s="2382"/>
    </row>
    <row r="142" spans="1:9" s="47" customFormat="1" x14ac:dyDescent="0.2">
      <c r="A142" s="1085"/>
      <c r="B142" s="1086"/>
      <c r="C142" s="1087" t="s">
        <v>781</v>
      </c>
      <c r="D142" s="1086"/>
      <c r="E142" s="1088">
        <v>80</v>
      </c>
      <c r="F142" s="1089"/>
      <c r="G142" s="1088"/>
      <c r="H142" s="1089">
        <f>SUM(G133:G142)</f>
        <v>16860</v>
      </c>
      <c r="I142" s="2382"/>
    </row>
    <row r="143" spans="1:9" s="47" customFormat="1" x14ac:dyDescent="0.2">
      <c r="A143" s="1090" t="s">
        <v>420</v>
      </c>
      <c r="B143" s="1091" t="s">
        <v>267</v>
      </c>
      <c r="C143" s="1092" t="s">
        <v>324</v>
      </c>
      <c r="D143" s="1093" t="s">
        <v>17</v>
      </c>
      <c r="E143" s="1094">
        <f>SUM(E144:E145)</f>
        <v>80</v>
      </c>
      <c r="F143" s="1095">
        <f>salaries!H89</f>
        <v>18</v>
      </c>
      <c r="G143" s="1094">
        <f>F143*E143</f>
        <v>1440</v>
      </c>
      <c r="H143" s="1096"/>
      <c r="I143" s="2382"/>
    </row>
    <row r="144" spans="1:9" s="47" customFormat="1" x14ac:dyDescent="0.2">
      <c r="A144" s="1097"/>
      <c r="B144" s="1098"/>
      <c r="C144" s="1099" t="s">
        <v>770</v>
      </c>
      <c r="D144" s="1423"/>
      <c r="E144" s="1100">
        <v>40</v>
      </c>
      <c r="F144" s="1425"/>
      <c r="G144" s="1424"/>
      <c r="H144" s="1101"/>
      <c r="I144" s="2382"/>
    </row>
    <row r="145" spans="1:9" s="47" customFormat="1" x14ac:dyDescent="0.2">
      <c r="A145" s="1102"/>
      <c r="B145" s="1103"/>
      <c r="C145" s="1104" t="s">
        <v>769</v>
      </c>
      <c r="D145" s="1103"/>
      <c r="E145" s="1105">
        <v>40</v>
      </c>
      <c r="F145" s="1106"/>
      <c r="G145" s="1105"/>
      <c r="H145" s="1106">
        <f>SUM(G143:G145)</f>
        <v>1440</v>
      </c>
      <c r="I145" s="2382"/>
    </row>
    <row r="146" spans="1:9" s="47" customFormat="1" x14ac:dyDescent="0.2">
      <c r="A146" s="1107" t="s">
        <v>949</v>
      </c>
      <c r="B146" s="1108" t="s">
        <v>271</v>
      </c>
      <c r="C146" s="1109" t="s">
        <v>324</v>
      </c>
      <c r="D146" s="1110" t="s">
        <v>17</v>
      </c>
      <c r="E146" s="1111">
        <f>SUM(E147:E148)</f>
        <v>0</v>
      </c>
      <c r="F146" s="1112">
        <f>salaries!H93</f>
        <v>52</v>
      </c>
      <c r="G146" s="1111">
        <f>F146*E146</f>
        <v>0</v>
      </c>
      <c r="H146" s="1113"/>
      <c r="I146" s="2382"/>
    </row>
    <row r="147" spans="1:9" s="47" customFormat="1" x14ac:dyDescent="0.2">
      <c r="A147" s="1114"/>
      <c r="B147" s="1115"/>
      <c r="C147" s="1116" t="s">
        <v>37</v>
      </c>
      <c r="D147" s="1426"/>
      <c r="E147" s="1117">
        <v>0</v>
      </c>
      <c r="F147" s="1428"/>
      <c r="G147" s="1427"/>
      <c r="H147" s="1118"/>
      <c r="I147" s="2382"/>
    </row>
    <row r="148" spans="1:9" s="47" customFormat="1" x14ac:dyDescent="0.2">
      <c r="A148" s="1119"/>
      <c r="B148" s="1120"/>
      <c r="C148" s="1121" t="s">
        <v>37</v>
      </c>
      <c r="D148" s="1120"/>
      <c r="E148" s="1122">
        <v>0</v>
      </c>
      <c r="F148" s="1123"/>
      <c r="G148" s="1122"/>
      <c r="H148" s="1123">
        <f>SUM(G146:G148)</f>
        <v>0</v>
      </c>
      <c r="I148" s="2382"/>
    </row>
    <row r="149" spans="1:9" s="47" customFormat="1" x14ac:dyDescent="0.2">
      <c r="A149" s="1124" t="s">
        <v>421</v>
      </c>
      <c r="B149" s="1125" t="s">
        <v>275</v>
      </c>
      <c r="C149" s="1126" t="s">
        <v>324</v>
      </c>
      <c r="D149" s="1127" t="s">
        <v>17</v>
      </c>
      <c r="E149" s="1128">
        <f>SUM(E150:E154)</f>
        <v>540</v>
      </c>
      <c r="F149" s="1129">
        <f>salaries!H97</f>
        <v>25</v>
      </c>
      <c r="G149" s="1128">
        <f>F149*E149</f>
        <v>13500</v>
      </c>
      <c r="H149" s="1130"/>
      <c r="I149" s="2382"/>
    </row>
    <row r="150" spans="1:9" s="47" customFormat="1" x14ac:dyDescent="0.2">
      <c r="A150" s="1131"/>
      <c r="B150" s="1132"/>
      <c r="C150" s="1133" t="s">
        <v>783</v>
      </c>
      <c r="D150" s="1132"/>
      <c r="E150" s="1134">
        <v>160</v>
      </c>
      <c r="F150" s="1136"/>
      <c r="G150" s="1430"/>
      <c r="H150" s="1135"/>
      <c r="I150" s="2382"/>
    </row>
    <row r="151" spans="1:9" s="47" customFormat="1" x14ac:dyDescent="0.2">
      <c r="A151" s="1131"/>
      <c r="B151" s="1132"/>
      <c r="C151" s="1133" t="s">
        <v>785</v>
      </c>
      <c r="D151" s="1132"/>
      <c r="E151" s="1134">
        <v>80</v>
      </c>
      <c r="F151" s="1136"/>
      <c r="G151" s="1430"/>
      <c r="H151" s="1135"/>
      <c r="I151" s="2382"/>
    </row>
    <row r="152" spans="1:9" s="47" customFormat="1" x14ac:dyDescent="0.2">
      <c r="A152" s="1131"/>
      <c r="B152" s="1132"/>
      <c r="C152" s="1133" t="s">
        <v>769</v>
      </c>
      <c r="D152" s="1132"/>
      <c r="E152" s="1134">
        <v>40</v>
      </c>
      <c r="F152" s="1136"/>
      <c r="G152" s="1430"/>
      <c r="H152" s="1135"/>
      <c r="I152" s="2382"/>
    </row>
    <row r="153" spans="1:9" s="47" customFormat="1" x14ac:dyDescent="0.2">
      <c r="A153" s="1131"/>
      <c r="B153" s="1132"/>
      <c r="C153" s="1133" t="s">
        <v>905</v>
      </c>
      <c r="D153" s="1132"/>
      <c r="E153" s="1134">
        <v>180</v>
      </c>
      <c r="F153" s="1136"/>
      <c r="G153" s="1430"/>
      <c r="H153" s="1135"/>
      <c r="I153" s="2382"/>
    </row>
    <row r="154" spans="1:9" s="47" customFormat="1" x14ac:dyDescent="0.2">
      <c r="A154" s="1131"/>
      <c r="B154" s="1132"/>
      <c r="C154" s="1133" t="s">
        <v>784</v>
      </c>
      <c r="D154" s="1132"/>
      <c r="E154" s="1134">
        <v>80</v>
      </c>
      <c r="F154" s="1136"/>
      <c r="G154" s="1430"/>
      <c r="H154" s="1135"/>
      <c r="I154" s="2382"/>
    </row>
    <row r="155" spans="1:9" s="47" customFormat="1" x14ac:dyDescent="0.2">
      <c r="A155" s="1131"/>
      <c r="B155" s="1132" t="s">
        <v>277</v>
      </c>
      <c r="C155" s="1781" t="s">
        <v>324</v>
      </c>
      <c r="D155" s="1429" t="s">
        <v>17</v>
      </c>
      <c r="E155" s="1430">
        <f>SUM(E156:E158)</f>
        <v>340</v>
      </c>
      <c r="F155" s="1136">
        <f>salaries!H99</f>
        <v>25</v>
      </c>
      <c r="G155" s="1430">
        <f>F155*E155</f>
        <v>8500</v>
      </c>
      <c r="H155" s="1135"/>
      <c r="I155" s="2382"/>
    </row>
    <row r="156" spans="1:9" s="47" customFormat="1" x14ac:dyDescent="0.2">
      <c r="A156" s="1131"/>
      <c r="B156" s="1132"/>
      <c r="C156" s="1133" t="s">
        <v>782</v>
      </c>
      <c r="D156" s="1132"/>
      <c r="E156" s="1134">
        <v>80</v>
      </c>
      <c r="F156" s="1136"/>
      <c r="G156" s="1430"/>
      <c r="H156" s="1135"/>
      <c r="I156" s="2382"/>
    </row>
    <row r="157" spans="1:9" s="47" customFormat="1" x14ac:dyDescent="0.2">
      <c r="A157" s="1131"/>
      <c r="B157" s="1132"/>
      <c r="C157" s="1133" t="s">
        <v>905</v>
      </c>
      <c r="D157" s="1132"/>
      <c r="E157" s="1134">
        <v>180</v>
      </c>
      <c r="F157" s="1136"/>
      <c r="G157" s="1430"/>
      <c r="H157" s="1135"/>
      <c r="I157" s="2382"/>
    </row>
    <row r="158" spans="1:9" s="47" customFormat="1" x14ac:dyDescent="0.2">
      <c r="A158" s="1137"/>
      <c r="B158" s="1138"/>
      <c r="C158" s="1139" t="s">
        <v>781</v>
      </c>
      <c r="D158" s="1138"/>
      <c r="E158" s="1140">
        <v>80</v>
      </c>
      <c r="F158" s="1141"/>
      <c r="G158" s="1140"/>
      <c r="H158" s="1141">
        <f>SUM(G149:G158)</f>
        <v>22000</v>
      </c>
      <c r="I158" s="2382"/>
    </row>
    <row r="159" spans="1:9" s="47" customFormat="1" x14ac:dyDescent="0.2">
      <c r="A159" s="548" t="s">
        <v>422</v>
      </c>
      <c r="B159" s="549" t="s">
        <v>280</v>
      </c>
      <c r="C159" s="555" t="s">
        <v>324</v>
      </c>
      <c r="D159" s="550" t="s">
        <v>17</v>
      </c>
      <c r="E159" s="551">
        <f>SUM(E160:E161)</f>
        <v>80</v>
      </c>
      <c r="F159" s="552">
        <f>salaries!H102</f>
        <v>15</v>
      </c>
      <c r="G159" s="551">
        <f>F159*E159</f>
        <v>1200</v>
      </c>
      <c r="H159" s="553"/>
      <c r="I159" s="2382"/>
    </row>
    <row r="160" spans="1:9" s="47" customFormat="1" x14ac:dyDescent="0.2">
      <c r="A160" s="548"/>
      <c r="B160" s="549"/>
      <c r="C160" s="556" t="s">
        <v>770</v>
      </c>
      <c r="D160" s="550"/>
      <c r="E160" s="554">
        <v>40</v>
      </c>
      <c r="F160" s="552"/>
      <c r="G160" s="551"/>
      <c r="H160" s="553"/>
      <c r="I160" s="2382"/>
    </row>
    <row r="161" spans="1:11" s="47" customFormat="1" x14ac:dyDescent="0.2">
      <c r="A161" s="548"/>
      <c r="B161" s="549"/>
      <c r="C161" s="556" t="s">
        <v>769</v>
      </c>
      <c r="D161" s="549"/>
      <c r="E161" s="554">
        <v>40</v>
      </c>
      <c r="F161" s="553"/>
      <c r="G161" s="554"/>
      <c r="H161" s="553">
        <f>SUM(G159:G161)</f>
        <v>1200</v>
      </c>
      <c r="I161" s="2382"/>
    </row>
    <row r="162" spans="1:11" s="47" customFormat="1" x14ac:dyDescent="0.2">
      <c r="A162" s="2132" t="s">
        <v>950</v>
      </c>
      <c r="B162" s="2133" t="s">
        <v>285</v>
      </c>
      <c r="C162" s="2134" t="s">
        <v>324</v>
      </c>
      <c r="D162" s="2135" t="s">
        <v>17</v>
      </c>
      <c r="E162" s="2136">
        <f>SUM(E163:E164)</f>
        <v>80</v>
      </c>
      <c r="F162" s="2137">
        <f>salaries!H107</f>
        <v>0</v>
      </c>
      <c r="G162" s="2136">
        <f>F162*E162</f>
        <v>0</v>
      </c>
      <c r="H162" s="2138"/>
      <c r="I162" s="2382"/>
    </row>
    <row r="163" spans="1:11" s="47" customFormat="1" x14ac:dyDescent="0.2">
      <c r="A163" s="2081"/>
      <c r="B163" s="2082"/>
      <c r="C163" s="2088" t="s">
        <v>770</v>
      </c>
      <c r="D163" s="2084"/>
      <c r="E163" s="2089">
        <v>40</v>
      </c>
      <c r="F163" s="2086"/>
      <c r="G163" s="2085"/>
      <c r="H163" s="2087"/>
      <c r="I163" s="2382"/>
    </row>
    <row r="164" spans="1:11" s="47" customFormat="1" x14ac:dyDescent="0.2">
      <c r="A164" s="2139"/>
      <c r="B164" s="2140"/>
      <c r="C164" s="2141" t="s">
        <v>769</v>
      </c>
      <c r="D164" s="2140"/>
      <c r="E164" s="2142">
        <v>40</v>
      </c>
      <c r="F164" s="2143"/>
      <c r="G164" s="2142"/>
      <c r="H164" s="2143">
        <f>SUM(G162:G164)</f>
        <v>0</v>
      </c>
      <c r="I164" s="2382"/>
    </row>
    <row r="165" spans="1:11" s="47" customFormat="1" x14ac:dyDescent="0.2">
      <c r="A165" s="2156" t="s">
        <v>951</v>
      </c>
      <c r="B165" s="2205" t="s">
        <v>287</v>
      </c>
      <c r="C165" s="2206" t="s">
        <v>324</v>
      </c>
      <c r="D165" s="2207" t="s">
        <v>17</v>
      </c>
      <c r="E165" s="2208">
        <f>SUM(E166:E167)</f>
        <v>0</v>
      </c>
      <c r="F165" s="2209">
        <f>salaries!H109</f>
        <v>57</v>
      </c>
      <c r="G165" s="2208">
        <f>F165*E165</f>
        <v>0</v>
      </c>
      <c r="H165" s="2160"/>
      <c r="I165" s="2382"/>
    </row>
    <row r="166" spans="1:11" s="47" customFormat="1" x14ac:dyDescent="0.2">
      <c r="A166" s="2094"/>
      <c r="B166" s="2095"/>
      <c r="C166" s="2101" t="s">
        <v>37</v>
      </c>
      <c r="D166" s="2097"/>
      <c r="E166" s="2102">
        <v>0</v>
      </c>
      <c r="F166" s="2099"/>
      <c r="G166" s="2098"/>
      <c r="H166" s="2100"/>
      <c r="I166" s="2382"/>
    </row>
    <row r="167" spans="1:11" s="47" customFormat="1" x14ac:dyDescent="0.2">
      <c r="A167" s="2163"/>
      <c r="B167" s="2210"/>
      <c r="C167" s="2211" t="s">
        <v>37</v>
      </c>
      <c r="D167" s="2210"/>
      <c r="E167" s="2169">
        <v>0</v>
      </c>
      <c r="F167" s="2167"/>
      <c r="G167" s="2169"/>
      <c r="H167" s="2167">
        <f>SUM(G165:G167)</f>
        <v>0</v>
      </c>
      <c r="I167" s="2382"/>
    </row>
    <row r="168" spans="1:11" s="47" customFormat="1" x14ac:dyDescent="0.2">
      <c r="A168" s="1026" t="s">
        <v>952</v>
      </c>
      <c r="B168" s="1027" t="s">
        <v>293</v>
      </c>
      <c r="C168" s="1028" t="s">
        <v>324</v>
      </c>
      <c r="D168" s="1029" t="s">
        <v>17</v>
      </c>
      <c r="E168" s="1030">
        <f>SUM(E169:E170)</f>
        <v>80</v>
      </c>
      <c r="F168" s="1031">
        <f>salaries!H115</f>
        <v>11</v>
      </c>
      <c r="G168" s="1030">
        <f>F168*E168</f>
        <v>880</v>
      </c>
      <c r="H168" s="1032"/>
      <c r="I168" s="2382"/>
    </row>
    <row r="169" spans="1:11" s="47" customFormat="1" x14ac:dyDescent="0.2">
      <c r="A169" s="1026"/>
      <c r="B169" s="1027"/>
      <c r="C169" s="1033" t="s">
        <v>770</v>
      </c>
      <c r="D169" s="1029"/>
      <c r="E169" s="1034">
        <v>40</v>
      </c>
      <c r="F169" s="1031"/>
      <c r="G169" s="1030"/>
      <c r="H169" s="1032"/>
      <c r="I169" s="2382"/>
    </row>
    <row r="170" spans="1:11" s="47" customFormat="1" x14ac:dyDescent="0.2">
      <c r="A170" s="1026"/>
      <c r="B170" s="1027"/>
      <c r="C170" s="1033" t="s">
        <v>769</v>
      </c>
      <c r="D170" s="1027"/>
      <c r="E170" s="1034">
        <v>40</v>
      </c>
      <c r="F170" s="1032"/>
      <c r="G170" s="1034"/>
      <c r="H170" s="1032">
        <f>SUM(G168:G170)</f>
        <v>880</v>
      </c>
      <c r="I170" s="2382"/>
    </row>
    <row r="171" spans="1:11" x14ac:dyDescent="0.2">
      <c r="A171" s="78" t="s">
        <v>8</v>
      </c>
      <c r="B171" s="12"/>
      <c r="C171" s="232"/>
      <c r="D171" s="12" t="s">
        <v>34</v>
      </c>
      <c r="E171" s="27"/>
      <c r="F171" s="27"/>
      <c r="G171" s="27" t="s">
        <v>35</v>
      </c>
      <c r="H171" s="28">
        <f>SUM(H6:H170)</f>
        <v>251682</v>
      </c>
      <c r="I171" s="2495"/>
      <c r="J171" s="180"/>
      <c r="K171" s="180"/>
    </row>
    <row r="172" spans="1:11" x14ac:dyDescent="0.2">
      <c r="A172" s="148" t="s">
        <v>24</v>
      </c>
      <c r="B172" s="149"/>
      <c r="C172" s="1686"/>
      <c r="D172" s="149"/>
      <c r="E172" s="150"/>
      <c r="F172" s="150"/>
      <c r="G172" s="150"/>
      <c r="H172" s="151">
        <f t="shared" ref="H172" si="0">SUM(G172:G172)</f>
        <v>0</v>
      </c>
    </row>
    <row r="173" spans="1:11" x14ac:dyDescent="0.2">
      <c r="A173" s="768" t="s">
        <v>407</v>
      </c>
      <c r="B173" s="1741" t="s">
        <v>758</v>
      </c>
      <c r="C173" s="1742" t="s">
        <v>759</v>
      </c>
      <c r="D173" s="1741" t="s">
        <v>15</v>
      </c>
      <c r="E173" s="1743">
        <v>1</v>
      </c>
      <c r="F173" s="1743">
        <v>1500</v>
      </c>
      <c r="G173" s="1743">
        <f>F173*E173</f>
        <v>1500</v>
      </c>
      <c r="H173" s="1743">
        <f t="shared" ref="H173:H179" si="1">SUM(G173:G173)</f>
        <v>1500</v>
      </c>
    </row>
    <row r="174" spans="1:11" x14ac:dyDescent="0.2">
      <c r="A174" s="788" t="s">
        <v>413</v>
      </c>
      <c r="B174" s="1744" t="s">
        <v>758</v>
      </c>
      <c r="C174" s="1745" t="s">
        <v>759</v>
      </c>
      <c r="D174" s="1744" t="s">
        <v>15</v>
      </c>
      <c r="E174" s="1746">
        <v>1</v>
      </c>
      <c r="F174" s="1746">
        <v>1500</v>
      </c>
      <c r="G174" s="1746">
        <f t="shared" ref="G174:G179" si="2">SUM(F174)</f>
        <v>1500</v>
      </c>
      <c r="H174" s="1746">
        <f t="shared" si="1"/>
        <v>1500</v>
      </c>
    </row>
    <row r="175" spans="1:11" x14ac:dyDescent="0.2">
      <c r="A175" s="1747" t="s">
        <v>415</v>
      </c>
      <c r="B175" s="1748" t="s">
        <v>758</v>
      </c>
      <c r="C175" s="1749" t="s">
        <v>759</v>
      </c>
      <c r="D175" s="1748" t="s">
        <v>15</v>
      </c>
      <c r="E175" s="1750">
        <v>1</v>
      </c>
      <c r="F175" s="1750">
        <v>2000</v>
      </c>
      <c r="G175" s="1750">
        <f t="shared" si="2"/>
        <v>2000</v>
      </c>
      <c r="H175" s="1750">
        <f t="shared" si="1"/>
        <v>2000</v>
      </c>
    </row>
    <row r="176" spans="1:11" x14ac:dyDescent="0.2">
      <c r="A176" s="798" t="s">
        <v>416</v>
      </c>
      <c r="B176" s="1751" t="s">
        <v>758</v>
      </c>
      <c r="C176" s="1752" t="s">
        <v>759</v>
      </c>
      <c r="D176" s="1751" t="s">
        <v>15</v>
      </c>
      <c r="E176" s="1753">
        <v>1</v>
      </c>
      <c r="F176" s="1753">
        <v>2000</v>
      </c>
      <c r="G176" s="1753">
        <f t="shared" si="2"/>
        <v>2000</v>
      </c>
      <c r="H176" s="1753">
        <f t="shared" si="1"/>
        <v>2000</v>
      </c>
    </row>
    <row r="177" spans="1:8" x14ac:dyDescent="0.2">
      <c r="A177" s="804" t="s">
        <v>418</v>
      </c>
      <c r="B177" s="1754" t="s">
        <v>758</v>
      </c>
      <c r="C177" s="1755" t="s">
        <v>759</v>
      </c>
      <c r="D177" s="1754" t="s">
        <v>15</v>
      </c>
      <c r="E177" s="1756">
        <v>1</v>
      </c>
      <c r="F177" s="1756">
        <v>2000</v>
      </c>
      <c r="G177" s="1756">
        <f t="shared" si="2"/>
        <v>2000</v>
      </c>
      <c r="H177" s="1756">
        <f t="shared" si="1"/>
        <v>2000</v>
      </c>
    </row>
    <row r="178" spans="1:8" x14ac:dyDescent="0.2">
      <c r="A178" s="1757" t="s">
        <v>419</v>
      </c>
      <c r="B178" s="1758" t="s">
        <v>758</v>
      </c>
      <c r="C178" s="1759" t="s">
        <v>759</v>
      </c>
      <c r="D178" s="1758" t="s">
        <v>15</v>
      </c>
      <c r="E178" s="1760">
        <v>1</v>
      </c>
      <c r="F178" s="1760">
        <v>1500</v>
      </c>
      <c r="G178" s="1760">
        <f t="shared" si="2"/>
        <v>1500</v>
      </c>
      <c r="H178" s="1760">
        <f t="shared" si="1"/>
        <v>1500</v>
      </c>
    </row>
    <row r="179" spans="1:8" x14ac:dyDescent="0.2">
      <c r="A179" s="816" t="s">
        <v>421</v>
      </c>
      <c r="B179" s="1761" t="s">
        <v>758</v>
      </c>
      <c r="C179" s="1762" t="s">
        <v>759</v>
      </c>
      <c r="D179" s="1761" t="s">
        <v>15</v>
      </c>
      <c r="E179" s="1763">
        <v>1</v>
      </c>
      <c r="F179" s="1763">
        <v>1500</v>
      </c>
      <c r="G179" s="1763">
        <f t="shared" si="2"/>
        <v>1500</v>
      </c>
      <c r="H179" s="1763">
        <f t="shared" si="1"/>
        <v>1500</v>
      </c>
    </row>
    <row r="180" spans="1:8" x14ac:dyDescent="0.2">
      <c r="A180" s="152" t="s">
        <v>74</v>
      </c>
      <c r="B180" s="153"/>
      <c r="C180" s="247"/>
      <c r="D180" s="153"/>
      <c r="E180" s="154"/>
      <c r="F180" s="154"/>
      <c r="G180" s="154"/>
      <c r="H180" s="155">
        <f>SUM(H173:H179)</f>
        <v>12000</v>
      </c>
    </row>
    <row r="181" spans="1:8" x14ac:dyDescent="0.2">
      <c r="A181" s="76" t="s">
        <v>25</v>
      </c>
      <c r="B181" s="6"/>
      <c r="C181" s="231"/>
      <c r="D181" s="6"/>
      <c r="E181" s="21"/>
      <c r="F181" s="21"/>
      <c r="G181" s="21"/>
      <c r="H181" s="22">
        <f>SUM(G181:G181)</f>
        <v>0</v>
      </c>
    </row>
    <row r="182" spans="1:8" x14ac:dyDescent="0.2">
      <c r="A182" s="83" t="s">
        <v>107</v>
      </c>
      <c r="B182" s="124" t="s">
        <v>749</v>
      </c>
      <c r="C182" s="233" t="s">
        <v>752</v>
      </c>
      <c r="D182" s="112" t="s">
        <v>96</v>
      </c>
      <c r="E182" s="69">
        <v>1</v>
      </c>
      <c r="F182" s="71">
        <v>200</v>
      </c>
      <c r="G182" s="70">
        <f>F182*E182</f>
        <v>200</v>
      </c>
      <c r="H182" s="69"/>
    </row>
    <row r="183" spans="1:8" x14ac:dyDescent="0.2">
      <c r="A183" s="83"/>
      <c r="B183" s="86"/>
      <c r="C183" s="233" t="s">
        <v>750</v>
      </c>
      <c r="D183" s="112" t="s">
        <v>36</v>
      </c>
      <c r="E183" s="69">
        <v>3</v>
      </c>
      <c r="F183" s="71">
        <v>100</v>
      </c>
      <c r="G183" s="70">
        <f t="shared" ref="G183:G194" si="3">F183*E183</f>
        <v>300</v>
      </c>
      <c r="H183" s="69">
        <f>SUM(G182:G183)</f>
        <v>500</v>
      </c>
    </row>
    <row r="184" spans="1:8" x14ac:dyDescent="0.2">
      <c r="A184" s="640" t="s">
        <v>310</v>
      </c>
      <c r="B184" s="1191" t="s">
        <v>749</v>
      </c>
      <c r="C184" s="1731" t="s">
        <v>752</v>
      </c>
      <c r="D184" s="1193" t="s">
        <v>96</v>
      </c>
      <c r="E184" s="1529">
        <v>1</v>
      </c>
      <c r="F184" s="1734">
        <v>200</v>
      </c>
      <c r="G184" s="1530">
        <f t="shared" si="3"/>
        <v>200</v>
      </c>
      <c r="H184" s="1529"/>
    </row>
    <row r="185" spans="1:8" x14ac:dyDescent="0.2">
      <c r="A185" s="640"/>
      <c r="B185" s="1733"/>
      <c r="C185" s="1731" t="s">
        <v>750</v>
      </c>
      <c r="D185" s="1193" t="s">
        <v>36</v>
      </c>
      <c r="E185" s="1529">
        <v>3</v>
      </c>
      <c r="F185" s="1734">
        <v>100</v>
      </c>
      <c r="G185" s="1530">
        <f t="shared" si="3"/>
        <v>300</v>
      </c>
      <c r="H185" s="1529">
        <f>SUM(G184:G185)</f>
        <v>500</v>
      </c>
    </row>
    <row r="186" spans="1:8" x14ac:dyDescent="0.2">
      <c r="A186" s="532" t="s">
        <v>203</v>
      </c>
      <c r="B186" s="1177" t="s">
        <v>749</v>
      </c>
      <c r="C186" s="1707" t="s">
        <v>752</v>
      </c>
      <c r="D186" s="1175" t="s">
        <v>96</v>
      </c>
      <c r="E186" s="537">
        <v>1</v>
      </c>
      <c r="F186" s="1736">
        <v>200</v>
      </c>
      <c r="G186" s="539">
        <f t="shared" si="3"/>
        <v>200</v>
      </c>
      <c r="H186" s="537"/>
    </row>
    <row r="187" spans="1:8" x14ac:dyDescent="0.2">
      <c r="A187" s="532"/>
      <c r="B187" s="1735"/>
      <c r="C187" s="1707" t="s">
        <v>750</v>
      </c>
      <c r="D187" s="1175" t="s">
        <v>36</v>
      </c>
      <c r="E187" s="537">
        <v>3</v>
      </c>
      <c r="F187" s="1736">
        <v>100</v>
      </c>
      <c r="G187" s="539">
        <f t="shared" si="3"/>
        <v>300</v>
      </c>
      <c r="H187" s="537">
        <f>SUM(G186:G187)</f>
        <v>500</v>
      </c>
    </row>
    <row r="188" spans="1:8" x14ac:dyDescent="0.2">
      <c r="A188" s="617" t="s">
        <v>309</v>
      </c>
      <c r="B188" s="1187" t="s">
        <v>749</v>
      </c>
      <c r="C188" s="1727" t="s">
        <v>752</v>
      </c>
      <c r="D188" s="1189" t="s">
        <v>96</v>
      </c>
      <c r="E188" s="1290">
        <v>1</v>
      </c>
      <c r="F188" s="1298">
        <v>200</v>
      </c>
      <c r="G188" s="1447">
        <f t="shared" si="3"/>
        <v>200</v>
      </c>
      <c r="H188" s="1290"/>
    </row>
    <row r="189" spans="1:8" x14ac:dyDescent="0.2">
      <c r="A189" s="617"/>
      <c r="B189" s="1187"/>
      <c r="C189" s="1727" t="s">
        <v>750</v>
      </c>
      <c r="D189" s="1728" t="s">
        <v>36</v>
      </c>
      <c r="E189" s="1290">
        <v>3</v>
      </c>
      <c r="F189" s="1298">
        <v>100</v>
      </c>
      <c r="G189" s="1447">
        <f t="shared" si="3"/>
        <v>300</v>
      </c>
      <c r="H189" s="1290"/>
    </row>
    <row r="190" spans="1:8" x14ac:dyDescent="0.2">
      <c r="A190" s="617"/>
      <c r="B190" s="1448" t="s">
        <v>953</v>
      </c>
      <c r="C190" s="1727" t="s">
        <v>942</v>
      </c>
      <c r="D190" s="1728" t="s">
        <v>38</v>
      </c>
      <c r="E190" s="1290">
        <v>3</v>
      </c>
      <c r="F190" s="1298">
        <v>1000</v>
      </c>
      <c r="G190" s="1447">
        <f t="shared" si="3"/>
        <v>3000</v>
      </c>
      <c r="H190" s="1290">
        <f>SUM(G188:G190)</f>
        <v>3500</v>
      </c>
    </row>
    <row r="191" spans="1:8" x14ac:dyDescent="0.2">
      <c r="A191" s="1710" t="s">
        <v>204</v>
      </c>
      <c r="B191" s="1711" t="s">
        <v>749</v>
      </c>
      <c r="C191" s="1712" t="s">
        <v>752</v>
      </c>
      <c r="D191" s="1737" t="s">
        <v>96</v>
      </c>
      <c r="E191" s="1717">
        <v>1</v>
      </c>
      <c r="F191" s="1738">
        <v>200</v>
      </c>
      <c r="G191" s="1716">
        <f t="shared" si="3"/>
        <v>200</v>
      </c>
      <c r="H191" s="1717"/>
    </row>
    <row r="192" spans="1:8" x14ac:dyDescent="0.2">
      <c r="A192" s="1710"/>
      <c r="B192" s="1711"/>
      <c r="C192" s="1712" t="s">
        <v>750</v>
      </c>
      <c r="D192" s="1740" t="s">
        <v>36</v>
      </c>
      <c r="E192" s="1717">
        <v>3</v>
      </c>
      <c r="F192" s="1738">
        <v>100</v>
      </c>
      <c r="G192" s="1716">
        <f t="shared" si="3"/>
        <v>300</v>
      </c>
      <c r="H192" s="1717"/>
    </row>
    <row r="193" spans="1:9" x14ac:dyDescent="0.2">
      <c r="A193" s="1710"/>
      <c r="B193" s="1711" t="s">
        <v>775</v>
      </c>
      <c r="C193" s="1712" t="s">
        <v>779</v>
      </c>
      <c r="D193" s="1740" t="s">
        <v>16</v>
      </c>
      <c r="E193" s="1717">
        <v>7</v>
      </c>
      <c r="F193" s="1738">
        <v>300</v>
      </c>
      <c r="G193" s="1716">
        <f t="shared" si="3"/>
        <v>2100</v>
      </c>
      <c r="H193" s="1717"/>
    </row>
    <row r="194" spans="1:9" x14ac:dyDescent="0.2">
      <c r="A194" s="1710"/>
      <c r="B194" s="1739"/>
      <c r="C194" s="1712" t="s">
        <v>780</v>
      </c>
      <c r="D194" s="1740" t="s">
        <v>36</v>
      </c>
      <c r="E194" s="1717">
        <v>21</v>
      </c>
      <c r="F194" s="1738">
        <v>120</v>
      </c>
      <c r="G194" s="1716">
        <f t="shared" si="3"/>
        <v>2520</v>
      </c>
      <c r="H194" s="1717">
        <f>SUM(G191:G194)</f>
        <v>5120</v>
      </c>
    </row>
    <row r="195" spans="1:9" x14ac:dyDescent="0.2">
      <c r="A195" s="656" t="s">
        <v>311</v>
      </c>
      <c r="B195" s="665" t="s">
        <v>749</v>
      </c>
      <c r="C195" s="1195" t="s">
        <v>68</v>
      </c>
      <c r="D195" s="1196" t="s">
        <v>16</v>
      </c>
      <c r="E195" s="661">
        <v>1</v>
      </c>
      <c r="F195" s="1197">
        <v>400</v>
      </c>
      <c r="G195" s="663">
        <f t="shared" ref="G195:G214" si="4">F195*E195</f>
        <v>400</v>
      </c>
      <c r="H195" s="661"/>
      <c r="I195" s="2383"/>
    </row>
    <row r="196" spans="1:9" x14ac:dyDescent="0.2">
      <c r="A196" s="656"/>
      <c r="B196" s="665"/>
      <c r="C196" s="1195" t="s">
        <v>778</v>
      </c>
      <c r="D196" s="1196" t="s">
        <v>36</v>
      </c>
      <c r="E196" s="661">
        <v>5</v>
      </c>
      <c r="F196" s="1197">
        <v>150</v>
      </c>
      <c r="G196" s="663">
        <f t="shared" si="4"/>
        <v>750</v>
      </c>
      <c r="H196" s="661"/>
      <c r="I196" s="2383"/>
    </row>
    <row r="197" spans="1:9" x14ac:dyDescent="0.2">
      <c r="A197" s="656"/>
      <c r="B197" s="665" t="s">
        <v>775</v>
      </c>
      <c r="C197" s="1195" t="s">
        <v>776</v>
      </c>
      <c r="D197" s="1196" t="s">
        <v>16</v>
      </c>
      <c r="E197" s="661">
        <v>3</v>
      </c>
      <c r="F197" s="1197">
        <v>400</v>
      </c>
      <c r="G197" s="663">
        <f t="shared" si="4"/>
        <v>1200</v>
      </c>
      <c r="H197" s="661"/>
      <c r="I197" s="2383"/>
    </row>
    <row r="198" spans="1:9" x14ac:dyDescent="0.2">
      <c r="A198" s="656"/>
      <c r="B198" s="665"/>
      <c r="C198" s="1195" t="s">
        <v>777</v>
      </c>
      <c r="D198" s="1196" t="s">
        <v>36</v>
      </c>
      <c r="E198" s="661">
        <v>3</v>
      </c>
      <c r="F198" s="1197">
        <v>120</v>
      </c>
      <c r="G198" s="663">
        <f t="shared" si="4"/>
        <v>360</v>
      </c>
      <c r="H198" s="661"/>
      <c r="I198" s="2383"/>
    </row>
    <row r="199" spans="1:9" x14ac:dyDescent="0.2">
      <c r="A199" s="656"/>
      <c r="B199" s="665" t="s">
        <v>744</v>
      </c>
      <c r="C199" s="1195" t="s">
        <v>557</v>
      </c>
      <c r="D199" s="1196" t="s">
        <v>15</v>
      </c>
      <c r="E199" s="661">
        <v>1</v>
      </c>
      <c r="F199" s="1197">
        <v>500</v>
      </c>
      <c r="G199" s="663">
        <f t="shared" si="4"/>
        <v>500</v>
      </c>
      <c r="H199" s="661">
        <f>SUM(G195:G199)</f>
        <v>3210</v>
      </c>
      <c r="I199" s="2382"/>
    </row>
    <row r="200" spans="1:9" x14ac:dyDescent="0.2">
      <c r="A200" s="936" t="s">
        <v>412</v>
      </c>
      <c r="B200" s="1219" t="s">
        <v>749</v>
      </c>
      <c r="C200" s="1220" t="s">
        <v>474</v>
      </c>
      <c r="D200" s="1221" t="s">
        <v>16</v>
      </c>
      <c r="E200" s="943">
        <v>1</v>
      </c>
      <c r="F200" s="1222">
        <v>400</v>
      </c>
      <c r="G200" s="946">
        <f t="shared" si="4"/>
        <v>400</v>
      </c>
      <c r="H200" s="943"/>
      <c r="I200" s="2383"/>
    </row>
    <row r="201" spans="1:9" x14ac:dyDescent="0.2">
      <c r="A201" s="936"/>
      <c r="B201" s="1219"/>
      <c r="C201" s="1220" t="s">
        <v>753</v>
      </c>
      <c r="D201" s="1221" t="s">
        <v>36</v>
      </c>
      <c r="E201" s="943">
        <v>5</v>
      </c>
      <c r="F201" s="1222">
        <v>150</v>
      </c>
      <c r="G201" s="946">
        <f t="shared" si="4"/>
        <v>750</v>
      </c>
      <c r="H201" s="943"/>
      <c r="I201" s="2383"/>
    </row>
    <row r="202" spans="1:9" x14ac:dyDescent="0.2">
      <c r="A202" s="936"/>
      <c r="B202" s="1219" t="s">
        <v>744</v>
      </c>
      <c r="C202" s="1220" t="s">
        <v>557</v>
      </c>
      <c r="D202" s="1221" t="s">
        <v>15</v>
      </c>
      <c r="E202" s="943">
        <v>1</v>
      </c>
      <c r="F202" s="1222">
        <v>500</v>
      </c>
      <c r="G202" s="946">
        <f t="shared" si="4"/>
        <v>500</v>
      </c>
      <c r="H202" s="943">
        <f>SUM(G200:G202)</f>
        <v>1650</v>
      </c>
      <c r="I202" s="2382"/>
    </row>
    <row r="203" spans="1:9" x14ac:dyDescent="0.2">
      <c r="A203" s="836" t="s">
        <v>407</v>
      </c>
      <c r="B203" s="1198" t="s">
        <v>741</v>
      </c>
      <c r="C203" s="1199" t="s">
        <v>72</v>
      </c>
      <c r="D203" s="1200" t="s">
        <v>16</v>
      </c>
      <c r="E203" s="843">
        <v>2</v>
      </c>
      <c r="F203" s="1201">
        <v>400</v>
      </c>
      <c r="G203" s="846">
        <f t="shared" si="4"/>
        <v>800</v>
      </c>
      <c r="H203" s="843"/>
      <c r="I203" s="2383"/>
    </row>
    <row r="204" spans="1:9" x14ac:dyDescent="0.2">
      <c r="A204" s="836"/>
      <c r="B204" s="1198"/>
      <c r="C204" s="1199" t="s">
        <v>754</v>
      </c>
      <c r="D204" s="1200" t="s">
        <v>36</v>
      </c>
      <c r="E204" s="843">
        <v>10</v>
      </c>
      <c r="F204" s="1201">
        <v>150</v>
      </c>
      <c r="G204" s="846">
        <f t="shared" si="4"/>
        <v>1500</v>
      </c>
      <c r="H204" s="843"/>
      <c r="I204" s="2383"/>
    </row>
    <row r="205" spans="1:9" x14ac:dyDescent="0.2">
      <c r="A205" s="836"/>
      <c r="B205" s="1198" t="s">
        <v>744</v>
      </c>
      <c r="C205" s="1199" t="s">
        <v>557</v>
      </c>
      <c r="D205" s="1200" t="s">
        <v>15</v>
      </c>
      <c r="E205" s="843">
        <v>1</v>
      </c>
      <c r="F205" s="1201">
        <v>500</v>
      </c>
      <c r="G205" s="846">
        <f t="shared" si="4"/>
        <v>500</v>
      </c>
      <c r="H205" s="843">
        <f>SUM(G203:G205)</f>
        <v>2800</v>
      </c>
      <c r="I205" s="2382"/>
    </row>
    <row r="206" spans="1:9" x14ac:dyDescent="0.2">
      <c r="A206" s="969" t="s">
        <v>413</v>
      </c>
      <c r="B206" s="1223" t="s">
        <v>741</v>
      </c>
      <c r="C206" s="1224" t="s">
        <v>68</v>
      </c>
      <c r="D206" s="1225" t="s">
        <v>16</v>
      </c>
      <c r="E206" s="975">
        <v>2</v>
      </c>
      <c r="F206" s="1226">
        <v>400</v>
      </c>
      <c r="G206" s="976">
        <f t="shared" si="4"/>
        <v>800</v>
      </c>
      <c r="H206" s="975"/>
      <c r="I206" s="2383"/>
    </row>
    <row r="207" spans="1:9" x14ac:dyDescent="0.2">
      <c r="A207" s="969"/>
      <c r="B207" s="1223"/>
      <c r="C207" s="1224" t="s">
        <v>754</v>
      </c>
      <c r="D207" s="1225" t="s">
        <v>36</v>
      </c>
      <c r="E207" s="975">
        <v>10</v>
      </c>
      <c r="F207" s="1226">
        <v>150</v>
      </c>
      <c r="G207" s="976">
        <f t="shared" si="4"/>
        <v>1500</v>
      </c>
      <c r="H207" s="975"/>
      <c r="I207" s="2383"/>
    </row>
    <row r="208" spans="1:9" x14ac:dyDescent="0.2">
      <c r="A208" s="969"/>
      <c r="B208" s="1223" t="s">
        <v>744</v>
      </c>
      <c r="C208" s="1224" t="s">
        <v>557</v>
      </c>
      <c r="D208" s="1225" t="s">
        <v>15</v>
      </c>
      <c r="E208" s="975">
        <v>1</v>
      </c>
      <c r="F208" s="1226">
        <v>500</v>
      </c>
      <c r="G208" s="976">
        <f t="shared" si="4"/>
        <v>500</v>
      </c>
      <c r="H208" s="975">
        <f>SUM(G206:G208)</f>
        <v>2800</v>
      </c>
      <c r="I208" s="2382"/>
    </row>
    <row r="209" spans="1:9" x14ac:dyDescent="0.2">
      <c r="A209" s="990" t="s">
        <v>414</v>
      </c>
      <c r="B209" s="1227" t="s">
        <v>741</v>
      </c>
      <c r="C209" s="1228" t="s">
        <v>68</v>
      </c>
      <c r="D209" s="1229" t="s">
        <v>16</v>
      </c>
      <c r="E209" s="995">
        <v>1</v>
      </c>
      <c r="F209" s="1230">
        <v>400</v>
      </c>
      <c r="G209" s="998">
        <f t="shared" si="4"/>
        <v>400</v>
      </c>
      <c r="H209" s="995"/>
      <c r="I209" s="2383"/>
    </row>
    <row r="210" spans="1:9" x14ac:dyDescent="0.2">
      <c r="A210" s="990"/>
      <c r="B210" s="1227"/>
      <c r="C210" s="1228" t="s">
        <v>753</v>
      </c>
      <c r="D210" s="1229" t="s">
        <v>36</v>
      </c>
      <c r="E210" s="995">
        <v>5</v>
      </c>
      <c r="F210" s="1230">
        <v>150</v>
      </c>
      <c r="G210" s="998">
        <f t="shared" si="4"/>
        <v>750</v>
      </c>
      <c r="H210" s="995"/>
      <c r="I210" s="2383"/>
    </row>
    <row r="211" spans="1:9" x14ac:dyDescent="0.2">
      <c r="A211" s="990"/>
      <c r="B211" s="1227" t="s">
        <v>744</v>
      </c>
      <c r="C211" s="1228" t="s">
        <v>557</v>
      </c>
      <c r="D211" s="1229" t="s">
        <v>15</v>
      </c>
      <c r="E211" s="995">
        <v>1</v>
      </c>
      <c r="F211" s="1230">
        <v>500</v>
      </c>
      <c r="G211" s="998">
        <f t="shared" si="4"/>
        <v>500</v>
      </c>
      <c r="H211" s="995">
        <f>SUM(G209:G211)</f>
        <v>1650</v>
      </c>
      <c r="I211" s="2382"/>
    </row>
    <row r="212" spans="1:9" x14ac:dyDescent="0.2">
      <c r="A212" s="1011" t="s">
        <v>415</v>
      </c>
      <c r="B212" s="1231" t="s">
        <v>741</v>
      </c>
      <c r="C212" s="1232" t="s">
        <v>70</v>
      </c>
      <c r="D212" s="1233" t="s">
        <v>16</v>
      </c>
      <c r="E212" s="1014">
        <v>2</v>
      </c>
      <c r="F212" s="1234">
        <v>300</v>
      </c>
      <c r="G212" s="1016">
        <f t="shared" si="4"/>
        <v>600</v>
      </c>
      <c r="H212" s="1014"/>
      <c r="I212" s="2383"/>
    </row>
    <row r="213" spans="1:9" x14ac:dyDescent="0.2">
      <c r="A213" s="1011"/>
      <c r="B213" s="1231"/>
      <c r="C213" s="1232" t="s">
        <v>754</v>
      </c>
      <c r="D213" s="1233" t="s">
        <v>36</v>
      </c>
      <c r="E213" s="1014">
        <v>10</v>
      </c>
      <c r="F213" s="1234">
        <v>150</v>
      </c>
      <c r="G213" s="1016">
        <v>1500</v>
      </c>
      <c r="H213" s="1014"/>
      <c r="I213" s="2383"/>
    </row>
    <row r="214" spans="1:9" x14ac:dyDescent="0.2">
      <c r="A214" s="1011"/>
      <c r="B214" s="1231" t="s">
        <v>744</v>
      </c>
      <c r="C214" s="1232" t="s">
        <v>557</v>
      </c>
      <c r="D214" s="1233" t="s">
        <v>15</v>
      </c>
      <c r="E214" s="1014">
        <v>1</v>
      </c>
      <c r="F214" s="1234">
        <v>500</v>
      </c>
      <c r="G214" s="1016">
        <f t="shared" si="4"/>
        <v>500</v>
      </c>
      <c r="H214" s="1014">
        <f>SUM(G212:G214)</f>
        <v>2600</v>
      </c>
      <c r="I214" s="2382"/>
    </row>
    <row r="215" spans="1:9" x14ac:dyDescent="0.2">
      <c r="A215" s="1017" t="s">
        <v>416</v>
      </c>
      <c r="B215" s="1235" t="s">
        <v>741</v>
      </c>
      <c r="C215" s="1236" t="s">
        <v>95</v>
      </c>
      <c r="D215" s="1237" t="s">
        <v>16</v>
      </c>
      <c r="E215" s="1023">
        <v>2</v>
      </c>
      <c r="F215" s="1238">
        <v>300</v>
      </c>
      <c r="G215" s="1025">
        <f>F215*E215</f>
        <v>600</v>
      </c>
      <c r="H215" s="1023"/>
      <c r="I215" s="2383"/>
    </row>
    <row r="216" spans="1:9" x14ac:dyDescent="0.2">
      <c r="A216" s="1017"/>
      <c r="B216" s="1235"/>
      <c r="C216" s="1236" t="s">
        <v>754</v>
      </c>
      <c r="D216" s="1237" t="s">
        <v>36</v>
      </c>
      <c r="E216" s="1023">
        <v>10</v>
      </c>
      <c r="F216" s="1238">
        <v>150</v>
      </c>
      <c r="G216" s="1025">
        <v>1500</v>
      </c>
      <c r="H216" s="1023"/>
      <c r="I216" s="2383"/>
    </row>
    <row r="217" spans="1:9" x14ac:dyDescent="0.2">
      <c r="A217" s="1017"/>
      <c r="B217" s="1235" t="s">
        <v>744</v>
      </c>
      <c r="C217" s="1236" t="s">
        <v>557</v>
      </c>
      <c r="D217" s="1237" t="s">
        <v>15</v>
      </c>
      <c r="E217" s="1023">
        <v>1</v>
      </c>
      <c r="F217" s="1238">
        <v>500</v>
      </c>
      <c r="G217" s="1025">
        <f>F217*E217</f>
        <v>500</v>
      </c>
      <c r="H217" s="1023">
        <f>SUM(G215:G217)</f>
        <v>2600</v>
      </c>
      <c r="I217" s="2382"/>
    </row>
    <row r="218" spans="1:9" x14ac:dyDescent="0.2">
      <c r="A218" s="1026" t="s">
        <v>417</v>
      </c>
      <c r="B218" s="1239" t="s">
        <v>741</v>
      </c>
      <c r="C218" s="1240" t="s">
        <v>95</v>
      </c>
      <c r="D218" s="1035" t="s">
        <v>16</v>
      </c>
      <c r="E218" s="1032">
        <v>1</v>
      </c>
      <c r="F218" s="1036">
        <v>300</v>
      </c>
      <c r="G218" s="1034">
        <f>F218*E218</f>
        <v>300</v>
      </c>
      <c r="H218" s="1032"/>
      <c r="I218" s="2383"/>
    </row>
    <row r="219" spans="1:9" x14ac:dyDescent="0.2">
      <c r="A219" s="1026"/>
      <c r="B219" s="1239"/>
      <c r="C219" s="1240" t="s">
        <v>753</v>
      </c>
      <c r="D219" s="1035" t="s">
        <v>36</v>
      </c>
      <c r="E219" s="1032">
        <v>5</v>
      </c>
      <c r="F219" s="1036">
        <v>150</v>
      </c>
      <c r="G219" s="1034">
        <v>750</v>
      </c>
      <c r="H219" s="1032"/>
      <c r="I219" s="2383"/>
    </row>
    <row r="220" spans="1:9" x14ac:dyDescent="0.2">
      <c r="A220" s="1026"/>
      <c r="B220" s="1239" t="s">
        <v>744</v>
      </c>
      <c r="C220" s="1240" t="s">
        <v>557</v>
      </c>
      <c r="D220" s="1035" t="s">
        <v>15</v>
      </c>
      <c r="E220" s="1032">
        <v>1</v>
      </c>
      <c r="F220" s="1036">
        <v>500</v>
      </c>
      <c r="G220" s="1034">
        <f>F220*E220</f>
        <v>500</v>
      </c>
      <c r="H220" s="1032">
        <f>SUM(G218:G220)</f>
        <v>1550</v>
      </c>
      <c r="I220" s="2382"/>
    </row>
    <row r="221" spans="1:9" x14ac:dyDescent="0.2">
      <c r="A221" s="1042" t="s">
        <v>418</v>
      </c>
      <c r="B221" s="1241" t="s">
        <v>741</v>
      </c>
      <c r="C221" s="1242" t="s">
        <v>561</v>
      </c>
      <c r="D221" s="1243" t="s">
        <v>16</v>
      </c>
      <c r="E221" s="1048">
        <v>2</v>
      </c>
      <c r="F221" s="1244">
        <v>400</v>
      </c>
      <c r="G221" s="1050">
        <f>F221*E221</f>
        <v>800</v>
      </c>
      <c r="H221" s="1048"/>
      <c r="I221" s="2383"/>
    </row>
    <row r="222" spans="1:9" x14ac:dyDescent="0.2">
      <c r="A222" s="1042"/>
      <c r="B222" s="1241"/>
      <c r="C222" s="1242" t="s">
        <v>754</v>
      </c>
      <c r="D222" s="1243" t="s">
        <v>36</v>
      </c>
      <c r="E222" s="1048">
        <v>10</v>
      </c>
      <c r="F222" s="1244">
        <v>150</v>
      </c>
      <c r="G222" s="1050">
        <v>1500</v>
      </c>
      <c r="H222" s="1048"/>
      <c r="I222" s="2383"/>
    </row>
    <row r="223" spans="1:9" x14ac:dyDescent="0.2">
      <c r="A223" s="1042"/>
      <c r="B223" s="1241" t="s">
        <v>744</v>
      </c>
      <c r="C223" s="1242" t="s">
        <v>557</v>
      </c>
      <c r="D223" s="1243" t="s">
        <v>15</v>
      </c>
      <c r="E223" s="1048">
        <v>1</v>
      </c>
      <c r="F223" s="1244">
        <v>500</v>
      </c>
      <c r="G223" s="1050">
        <f>F223*E223</f>
        <v>500</v>
      </c>
      <c r="H223" s="1048">
        <f>SUM(G221:G223)</f>
        <v>2800</v>
      </c>
      <c r="I223" s="2382"/>
    </row>
    <row r="224" spans="1:9" x14ac:dyDescent="0.2">
      <c r="A224" s="1080" t="s">
        <v>419</v>
      </c>
      <c r="B224" s="1245" t="s">
        <v>741</v>
      </c>
      <c r="C224" s="1246" t="s">
        <v>69</v>
      </c>
      <c r="D224" s="1247" t="s">
        <v>16</v>
      </c>
      <c r="E224" s="1084">
        <v>2</v>
      </c>
      <c r="F224" s="1248">
        <v>400</v>
      </c>
      <c r="G224" s="1083">
        <f>F224*E224</f>
        <v>800</v>
      </c>
      <c r="H224" s="1084"/>
      <c r="I224" s="2383"/>
    </row>
    <row r="225" spans="1:9" x14ac:dyDescent="0.2">
      <c r="A225" s="1080"/>
      <c r="B225" s="1245"/>
      <c r="C225" s="1246" t="s">
        <v>754</v>
      </c>
      <c r="D225" s="1247" t="s">
        <v>36</v>
      </c>
      <c r="E225" s="1084">
        <v>10</v>
      </c>
      <c r="F225" s="1248">
        <v>150</v>
      </c>
      <c r="G225" s="1083">
        <v>1500</v>
      </c>
      <c r="H225" s="1084"/>
      <c r="I225" s="2383"/>
    </row>
    <row r="226" spans="1:9" x14ac:dyDescent="0.2">
      <c r="A226" s="1080"/>
      <c r="B226" s="1245" t="s">
        <v>744</v>
      </c>
      <c r="C226" s="1246" t="s">
        <v>557</v>
      </c>
      <c r="D226" s="1247" t="s">
        <v>15</v>
      </c>
      <c r="E226" s="1084">
        <v>1</v>
      </c>
      <c r="F226" s="1248">
        <v>500</v>
      </c>
      <c r="G226" s="1083">
        <f>F226*E226</f>
        <v>500</v>
      </c>
      <c r="H226" s="1084">
        <f>SUM(G224:G226)</f>
        <v>2800</v>
      </c>
      <c r="I226" s="2382"/>
    </row>
    <row r="227" spans="1:9" x14ac:dyDescent="0.2">
      <c r="A227" s="1097" t="s">
        <v>420</v>
      </c>
      <c r="B227" s="1249" t="s">
        <v>741</v>
      </c>
      <c r="C227" s="1250" t="s">
        <v>71</v>
      </c>
      <c r="D227" s="1251" t="s">
        <v>16</v>
      </c>
      <c r="E227" s="1101">
        <v>1</v>
      </c>
      <c r="F227" s="1252">
        <v>500</v>
      </c>
      <c r="G227" s="1100">
        <f>F227*E227</f>
        <v>500</v>
      </c>
      <c r="H227" s="1101"/>
      <c r="I227" s="2383"/>
    </row>
    <row r="228" spans="1:9" x14ac:dyDescent="0.2">
      <c r="A228" s="1097"/>
      <c r="B228" s="1249"/>
      <c r="C228" s="1250" t="s">
        <v>753</v>
      </c>
      <c r="D228" s="1251" t="s">
        <v>36</v>
      </c>
      <c r="E228" s="1101">
        <v>5</v>
      </c>
      <c r="F228" s="1252">
        <v>150</v>
      </c>
      <c r="G228" s="1100">
        <v>750</v>
      </c>
      <c r="H228" s="1101"/>
      <c r="I228" s="2383"/>
    </row>
    <row r="229" spans="1:9" x14ac:dyDescent="0.2">
      <c r="A229" s="1097"/>
      <c r="B229" s="1249" t="s">
        <v>744</v>
      </c>
      <c r="C229" s="1250" t="s">
        <v>557</v>
      </c>
      <c r="D229" s="1251" t="s">
        <v>15</v>
      </c>
      <c r="E229" s="1101">
        <v>1</v>
      </c>
      <c r="F229" s="1252">
        <v>500</v>
      </c>
      <c r="G229" s="1100">
        <f>F229*E229</f>
        <v>500</v>
      </c>
      <c r="H229" s="1101">
        <f>SUM(G227:G229)</f>
        <v>1750</v>
      </c>
      <c r="I229" s="2382"/>
    </row>
    <row r="230" spans="1:9" x14ac:dyDescent="0.2">
      <c r="A230" s="1114" t="s">
        <v>949</v>
      </c>
      <c r="B230" s="1253" t="s">
        <v>741</v>
      </c>
      <c r="C230" s="1254" t="s">
        <v>969</v>
      </c>
      <c r="D230" s="1255" t="s">
        <v>16</v>
      </c>
      <c r="E230" s="1118">
        <v>0</v>
      </c>
      <c r="F230" s="1256">
        <v>500</v>
      </c>
      <c r="G230" s="1117">
        <f t="shared" ref="G230:G242" si="5">F230*E230</f>
        <v>0</v>
      </c>
      <c r="H230" s="1118"/>
      <c r="I230" s="2383"/>
    </row>
    <row r="231" spans="1:9" x14ac:dyDescent="0.2">
      <c r="A231" s="1114"/>
      <c r="B231" s="1253"/>
      <c r="C231" s="1254" t="s">
        <v>753</v>
      </c>
      <c r="D231" s="1255" t="s">
        <v>36</v>
      </c>
      <c r="E231" s="1118">
        <v>0</v>
      </c>
      <c r="F231" s="1256">
        <v>150</v>
      </c>
      <c r="G231" s="1117">
        <f t="shared" si="5"/>
        <v>0</v>
      </c>
      <c r="H231" s="1118"/>
      <c r="I231" s="2383"/>
    </row>
    <row r="232" spans="1:9" x14ac:dyDescent="0.2">
      <c r="A232" s="1114"/>
      <c r="B232" s="1253" t="s">
        <v>744</v>
      </c>
      <c r="C232" s="1254" t="s">
        <v>557</v>
      </c>
      <c r="D232" s="1255" t="s">
        <v>15</v>
      </c>
      <c r="E232" s="1118">
        <v>0</v>
      </c>
      <c r="F232" s="1256">
        <v>500</v>
      </c>
      <c r="G232" s="1117">
        <f t="shared" si="5"/>
        <v>0</v>
      </c>
      <c r="H232" s="1118">
        <f>SUM(G230:G232)</f>
        <v>0</v>
      </c>
      <c r="I232" s="2382"/>
    </row>
    <row r="233" spans="1:9" x14ac:dyDescent="0.2">
      <c r="A233" s="1131" t="s">
        <v>421</v>
      </c>
      <c r="B233" s="1257" t="s">
        <v>741</v>
      </c>
      <c r="C233" s="1258" t="s">
        <v>474</v>
      </c>
      <c r="D233" s="1259" t="s">
        <v>16</v>
      </c>
      <c r="E233" s="1135">
        <v>2</v>
      </c>
      <c r="F233" s="1260">
        <v>400</v>
      </c>
      <c r="G233" s="1134">
        <f t="shared" si="5"/>
        <v>800</v>
      </c>
      <c r="H233" s="1135"/>
      <c r="I233" s="2383"/>
    </row>
    <row r="234" spans="1:9" x14ac:dyDescent="0.2">
      <c r="A234" s="1131"/>
      <c r="B234" s="1257"/>
      <c r="C234" s="1258" t="s">
        <v>754</v>
      </c>
      <c r="D234" s="1259" t="s">
        <v>36</v>
      </c>
      <c r="E234" s="1135">
        <v>10</v>
      </c>
      <c r="F234" s="1260">
        <v>150</v>
      </c>
      <c r="G234" s="1134">
        <f t="shared" si="5"/>
        <v>1500</v>
      </c>
      <c r="H234" s="1135"/>
      <c r="I234" s="2383"/>
    </row>
    <row r="235" spans="1:9" x14ac:dyDescent="0.2">
      <c r="A235" s="1131"/>
      <c r="B235" s="1257" t="s">
        <v>744</v>
      </c>
      <c r="C235" s="1258" t="s">
        <v>557</v>
      </c>
      <c r="D235" s="1259" t="s">
        <v>15</v>
      </c>
      <c r="E235" s="1135">
        <v>1</v>
      </c>
      <c r="F235" s="1260">
        <v>500</v>
      </c>
      <c r="G235" s="1134">
        <f t="shared" si="5"/>
        <v>500</v>
      </c>
      <c r="H235" s="1135">
        <f>SUM(G233:G235)</f>
        <v>2800</v>
      </c>
      <c r="I235" s="2382"/>
    </row>
    <row r="236" spans="1:9" x14ac:dyDescent="0.2">
      <c r="A236" s="548" t="s">
        <v>422</v>
      </c>
      <c r="B236" s="1202" t="s">
        <v>741</v>
      </c>
      <c r="C236" s="1203" t="s">
        <v>474</v>
      </c>
      <c r="D236" s="1204" t="s">
        <v>16</v>
      </c>
      <c r="E236" s="553">
        <v>1</v>
      </c>
      <c r="F236" s="1205">
        <v>400</v>
      </c>
      <c r="G236" s="554">
        <f t="shared" si="5"/>
        <v>400</v>
      </c>
      <c r="H236" s="553"/>
      <c r="I236" s="2383"/>
    </row>
    <row r="237" spans="1:9" x14ac:dyDescent="0.2">
      <c r="A237" s="548"/>
      <c r="B237" s="1202"/>
      <c r="C237" s="1203" t="s">
        <v>753</v>
      </c>
      <c r="D237" s="1204" t="s">
        <v>36</v>
      </c>
      <c r="E237" s="553">
        <v>5</v>
      </c>
      <c r="F237" s="1205">
        <v>150</v>
      </c>
      <c r="G237" s="554">
        <f t="shared" si="5"/>
        <v>750</v>
      </c>
      <c r="H237" s="553"/>
      <c r="I237" s="2383"/>
    </row>
    <row r="238" spans="1:9" x14ac:dyDescent="0.2">
      <c r="A238" s="548"/>
      <c r="B238" s="1202" t="s">
        <v>744</v>
      </c>
      <c r="C238" s="1203" t="s">
        <v>557</v>
      </c>
      <c r="D238" s="1204" t="s">
        <v>15</v>
      </c>
      <c r="E238" s="553">
        <v>1</v>
      </c>
      <c r="F238" s="1205">
        <v>500</v>
      </c>
      <c r="G238" s="554">
        <f t="shared" si="5"/>
        <v>500</v>
      </c>
      <c r="H238" s="553">
        <f>SUM(G236:G238)</f>
        <v>1650</v>
      </c>
      <c r="I238" s="2382"/>
    </row>
    <row r="239" spans="1:9" x14ac:dyDescent="0.2">
      <c r="A239" s="801" t="s">
        <v>408</v>
      </c>
      <c r="B239" s="1944" t="s">
        <v>744</v>
      </c>
      <c r="C239" s="1945" t="s">
        <v>557</v>
      </c>
      <c r="D239" s="1944" t="s">
        <v>15</v>
      </c>
      <c r="E239" s="1946">
        <v>1</v>
      </c>
      <c r="F239" s="1946">
        <v>500</v>
      </c>
      <c r="G239" s="1946">
        <f t="shared" si="5"/>
        <v>500</v>
      </c>
      <c r="H239" s="1946">
        <f>SUM(G239:G239)</f>
        <v>500</v>
      </c>
    </row>
    <row r="240" spans="1:9" x14ac:dyDescent="0.2">
      <c r="A240" s="876" t="s">
        <v>409</v>
      </c>
      <c r="B240" s="1206" t="s">
        <v>744</v>
      </c>
      <c r="C240" s="1207" t="s">
        <v>557</v>
      </c>
      <c r="D240" s="1208" t="s">
        <v>15</v>
      </c>
      <c r="E240" s="882">
        <v>1</v>
      </c>
      <c r="F240" s="1209">
        <v>500</v>
      </c>
      <c r="G240" s="885">
        <f t="shared" si="5"/>
        <v>500</v>
      </c>
      <c r="H240" s="882">
        <f>SUM(G240:G240)</f>
        <v>500</v>
      </c>
    </row>
    <row r="241" spans="1:9" x14ac:dyDescent="0.2">
      <c r="A241" s="907" t="s">
        <v>410</v>
      </c>
      <c r="B241" s="1211" t="s">
        <v>744</v>
      </c>
      <c r="C241" s="1212" t="s">
        <v>557</v>
      </c>
      <c r="D241" s="1213" t="s">
        <v>15</v>
      </c>
      <c r="E241" s="911">
        <v>1</v>
      </c>
      <c r="F241" s="1214">
        <v>500</v>
      </c>
      <c r="G241" s="910">
        <f t="shared" si="5"/>
        <v>500</v>
      </c>
      <c r="H241" s="911">
        <f>SUM(G241:G241)</f>
        <v>500</v>
      </c>
    </row>
    <row r="242" spans="1:9" x14ac:dyDescent="0.2">
      <c r="A242" s="923" t="s">
        <v>411</v>
      </c>
      <c r="B242" s="1215" t="s">
        <v>744</v>
      </c>
      <c r="C242" s="1216" t="s">
        <v>557</v>
      </c>
      <c r="D242" s="1217" t="s">
        <v>15</v>
      </c>
      <c r="E242" s="929">
        <v>1</v>
      </c>
      <c r="F242" s="1218">
        <v>500</v>
      </c>
      <c r="G242" s="931">
        <f t="shared" si="5"/>
        <v>500</v>
      </c>
      <c r="H242" s="929">
        <f>SUM(G242:G242)</f>
        <v>500</v>
      </c>
    </row>
    <row r="243" spans="1:9" x14ac:dyDescent="0.2">
      <c r="A243" s="2081" t="s">
        <v>950</v>
      </c>
      <c r="B243" s="2227" t="s">
        <v>741</v>
      </c>
      <c r="C243" s="2088" t="s">
        <v>70</v>
      </c>
      <c r="D243" s="2227" t="s">
        <v>16</v>
      </c>
      <c r="E243" s="2089">
        <v>0</v>
      </c>
      <c r="F243" s="2087">
        <v>300</v>
      </c>
      <c r="G243" s="2087">
        <f t="shared" ref="G243:G245" si="6">F243*E243</f>
        <v>0</v>
      </c>
      <c r="H243" s="2122"/>
      <c r="I243" s="2475"/>
    </row>
    <row r="244" spans="1:9" x14ac:dyDescent="0.2">
      <c r="A244" s="2081"/>
      <c r="B244" s="2082"/>
      <c r="C244" s="2088" t="s">
        <v>753</v>
      </c>
      <c r="D244" s="2227" t="s">
        <v>36</v>
      </c>
      <c r="E244" s="2089">
        <v>0</v>
      </c>
      <c r="F244" s="2087">
        <v>150</v>
      </c>
      <c r="G244" s="2087">
        <f t="shared" si="6"/>
        <v>0</v>
      </c>
      <c r="H244" s="2122"/>
    </row>
    <row r="245" spans="1:9" x14ac:dyDescent="0.2">
      <c r="A245" s="2081"/>
      <c r="B245" s="2227" t="s">
        <v>744</v>
      </c>
      <c r="C245" s="2088" t="s">
        <v>557</v>
      </c>
      <c r="D245" s="2227" t="s">
        <v>15</v>
      </c>
      <c r="E245" s="2089">
        <v>0</v>
      </c>
      <c r="F245" s="2087">
        <v>500</v>
      </c>
      <c r="G245" s="2087">
        <f t="shared" si="6"/>
        <v>0</v>
      </c>
      <c r="H245" s="2122">
        <f>SUM(G243:G245)</f>
        <v>0</v>
      </c>
    </row>
    <row r="246" spans="1:9" x14ac:dyDescent="0.2">
      <c r="A246" s="1833" t="s">
        <v>952</v>
      </c>
      <c r="B246" s="2228" t="s">
        <v>741</v>
      </c>
      <c r="C246" s="2229" t="s">
        <v>979</v>
      </c>
      <c r="D246" s="2228" t="s">
        <v>16</v>
      </c>
      <c r="E246" s="1839">
        <v>1</v>
      </c>
      <c r="F246" s="1837">
        <v>400</v>
      </c>
      <c r="G246" s="1837">
        <f t="shared" ref="G246:G248" si="7">F246*E246</f>
        <v>400</v>
      </c>
      <c r="H246" s="1838"/>
    </row>
    <row r="247" spans="1:9" x14ac:dyDescent="0.2">
      <c r="A247" s="1026"/>
      <c r="B247" s="1027"/>
      <c r="C247" s="1033" t="s">
        <v>753</v>
      </c>
      <c r="D247" s="2013" t="s">
        <v>36</v>
      </c>
      <c r="E247" s="1034">
        <v>5</v>
      </c>
      <c r="F247" s="1032">
        <v>150</v>
      </c>
      <c r="G247" s="1032">
        <f t="shared" si="7"/>
        <v>750</v>
      </c>
      <c r="H247" s="1036"/>
    </row>
    <row r="248" spans="1:9" x14ac:dyDescent="0.2">
      <c r="A248" s="1037"/>
      <c r="B248" s="2230" t="s">
        <v>744</v>
      </c>
      <c r="C248" s="1039" t="s">
        <v>557</v>
      </c>
      <c r="D248" s="2230" t="s">
        <v>15</v>
      </c>
      <c r="E248" s="1040">
        <v>1</v>
      </c>
      <c r="F248" s="1041">
        <v>500</v>
      </c>
      <c r="G248" s="1041">
        <f t="shared" si="7"/>
        <v>500</v>
      </c>
      <c r="H248" s="1843">
        <f>SUM(G246:G248)</f>
        <v>1650</v>
      </c>
    </row>
    <row r="249" spans="1:9" x14ac:dyDescent="0.2">
      <c r="A249" s="78" t="s">
        <v>9</v>
      </c>
      <c r="B249" s="12"/>
      <c r="C249" s="232"/>
      <c r="D249" s="12"/>
      <c r="E249" s="27"/>
      <c r="F249" s="27"/>
      <c r="G249" s="27"/>
      <c r="H249" s="28">
        <f>SUM(H182:H248)</f>
        <v>44430</v>
      </c>
    </row>
    <row r="250" spans="1:9" x14ac:dyDescent="0.2">
      <c r="A250" s="76" t="s">
        <v>27</v>
      </c>
      <c r="B250" s="6"/>
      <c r="C250" s="231"/>
      <c r="D250" s="6"/>
      <c r="E250" s="21"/>
      <c r="F250" s="21"/>
      <c r="G250" s="21"/>
      <c r="H250" s="22"/>
    </row>
    <row r="251" spans="1:9" s="159" customFormat="1" x14ac:dyDescent="0.2">
      <c r="A251" s="210"/>
      <c r="B251" s="43"/>
      <c r="C251" s="234"/>
      <c r="D251" s="43"/>
      <c r="E251" s="211"/>
      <c r="F251" s="44"/>
      <c r="G251" s="211"/>
      <c r="H251" s="44"/>
      <c r="I251" s="2072"/>
    </row>
    <row r="252" spans="1:9" s="159" customFormat="1" x14ac:dyDescent="0.2">
      <c r="A252" s="160"/>
      <c r="B252" s="161"/>
      <c r="C252" s="235"/>
      <c r="D252" s="161"/>
      <c r="E252" s="162"/>
      <c r="F252" s="163"/>
      <c r="G252" s="162"/>
      <c r="H252" s="163">
        <f>SUM(G250:G252)</f>
        <v>0</v>
      </c>
      <c r="I252" s="2072"/>
    </row>
    <row r="253" spans="1:9" x14ac:dyDescent="0.2">
      <c r="A253" s="78" t="s">
        <v>10</v>
      </c>
      <c r="B253" s="12"/>
      <c r="C253" s="232"/>
      <c r="D253" s="12"/>
      <c r="E253" s="27"/>
      <c r="F253" s="27"/>
      <c r="G253" s="27"/>
      <c r="H253" s="28">
        <f>SUM(H252:H252)</f>
        <v>0</v>
      </c>
    </row>
    <row r="254" spans="1:9" x14ac:dyDescent="0.2">
      <c r="A254" s="76" t="s">
        <v>76</v>
      </c>
      <c r="B254" s="6"/>
      <c r="C254" s="231"/>
      <c r="D254" s="6"/>
      <c r="E254" s="21"/>
      <c r="F254" s="21"/>
      <c r="G254" s="21"/>
      <c r="H254" s="22">
        <f>SUM(G254:G254)</f>
        <v>0</v>
      </c>
    </row>
    <row r="255" spans="1:9" x14ac:dyDescent="0.2">
      <c r="A255" s="1710" t="s">
        <v>204</v>
      </c>
      <c r="B255" s="1711" t="s">
        <v>116</v>
      </c>
      <c r="C255" s="1712" t="s">
        <v>757</v>
      </c>
      <c r="D255" s="1713" t="s">
        <v>49</v>
      </c>
      <c r="E255" s="1714">
        <v>1</v>
      </c>
      <c r="F255" s="1715">
        <v>1500</v>
      </c>
      <c r="G255" s="1716">
        <f>F255*E255</f>
        <v>1500</v>
      </c>
      <c r="H255" s="1717"/>
    </row>
    <row r="256" spans="1:9" x14ac:dyDescent="0.2">
      <c r="A256" s="1710"/>
      <c r="B256" s="1711" t="s">
        <v>741</v>
      </c>
      <c r="C256" s="1712" t="s">
        <v>700</v>
      </c>
      <c r="D256" s="1713"/>
      <c r="E256" s="1714"/>
      <c r="F256" s="1715"/>
      <c r="G256" s="1716">
        <v>0</v>
      </c>
      <c r="H256" s="1717"/>
    </row>
    <row r="257" spans="1:9" x14ac:dyDescent="0.2">
      <c r="A257" s="1710"/>
      <c r="B257" s="1718"/>
      <c r="C257" s="1712" t="s">
        <v>742</v>
      </c>
      <c r="D257" s="1713"/>
      <c r="E257" s="1714"/>
      <c r="F257" s="1715"/>
      <c r="G257" s="1716">
        <v>0</v>
      </c>
      <c r="H257" s="1717"/>
    </row>
    <row r="258" spans="1:9" x14ac:dyDescent="0.2">
      <c r="A258" s="1710"/>
      <c r="B258" s="1719" t="s">
        <v>704</v>
      </c>
      <c r="C258" s="1720" t="s">
        <v>705</v>
      </c>
      <c r="D258" s="1719" t="s">
        <v>706</v>
      </c>
      <c r="E258" s="1716">
        <v>2</v>
      </c>
      <c r="F258" s="1717">
        <v>500</v>
      </c>
      <c r="G258" s="1716">
        <f>F258*E258</f>
        <v>1000</v>
      </c>
      <c r="H258" s="1717">
        <f>SUM(G255:G258)</f>
        <v>2500</v>
      </c>
    </row>
    <row r="259" spans="1:9" x14ac:dyDescent="0.2">
      <c r="A259" s="1667" t="s">
        <v>310</v>
      </c>
      <c r="B259" s="1673" t="s">
        <v>117</v>
      </c>
      <c r="C259" s="1668" t="s">
        <v>757</v>
      </c>
      <c r="D259" s="1674" t="s">
        <v>49</v>
      </c>
      <c r="E259" s="1669">
        <v>1</v>
      </c>
      <c r="F259" s="1670">
        <v>1500</v>
      </c>
      <c r="G259" s="1671">
        <f>F259*E259</f>
        <v>1500</v>
      </c>
      <c r="H259" s="1672"/>
    </row>
    <row r="260" spans="1:9" x14ac:dyDescent="0.2">
      <c r="A260" s="1667"/>
      <c r="B260" s="1673"/>
      <c r="C260" s="1668" t="s">
        <v>973</v>
      </c>
      <c r="D260" s="1674"/>
      <c r="E260" s="1669"/>
      <c r="F260" s="1670"/>
      <c r="G260" s="1671"/>
      <c r="H260" s="1672"/>
    </row>
    <row r="261" spans="1:9" x14ac:dyDescent="0.2">
      <c r="A261" s="1667"/>
      <c r="B261" s="1673" t="s">
        <v>704</v>
      </c>
      <c r="C261" s="1668" t="s">
        <v>705</v>
      </c>
      <c r="D261" s="1674" t="s">
        <v>706</v>
      </c>
      <c r="E261" s="1669">
        <v>2</v>
      </c>
      <c r="F261" s="1670">
        <v>500</v>
      </c>
      <c r="G261" s="1671">
        <f t="shared" ref="G261:G270" si="8">F261*E261</f>
        <v>1000</v>
      </c>
      <c r="H261" s="1672">
        <f>SUM(G259:G261)</f>
        <v>2500</v>
      </c>
    </row>
    <row r="262" spans="1:9" x14ac:dyDescent="0.2">
      <c r="A262" s="532" t="s">
        <v>203</v>
      </c>
      <c r="B262" s="1177" t="s">
        <v>743</v>
      </c>
      <c r="C262" s="1707" t="s">
        <v>756</v>
      </c>
      <c r="D262" s="1175" t="s">
        <v>49</v>
      </c>
      <c r="E262" s="1708">
        <v>1</v>
      </c>
      <c r="F262" s="1709">
        <v>3000</v>
      </c>
      <c r="G262" s="539">
        <f t="shared" si="8"/>
        <v>3000</v>
      </c>
      <c r="H262" s="537"/>
    </row>
    <row r="263" spans="1:9" x14ac:dyDescent="0.2">
      <c r="A263" s="532"/>
      <c r="B263" s="1177" t="s">
        <v>704</v>
      </c>
      <c r="C263" s="1707" t="s">
        <v>705</v>
      </c>
      <c r="D263" s="1175" t="s">
        <v>706</v>
      </c>
      <c r="E263" s="1708">
        <v>2</v>
      </c>
      <c r="F263" s="1709">
        <v>500</v>
      </c>
      <c r="G263" s="539">
        <f t="shared" si="8"/>
        <v>1000</v>
      </c>
      <c r="H263" s="537">
        <f>SUM(G262:G263)</f>
        <v>4000</v>
      </c>
    </row>
    <row r="264" spans="1:9" x14ac:dyDescent="0.2">
      <c r="A264" s="836" t="s">
        <v>407</v>
      </c>
      <c r="B264" s="1198" t="s">
        <v>744</v>
      </c>
      <c r="C264" s="1199" t="s">
        <v>906</v>
      </c>
      <c r="D264" s="1200" t="s">
        <v>49</v>
      </c>
      <c r="E264" s="843">
        <v>6</v>
      </c>
      <c r="F264" s="1201">
        <v>400</v>
      </c>
      <c r="G264" s="846">
        <f t="shared" si="8"/>
        <v>2400</v>
      </c>
      <c r="H264" s="843"/>
    </row>
    <row r="265" spans="1:9" x14ac:dyDescent="0.2">
      <c r="A265" s="836"/>
      <c r="B265" s="1198" t="s">
        <v>745</v>
      </c>
      <c r="C265" s="1199" t="s">
        <v>747</v>
      </c>
      <c r="D265" s="1200" t="s">
        <v>14</v>
      </c>
      <c r="E265" s="843">
        <v>1</v>
      </c>
      <c r="F265" s="1201">
        <v>500</v>
      </c>
      <c r="G265" s="846">
        <f t="shared" si="8"/>
        <v>500</v>
      </c>
      <c r="H265" s="843"/>
    </row>
    <row r="266" spans="1:9" x14ac:dyDescent="0.2">
      <c r="A266" s="836"/>
      <c r="B266" s="1198" t="s">
        <v>746</v>
      </c>
      <c r="C266" s="1199" t="s">
        <v>755</v>
      </c>
      <c r="D266" s="1200" t="s">
        <v>748</v>
      </c>
      <c r="E266" s="843">
        <v>2</v>
      </c>
      <c r="F266" s="1201">
        <v>800</v>
      </c>
      <c r="G266" s="846">
        <f t="shared" si="8"/>
        <v>1600</v>
      </c>
      <c r="H266" s="843"/>
    </row>
    <row r="267" spans="1:9" x14ac:dyDescent="0.2">
      <c r="A267" s="836"/>
      <c r="B267" s="1198"/>
      <c r="C267" s="1199"/>
      <c r="D267" s="1200"/>
      <c r="E267" s="843"/>
      <c r="F267" s="1201"/>
      <c r="G267" s="846">
        <f t="shared" si="8"/>
        <v>0</v>
      </c>
      <c r="H267" s="843">
        <f>SUM(G264:G267)</f>
        <v>4500</v>
      </c>
    </row>
    <row r="268" spans="1:9" x14ac:dyDescent="0.2">
      <c r="A268" s="969" t="s">
        <v>413</v>
      </c>
      <c r="B268" s="1223" t="s">
        <v>744</v>
      </c>
      <c r="C268" s="1224" t="s">
        <v>906</v>
      </c>
      <c r="D268" s="1225" t="s">
        <v>49</v>
      </c>
      <c r="E268" s="975">
        <v>6</v>
      </c>
      <c r="F268" s="1226">
        <v>400</v>
      </c>
      <c r="G268" s="976">
        <f t="shared" si="8"/>
        <v>2400</v>
      </c>
      <c r="H268" s="975"/>
      <c r="I268" s="2383"/>
    </row>
    <row r="269" spans="1:9" x14ac:dyDescent="0.2">
      <c r="A269" s="969"/>
      <c r="B269" s="1223" t="s">
        <v>745</v>
      </c>
      <c r="C269" s="1224" t="s">
        <v>747</v>
      </c>
      <c r="D269" s="1225" t="s">
        <v>14</v>
      </c>
      <c r="E269" s="975">
        <v>1</v>
      </c>
      <c r="F269" s="1226">
        <v>500</v>
      </c>
      <c r="G269" s="976">
        <f t="shared" si="8"/>
        <v>500</v>
      </c>
      <c r="H269" s="975"/>
      <c r="I269" s="2383"/>
    </row>
    <row r="270" spans="1:9" x14ac:dyDescent="0.2">
      <c r="A270" s="969"/>
      <c r="B270" s="1223" t="s">
        <v>746</v>
      </c>
      <c r="C270" s="1224" t="s">
        <v>755</v>
      </c>
      <c r="D270" s="1225" t="s">
        <v>748</v>
      </c>
      <c r="E270" s="975">
        <v>2</v>
      </c>
      <c r="F270" s="1226">
        <v>800</v>
      </c>
      <c r="G270" s="976">
        <f t="shared" si="8"/>
        <v>1600</v>
      </c>
      <c r="H270" s="975">
        <f>SUM(G268:G270)</f>
        <v>4500</v>
      </c>
      <c r="I270" s="2382"/>
    </row>
    <row r="271" spans="1:9" x14ac:dyDescent="0.2">
      <c r="A271" s="1011" t="s">
        <v>415</v>
      </c>
      <c r="B271" s="1231" t="s">
        <v>744</v>
      </c>
      <c r="C271" s="1232" t="s">
        <v>906</v>
      </c>
      <c r="D271" s="1233" t="s">
        <v>49</v>
      </c>
      <c r="E271" s="1014">
        <v>6</v>
      </c>
      <c r="F271" s="1234">
        <v>400</v>
      </c>
      <c r="G271" s="1016">
        <f t="shared" ref="G271:G276" si="9">F271*E271</f>
        <v>2400</v>
      </c>
      <c r="H271" s="1014"/>
      <c r="I271" s="2383"/>
    </row>
    <row r="272" spans="1:9" x14ac:dyDescent="0.2">
      <c r="A272" s="1011"/>
      <c r="B272" s="1231" t="s">
        <v>745</v>
      </c>
      <c r="C272" s="1232" t="s">
        <v>747</v>
      </c>
      <c r="D272" s="1233" t="s">
        <v>14</v>
      </c>
      <c r="E272" s="1014">
        <v>1</v>
      </c>
      <c r="F272" s="1234">
        <v>500</v>
      </c>
      <c r="G272" s="1016">
        <f t="shared" si="9"/>
        <v>500</v>
      </c>
      <c r="H272" s="1014"/>
      <c r="I272" s="2383"/>
    </row>
    <row r="273" spans="1:9" x14ac:dyDescent="0.2">
      <c r="A273" s="1011"/>
      <c r="B273" s="1231" t="s">
        <v>746</v>
      </c>
      <c r="C273" s="1232" t="s">
        <v>1004</v>
      </c>
      <c r="D273" s="1233" t="s">
        <v>748</v>
      </c>
      <c r="E273" s="1014">
        <v>3</v>
      </c>
      <c r="F273" s="1234">
        <v>800</v>
      </c>
      <c r="G273" s="1016">
        <f t="shared" si="9"/>
        <v>2400</v>
      </c>
      <c r="H273" s="1014">
        <f>SUM(G271:G273)</f>
        <v>5300</v>
      </c>
      <c r="I273" s="2382"/>
    </row>
    <row r="274" spans="1:9" x14ac:dyDescent="0.2">
      <c r="A274" s="1017" t="s">
        <v>416</v>
      </c>
      <c r="B274" s="1235" t="s">
        <v>744</v>
      </c>
      <c r="C274" s="1236" t="s">
        <v>906</v>
      </c>
      <c r="D274" s="1237" t="s">
        <v>49</v>
      </c>
      <c r="E274" s="1023">
        <v>6</v>
      </c>
      <c r="F274" s="1238">
        <v>400</v>
      </c>
      <c r="G274" s="1025">
        <f t="shared" si="9"/>
        <v>2400</v>
      </c>
      <c r="H274" s="1023"/>
      <c r="I274" s="2383"/>
    </row>
    <row r="275" spans="1:9" x14ac:dyDescent="0.2">
      <c r="A275" s="1017"/>
      <c r="B275" s="1235" t="s">
        <v>745</v>
      </c>
      <c r="C275" s="1236" t="s">
        <v>747</v>
      </c>
      <c r="D275" s="1237" t="s">
        <v>14</v>
      </c>
      <c r="E275" s="1023">
        <v>1</v>
      </c>
      <c r="F275" s="1238">
        <v>500</v>
      </c>
      <c r="G275" s="1025">
        <f t="shared" si="9"/>
        <v>500</v>
      </c>
      <c r="H275" s="1023"/>
      <c r="I275" s="2383"/>
    </row>
    <row r="276" spans="1:9" x14ac:dyDescent="0.2">
      <c r="A276" s="1017"/>
      <c r="B276" s="1235" t="s">
        <v>746</v>
      </c>
      <c r="C276" s="1236" t="s">
        <v>755</v>
      </c>
      <c r="D276" s="1237" t="s">
        <v>748</v>
      </c>
      <c r="E276" s="1023">
        <v>2</v>
      </c>
      <c r="F276" s="1238">
        <v>800</v>
      </c>
      <c r="G276" s="1025">
        <f t="shared" si="9"/>
        <v>1600</v>
      </c>
      <c r="H276" s="1023">
        <f>SUM(G274:G276)</f>
        <v>4500</v>
      </c>
      <c r="I276" s="2382"/>
    </row>
    <row r="277" spans="1:9" x14ac:dyDescent="0.2">
      <c r="A277" s="1042" t="s">
        <v>418</v>
      </c>
      <c r="B277" s="1241" t="s">
        <v>744</v>
      </c>
      <c r="C277" s="1242" t="s">
        <v>906</v>
      </c>
      <c r="D277" s="1243" t="s">
        <v>49</v>
      </c>
      <c r="E277" s="1048">
        <v>6</v>
      </c>
      <c r="F277" s="1244">
        <v>400</v>
      </c>
      <c r="G277" s="1050">
        <f t="shared" ref="G277:G282" si="10">F277*E277</f>
        <v>2400</v>
      </c>
      <c r="H277" s="1048"/>
      <c r="I277" s="2383"/>
    </row>
    <row r="278" spans="1:9" x14ac:dyDescent="0.2">
      <c r="A278" s="1042"/>
      <c r="B278" s="1241" t="s">
        <v>745</v>
      </c>
      <c r="C278" s="1242" t="s">
        <v>747</v>
      </c>
      <c r="D278" s="1243" t="s">
        <v>14</v>
      </c>
      <c r="E278" s="1048">
        <v>1</v>
      </c>
      <c r="F278" s="1244">
        <v>500</v>
      </c>
      <c r="G278" s="1050">
        <f t="shared" si="10"/>
        <v>500</v>
      </c>
      <c r="H278" s="1048"/>
      <c r="I278" s="2383"/>
    </row>
    <row r="279" spans="1:9" x14ac:dyDescent="0.2">
      <c r="A279" s="1042"/>
      <c r="B279" s="1241" t="s">
        <v>746</v>
      </c>
      <c r="C279" s="1242" t="s">
        <v>755</v>
      </c>
      <c r="D279" s="1243" t="s">
        <v>748</v>
      </c>
      <c r="E279" s="1048">
        <v>2</v>
      </c>
      <c r="F279" s="1244">
        <v>900</v>
      </c>
      <c r="G279" s="1050">
        <f t="shared" si="10"/>
        <v>1800</v>
      </c>
      <c r="H279" s="1048">
        <f>SUM(G277:G279)</f>
        <v>4700</v>
      </c>
      <c r="I279" s="2382"/>
    </row>
    <row r="280" spans="1:9" x14ac:dyDescent="0.2">
      <c r="A280" s="1080" t="s">
        <v>419</v>
      </c>
      <c r="B280" s="1245" t="s">
        <v>744</v>
      </c>
      <c r="C280" s="1246" t="s">
        <v>906</v>
      </c>
      <c r="D280" s="1247" t="s">
        <v>49</v>
      </c>
      <c r="E280" s="1084">
        <v>6</v>
      </c>
      <c r="F280" s="1248">
        <v>400</v>
      </c>
      <c r="G280" s="1083">
        <f t="shared" si="10"/>
        <v>2400</v>
      </c>
      <c r="H280" s="1084"/>
      <c r="I280" s="2383"/>
    </row>
    <row r="281" spans="1:9" x14ac:dyDescent="0.2">
      <c r="A281" s="1080"/>
      <c r="B281" s="1245" t="s">
        <v>745</v>
      </c>
      <c r="C281" s="1246" t="s">
        <v>747</v>
      </c>
      <c r="D281" s="1247" t="s">
        <v>14</v>
      </c>
      <c r="E281" s="1084">
        <v>1</v>
      </c>
      <c r="F281" s="1248">
        <v>500</v>
      </c>
      <c r="G281" s="1083">
        <f t="shared" si="10"/>
        <v>500</v>
      </c>
      <c r="H281" s="1084"/>
      <c r="I281" s="2383"/>
    </row>
    <row r="282" spans="1:9" x14ac:dyDescent="0.2">
      <c r="A282" s="1080"/>
      <c r="B282" s="1245" t="s">
        <v>746</v>
      </c>
      <c r="C282" s="1246" t="s">
        <v>755</v>
      </c>
      <c r="D282" s="1247" t="s">
        <v>748</v>
      </c>
      <c r="E282" s="1084">
        <v>2</v>
      </c>
      <c r="F282" s="1248">
        <v>800</v>
      </c>
      <c r="G282" s="1083">
        <f t="shared" si="10"/>
        <v>1600</v>
      </c>
      <c r="H282" s="1084">
        <f>SUM(G280:G282)</f>
        <v>4500</v>
      </c>
      <c r="I282" s="2382"/>
    </row>
    <row r="283" spans="1:9" x14ac:dyDescent="0.2">
      <c r="A283" s="1131" t="s">
        <v>421</v>
      </c>
      <c r="B283" s="1257" t="s">
        <v>744</v>
      </c>
      <c r="C283" s="1258" t="s">
        <v>906</v>
      </c>
      <c r="D283" s="1259" t="s">
        <v>49</v>
      </c>
      <c r="E283" s="1135">
        <v>6</v>
      </c>
      <c r="F283" s="1260">
        <v>400</v>
      </c>
      <c r="G283" s="1134">
        <f>F283*E283</f>
        <v>2400</v>
      </c>
      <c r="H283" s="1135"/>
      <c r="I283" s="2383"/>
    </row>
    <row r="284" spans="1:9" x14ac:dyDescent="0.2">
      <c r="A284" s="1131"/>
      <c r="B284" s="1257" t="s">
        <v>745</v>
      </c>
      <c r="C284" s="1258" t="s">
        <v>747</v>
      </c>
      <c r="D284" s="1259" t="s">
        <v>14</v>
      </c>
      <c r="E284" s="1135">
        <v>1</v>
      </c>
      <c r="F284" s="1260">
        <v>500</v>
      </c>
      <c r="G284" s="1134">
        <f>F284*E284</f>
        <v>500</v>
      </c>
      <c r="H284" s="1135"/>
      <c r="I284" s="2383"/>
    </row>
    <row r="285" spans="1:9" x14ac:dyDescent="0.2">
      <c r="A285" s="1131"/>
      <c r="B285" s="1257" t="s">
        <v>746</v>
      </c>
      <c r="C285" s="1258" t="s">
        <v>755</v>
      </c>
      <c r="D285" s="1259" t="s">
        <v>748</v>
      </c>
      <c r="E285" s="1135">
        <v>2</v>
      </c>
      <c r="F285" s="1260">
        <v>900</v>
      </c>
      <c r="G285" s="1134">
        <f>F285*E285</f>
        <v>1800</v>
      </c>
      <c r="H285" s="1135">
        <f>SUM(G283:G285)</f>
        <v>4700</v>
      </c>
      <c r="I285" s="2382"/>
    </row>
    <row r="286" spans="1:9" x14ac:dyDescent="0.2">
      <c r="A286" s="78" t="s">
        <v>211</v>
      </c>
      <c r="B286" s="50"/>
      <c r="C286" s="232"/>
      <c r="D286" s="50"/>
      <c r="E286" s="27"/>
      <c r="F286" s="51"/>
      <c r="G286" s="27"/>
      <c r="H286" s="51">
        <f>SUM(H255:H285)</f>
        <v>41700</v>
      </c>
    </row>
    <row r="287" spans="1:9" x14ac:dyDescent="0.2">
      <c r="A287" s="79" t="s">
        <v>13</v>
      </c>
      <c r="B287" s="18"/>
      <c r="C287" s="236"/>
      <c r="D287" s="18"/>
      <c r="E287" s="33"/>
      <c r="F287" s="33"/>
      <c r="G287" s="33"/>
      <c r="H287" s="34">
        <f>WP4_SEC1_subtotal+WP4_SEC2_subtotal+WP4_SEC3_subtotal+WP4_SEC4_subtotal+WP4_SEC5_subtotal</f>
        <v>349812</v>
      </c>
    </row>
    <row r="288" spans="1:9" ht="14.25" x14ac:dyDescent="0.2">
      <c r="A288" s="140" t="s">
        <v>87</v>
      </c>
      <c r="B288" s="141" t="s">
        <v>122</v>
      </c>
      <c r="C288" s="237"/>
      <c r="D288" s="141"/>
      <c r="E288" s="142"/>
      <c r="F288" s="142"/>
      <c r="G288" s="142"/>
      <c r="H288" s="186">
        <f>H171*0.6</f>
        <v>151009.19999999998</v>
      </c>
      <c r="I288" s="2474"/>
    </row>
    <row r="289" spans="1:8" ht="15.75" x14ac:dyDescent="0.25">
      <c r="A289" s="79" t="s">
        <v>11</v>
      </c>
      <c r="B289" s="10"/>
      <c r="C289" s="236"/>
      <c r="D289" s="10"/>
      <c r="E289" s="31"/>
      <c r="F289" s="31"/>
      <c r="G289" s="31"/>
      <c r="H289" s="32">
        <f>H288+H287</f>
        <v>500821.19999999995</v>
      </c>
    </row>
  </sheetData>
  <sheetProtection password="A72F" sheet="1" objects="1" scenarios="1"/>
  <dataValidations count="106">
    <dataValidation type="list" allowBlank="1" showInputMessage="1" showErrorMessage="1" error="This name is not cecognized" sqref="A1 A281 A278 A275 A272 A269 A265:A266 A189:A190 A260 A192:A194 A244:A245 A247:A248 A166 A234 A231 A228 A225 A222 A219 A216 A213 A210 A207 A204 A201 A196:A198 A76 A169 A150:A157 A147 A144 A134:A141 A124:A131 A163 A111:A117 A101:A107 A58:A69 A88:A94 A50:A54 A237 A160 A183 A185 A187 A284">
      <formula1>partners_list</formula1>
    </dataValidation>
    <dataValidation type="list" allowBlank="1" showInputMessage="1" showErrorMessage="1" error="This name is not cecognized" sqref="B81:B83">
      <formula1>P12_employees</formula1>
    </dataValidation>
    <dataValidation type="list" allowBlank="1" showInputMessage="1" showErrorMessage="1" error="This name is not cecognized" sqref="B49:B56">
      <formula1>P7_employees</formula1>
    </dataValidation>
    <dataValidation type="list" allowBlank="1" showInputMessage="1" showErrorMessage="1" error="This name is not cecognized" sqref="B6:B14">
      <formula1>CO_employees</formula1>
    </dataValidation>
    <dataValidation type="list" allowBlank="1" showInputMessage="1" showErrorMessage="1" error="This name is not cecognized" sqref="B15:B26">
      <formula1>P3_employees</formula1>
    </dataValidation>
    <dataValidation type="list" allowBlank="1" showInputMessage="1" showErrorMessage="1" error="This name is not cecognized" sqref="B27:B30">
      <formula1>P2_employees</formula1>
    </dataValidation>
    <dataValidation type="list" allowBlank="1" showInputMessage="1" showErrorMessage="1" error="This name is not cecognized" sqref="B31:B34">
      <formula1>P4_employees</formula1>
    </dataValidation>
    <dataValidation type="list" allowBlank="1" showInputMessage="1" showErrorMessage="1" error="This name is not cecognized" sqref="B35:B44">
      <formula1>P5_employees</formula1>
    </dataValidation>
    <dataValidation type="list" allowBlank="1" showInputMessage="1" showErrorMessage="1" error="This name is not cecognized" sqref="B45:B48">
      <formula1>P6_employees</formula1>
    </dataValidation>
    <dataValidation type="list" allowBlank="1" showInputMessage="1" showErrorMessage="1" error="This name is not cecognized" sqref="B78:B80">
      <formula1>P11_employees</formula1>
    </dataValidation>
    <dataValidation type="list" allowBlank="1" showInputMessage="1" showErrorMessage="1" error="This name is not cecognized" sqref="B84:B86">
      <formula1>P13_employees</formula1>
    </dataValidation>
    <dataValidation type="list" allowBlank="1" showInputMessage="1" showErrorMessage="1" error="This name is not cecognized" sqref="B123:B132">
      <formula1>P19_employees</formula1>
    </dataValidation>
    <dataValidation type="list" allowBlank="1" showInputMessage="1" showErrorMessage="1" error="This name is not cecognized" sqref="B97:B99">
      <formula1>P15_employees</formula1>
    </dataValidation>
    <dataValidation type="list" allowBlank="1" showInputMessage="1" showErrorMessage="1" error="This name is not cecognized" sqref="B110:B119">
      <formula1>P17_employees</formula1>
    </dataValidation>
    <dataValidation type="list" allowBlank="1" showInputMessage="1" showErrorMessage="1" error="This name is not cecognized" sqref="B120:B122">
      <formula1>P18_employees</formula1>
    </dataValidation>
    <dataValidation type="list" allowBlank="1" showInputMessage="1" showErrorMessage="1" error="This name is not cecognized" sqref="B100:B109">
      <formula1>P16_employees</formula1>
    </dataValidation>
    <dataValidation type="list" allowBlank="1" showInputMessage="1" showErrorMessage="1" error="This name is not cecognized" sqref="B133:B142">
      <formula1>P20_employees</formula1>
    </dataValidation>
    <dataValidation type="list" allowBlank="1" showInputMessage="1" showErrorMessage="1" error="This name is not cecognized" sqref="B143:B145">
      <formula1>P21_employees</formula1>
    </dataValidation>
    <dataValidation type="list" allowBlank="1" showInputMessage="1" showErrorMessage="1" error="This name is not cecognized" sqref="B149:B158">
      <formula1>P23_employees</formula1>
    </dataValidation>
    <dataValidation type="list" allowBlank="1" showInputMessage="1" showErrorMessage="1" error="This name is not cecognized" sqref="B159:B161">
      <formula1>P24_employees</formula1>
    </dataValidation>
    <dataValidation type="list" allowBlank="1" showInputMessage="1" showErrorMessage="1" error="This name is not cecognized" sqref="B75:B77">
      <formula1>P10_employees</formula1>
    </dataValidation>
    <dataValidation type="list" allowBlank="1" showInputMessage="1" showErrorMessage="1" error="This name is not cecognized" sqref="B72:B74">
      <formula1>P9_employees</formula1>
    </dataValidation>
    <dataValidation type="list" allowBlank="1" showInputMessage="1" showErrorMessage="1" error="This name is not cecognized" sqref="B87:B96">
      <formula1>P14_employees</formula1>
    </dataValidation>
    <dataValidation type="list" allowBlank="1" showInputMessage="1" showErrorMessage="1" error="This name is not cecognized" sqref="B57:B71">
      <formula1>P8_employees</formula1>
    </dataValidation>
    <dataValidation type="list" allowBlank="1" showInputMessage="1" showErrorMessage="1" error="This name is not cecognized" sqref="B162">
      <formula1>P25_employees</formula1>
    </dataValidation>
    <dataValidation type="list" allowBlank="1" showInputMessage="1" showErrorMessage="1" error="This name is not cecognized" sqref="B163">
      <formula1>P25_employees</formula1>
    </dataValidation>
    <dataValidation type="list" allowBlank="1" showInputMessage="1" showErrorMessage="1" error="This name is not cecognized" sqref="B164">
      <formula1>P25_employees</formula1>
    </dataValidation>
    <dataValidation type="list" allowBlank="1" showInputMessage="1" showErrorMessage="1" error="This name is not cecognized" sqref="B165">
      <formula1>P26_employees</formula1>
    </dataValidation>
    <dataValidation type="list" allowBlank="1" showInputMessage="1" showErrorMessage="1" error="This name is not cecognized" sqref="B166">
      <formula1>P26_employees</formula1>
    </dataValidation>
    <dataValidation type="list" allowBlank="1" showInputMessage="1" showErrorMessage="1" error="This name is not cecognized" sqref="B167">
      <formula1>P26_employees</formula1>
    </dataValidation>
    <dataValidation type="list" allowBlank="1" showInputMessage="1" showErrorMessage="1" error="This name is not cecognized" sqref="B168">
      <formula1>P27_employees</formula1>
    </dataValidation>
    <dataValidation type="list" allowBlank="1" showInputMessage="1" showErrorMessage="1" error="This name is not cecognized" sqref="B169">
      <formula1>P27_employees</formula1>
    </dataValidation>
    <dataValidation type="list" allowBlank="1" showInputMessage="1" showErrorMessage="1" error="This name is not cecognized" sqref="B170">
      <formula1>P27_employees</formula1>
    </dataValidation>
    <dataValidation type="list" allowBlank="1" showInputMessage="1" showErrorMessage="1" error="This name is not cecognized" sqref="B146">
      <formula1>P22_employees</formula1>
    </dataValidation>
    <dataValidation type="list" allowBlank="1" showInputMessage="1" showErrorMessage="1" error="This name is not cecognized" sqref="B147">
      <formula1>P22_employees</formula1>
    </dataValidation>
    <dataValidation type="list" allowBlank="1" showInputMessage="1" showErrorMessage="1" error="This name is not cecognized" sqref="B148">
      <formula1>P22_employees</formula1>
    </dataValidation>
    <dataValidation type="list" allowBlank="1" showInputMessage="1" showErrorMessage="1" error="This name is not cecognized" sqref="A6">
      <formula1>partners_list</formula1>
    </dataValidation>
    <dataValidation type="list" allowBlank="1" showInputMessage="1" showErrorMessage="1" error="This name is not cecognized" sqref="A15">
      <formula1>partners_list</formula1>
    </dataValidation>
    <dataValidation type="list" allowBlank="1" showInputMessage="1" showErrorMessage="1" error="This name is not cecognized" sqref="A27">
      <formula1>partners_list</formula1>
    </dataValidation>
    <dataValidation type="list" allowBlank="1" showInputMessage="1" showErrorMessage="1" error="This name is not cecognized" sqref="A31">
      <formula1>partners_list</formula1>
    </dataValidation>
    <dataValidation type="list" allowBlank="1" showInputMessage="1" showErrorMessage="1" error="This name is not cecognized" sqref="A35">
      <formula1>partners_list</formula1>
    </dataValidation>
    <dataValidation type="list" allowBlank="1" showInputMessage="1" showErrorMessage="1" error="This name is not cecognized" sqref="A45">
      <formula1>partners_list</formula1>
    </dataValidation>
    <dataValidation type="list" allowBlank="1" showInputMessage="1" showErrorMessage="1" error="This name is not cecognized" sqref="A49">
      <formula1>partners_list</formula1>
    </dataValidation>
    <dataValidation type="list" allowBlank="1" showInputMessage="1" showErrorMessage="1" error="This name is not cecognized" sqref="A57">
      <formula1>partners_list</formula1>
    </dataValidation>
    <dataValidation type="list" allowBlank="1" showInputMessage="1" showErrorMessage="1" error="This name is not cecognized" sqref="A72">
      <formula1>partners_list</formula1>
    </dataValidation>
    <dataValidation type="list" allowBlank="1" showInputMessage="1" showErrorMessage="1" error="This name is not cecognized" sqref="A75">
      <formula1>partners_list</formula1>
    </dataValidation>
    <dataValidation type="list" allowBlank="1" showInputMessage="1" showErrorMessage="1" error="This name is not cecognized" sqref="A78">
      <formula1>partners_list</formula1>
    </dataValidation>
    <dataValidation type="list" allowBlank="1" showInputMessage="1" showErrorMessage="1" error="This name is not cecognized" sqref="A81">
      <formula1>partners_list</formula1>
    </dataValidation>
    <dataValidation type="list" allowBlank="1" showInputMessage="1" showErrorMessage="1" error="This name is not cecognized" sqref="A84">
      <formula1>partners_list</formula1>
    </dataValidation>
    <dataValidation type="list" allowBlank="1" showInputMessage="1" showErrorMessage="1" error="This name is not cecognized" sqref="A87">
      <formula1>partners_list</formula1>
    </dataValidation>
    <dataValidation type="list" allowBlank="1" showInputMessage="1" showErrorMessage="1" error="This name is not cecognized" sqref="A97">
      <formula1>partners_list</formula1>
    </dataValidation>
    <dataValidation type="list" allowBlank="1" showInputMessage="1" showErrorMessage="1" error="This name is not cecognized" sqref="A100">
      <formula1>partners_list</formula1>
    </dataValidation>
    <dataValidation type="list" allowBlank="1" showInputMessage="1" showErrorMessage="1" error="This name is not cecognized" sqref="A110">
      <formula1>partners_list</formula1>
    </dataValidation>
    <dataValidation type="list" allowBlank="1" showInputMessage="1" showErrorMessage="1" error="This name is not cecognized" sqref="A120">
      <formula1>partners_list</formula1>
    </dataValidation>
    <dataValidation type="list" allowBlank="1" showInputMessage="1" showErrorMessage="1" error="This name is not cecognized" sqref="A123">
      <formula1>partners_list</formula1>
    </dataValidation>
    <dataValidation type="list" allowBlank="1" showInputMessage="1" showErrorMessage="1" error="This name is not cecognized" sqref="A133">
      <formula1>partners_list</formula1>
    </dataValidation>
    <dataValidation type="list" allowBlank="1" showInputMessage="1" showErrorMessage="1" error="This name is not cecognized" sqref="A143">
      <formula1>partners_list</formula1>
    </dataValidation>
    <dataValidation type="list" allowBlank="1" showInputMessage="1" showErrorMessage="1" error="This name is not cecognized" sqref="A146">
      <formula1>partners_list</formula1>
    </dataValidation>
    <dataValidation type="list" allowBlank="1" showInputMessage="1" showErrorMessage="1" error="This name is not cecognized" sqref="A149">
      <formula1>partners_list</formula1>
    </dataValidation>
    <dataValidation type="list" allowBlank="1" showInputMessage="1" showErrorMessage="1" error="This name is not cecognized" sqref="A159">
      <formula1>partners_list</formula1>
    </dataValidation>
    <dataValidation type="list" allowBlank="1" showInputMessage="1" showErrorMessage="1" error="This name is not cecognized" sqref="A162">
      <formula1>partners_list</formula1>
    </dataValidation>
    <dataValidation type="list" allowBlank="1" showInputMessage="1" showErrorMessage="1" error="This name is not cecognized" sqref="A165">
      <formula1>partners_list</formula1>
    </dataValidation>
    <dataValidation type="list" allowBlank="1" showInputMessage="1" showErrorMessage="1" error="This name is not cecognized" sqref="A168">
      <formula1>partners_list</formula1>
    </dataValidation>
    <dataValidation type="list" allowBlank="1" showInputMessage="1" showErrorMessage="1" error="This name is not cecognized" sqref="A173">
      <formula1>partners_list</formula1>
    </dataValidation>
    <dataValidation type="list" allowBlank="1" showInputMessage="1" showErrorMessage="1" error="This name is not cecognized" sqref="A174">
      <formula1>partners_list</formula1>
    </dataValidation>
    <dataValidation type="list" allowBlank="1" showInputMessage="1" showErrorMessage="1" error="This name is not cecognized" sqref="A175">
      <formula1>partners_list</formula1>
    </dataValidation>
    <dataValidation type="list" allowBlank="1" showInputMessage="1" showErrorMessage="1" error="This name is not cecognized" sqref="A176">
      <formula1>partners_list</formula1>
    </dataValidation>
    <dataValidation type="list" allowBlank="1" showInputMessage="1" showErrorMessage="1" error="This name is not cecognized" sqref="A177">
      <formula1>partners_list</formula1>
    </dataValidation>
    <dataValidation type="list" allowBlank="1" showInputMessage="1" showErrorMessage="1" error="This name is not cecognized" sqref="A178">
      <formula1>partners_list</formula1>
    </dataValidation>
    <dataValidation type="list" allowBlank="1" showInputMessage="1" showErrorMessage="1" error="This name is not cecognized" sqref="A179">
      <formula1>partners_list</formula1>
    </dataValidation>
    <dataValidation type="list" allowBlank="1" showInputMessage="1" showErrorMessage="1" error="This name is not cecognized" sqref="A182">
      <formula1>partners_list</formula1>
    </dataValidation>
    <dataValidation type="list" allowBlank="1" showInputMessage="1" showErrorMessage="1" error="This name is not cecognized" sqref="A184">
      <formula1>partners_list</formula1>
    </dataValidation>
    <dataValidation type="list" allowBlank="1" showInputMessage="1" showErrorMessage="1" error="This name is not cecognized" sqref="A186">
      <formula1>partners_list</formula1>
    </dataValidation>
    <dataValidation type="list" allowBlank="1" showInputMessage="1" showErrorMessage="1" error="This name is not cecognized" sqref="A188">
      <formula1>partners_list</formula1>
    </dataValidation>
    <dataValidation type="list" allowBlank="1" showInputMessage="1" showErrorMessage="1" error="This name is not cecognized" sqref="A191">
      <formula1>partners_list</formula1>
    </dataValidation>
    <dataValidation type="list" allowBlank="1" showInputMessage="1" showErrorMessage="1" error="This name is not cecognized" sqref="A195">
      <formula1>partners_list</formula1>
    </dataValidation>
    <dataValidation type="list" allowBlank="1" showInputMessage="1" showErrorMessage="1" error="This name is not cecognized" sqref="A200">
      <formula1>partners_list</formula1>
    </dataValidation>
    <dataValidation type="list" allowBlank="1" showInputMessage="1" showErrorMessage="1" error="This name is not cecognized" sqref="A203">
      <formula1>partners_list</formula1>
    </dataValidation>
    <dataValidation type="list" allowBlank="1" showInputMessage="1" showErrorMessage="1" error="This name is not cecognized" sqref="A206">
      <formula1>partners_list</formula1>
    </dataValidation>
    <dataValidation type="list" allowBlank="1" showInputMessage="1" showErrorMessage="1" error="This name is not cecognized" sqref="A209">
      <formula1>partners_list</formula1>
    </dataValidation>
    <dataValidation type="list" allowBlank="1" showInputMessage="1" showErrorMessage="1" error="This name is not cecognized" sqref="A212">
      <formula1>partners_list</formula1>
    </dataValidation>
    <dataValidation type="list" allowBlank="1" showInputMessage="1" showErrorMessage="1" error="This name is not cecognized" sqref="A215">
      <formula1>partners_list</formula1>
    </dataValidation>
    <dataValidation type="list" allowBlank="1" showInputMessage="1" showErrorMessage="1" error="This name is not cecognized" sqref="A218">
      <formula1>partners_list</formula1>
    </dataValidation>
    <dataValidation type="list" allowBlank="1" showInputMessage="1" showErrorMessage="1" error="This name is not cecognized" sqref="A221">
      <formula1>partners_list</formula1>
    </dataValidation>
    <dataValidation type="list" allowBlank="1" showInputMessage="1" showErrorMessage="1" error="This name is not cecognized" sqref="A224">
      <formula1>partners_list</formula1>
    </dataValidation>
    <dataValidation type="list" allowBlank="1" showInputMessage="1" showErrorMessage="1" error="This name is not cecognized" sqref="A227">
      <formula1>partners_list</formula1>
    </dataValidation>
    <dataValidation type="list" allowBlank="1" showInputMessage="1" showErrorMessage="1" error="This name is not cecognized" sqref="A230">
      <formula1>partners_list</formula1>
    </dataValidation>
    <dataValidation type="list" allowBlank="1" showInputMessage="1" showErrorMessage="1" error="This name is not cecognized" sqref="A233">
      <formula1>partners_list</formula1>
    </dataValidation>
    <dataValidation type="list" allowBlank="1" showInputMessage="1" showErrorMessage="1" error="This name is not cecognized" sqref="A236">
      <formula1>partners_list</formula1>
    </dataValidation>
    <dataValidation type="list" allowBlank="1" showInputMessage="1" showErrorMessage="1" error="This name is not cecognized" sqref="A239">
      <formula1>partners_list</formula1>
    </dataValidation>
    <dataValidation type="list" allowBlank="1" showInputMessage="1" showErrorMessage="1" error="This name is not cecognized" sqref="A240">
      <formula1>partners_list</formula1>
    </dataValidation>
    <dataValidation type="list" allowBlank="1" showInputMessage="1" showErrorMessage="1" error="This name is not cecognized" sqref="A241">
      <formula1>partners_list</formula1>
    </dataValidation>
    <dataValidation type="list" allowBlank="1" showInputMessage="1" showErrorMessage="1" error="This name is not cecognized" sqref="A242">
      <formula1>partners_list</formula1>
    </dataValidation>
    <dataValidation type="list" allowBlank="1" showInputMessage="1" showErrorMessage="1" error="This name is not cecognized" sqref="A243">
      <formula1>partners_list</formula1>
    </dataValidation>
    <dataValidation type="list" allowBlank="1" showInputMessage="1" showErrorMessage="1" error="This name is not cecognized" sqref="A246">
      <formula1>partners_list</formula1>
    </dataValidation>
    <dataValidation type="list" allowBlank="1" showInputMessage="1" showErrorMessage="1" error="This name is not cecognized" sqref="A251">
      <formula1>partners_list</formula1>
    </dataValidation>
    <dataValidation type="list" allowBlank="1" showInputMessage="1" showErrorMessage="1" error="This name is not cecognized" sqref="A255">
      <formula1>partners_list</formula1>
    </dataValidation>
    <dataValidation type="list" allowBlank="1" showInputMessage="1" showErrorMessage="1" error="This name is not cecognized" sqref="A259">
      <formula1>partners_list</formula1>
    </dataValidation>
    <dataValidation type="list" allowBlank="1" showInputMessage="1" showErrorMessage="1" error="This name is not cecognized" sqref="A262">
      <formula1>partners_list</formula1>
    </dataValidation>
    <dataValidation type="list" allowBlank="1" showInputMessage="1" showErrorMessage="1" error="This name is not cecognized" sqref="A264">
      <formula1>partners_list</formula1>
    </dataValidation>
    <dataValidation type="list" allowBlank="1" showInputMessage="1" showErrorMessage="1" error="This name is not cecognized" sqref="A268">
      <formula1>partners_list</formula1>
    </dataValidation>
    <dataValidation type="list" allowBlank="1" showInputMessage="1" showErrorMessage="1" error="This name is not cecognized" sqref="A271">
      <formula1>partners_list</formula1>
    </dataValidation>
    <dataValidation type="list" allowBlank="1" showInputMessage="1" showErrorMessage="1" error="This name is not cecognized" sqref="A274">
      <formula1>partners_list</formula1>
    </dataValidation>
    <dataValidation type="list" allowBlank="1" showInputMessage="1" showErrorMessage="1" error="This name is not cecognized" sqref="A277">
      <formula1>partners_list</formula1>
    </dataValidation>
    <dataValidation type="list" allowBlank="1" showInputMessage="1" showErrorMessage="1" error="This name is not cecognized" sqref="A280">
      <formula1>partners_list</formula1>
    </dataValidation>
    <dataValidation type="list" allowBlank="1" showInputMessage="1" showErrorMessage="1" error="This name is not cecognized" sqref="A283">
      <formula1>partners_list</formula1>
    </dataValidation>
  </dataValidations>
  <pageMargins left="0.45" right="0.57999999999999996" top="0.56000000000000005" bottom="0.56999999999999995" header="0.5" footer="0.5"/>
  <pageSetup scale="78" orientation="landscape" r:id="rId1"/>
  <headerFooter alignWithMargins="0"/>
  <rowBreaks count="3" manualBreakCount="3">
    <brk id="47" max="7" man="1"/>
    <brk id="121" max="7" man="1"/>
    <brk id="171"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271" r:id="rId4" name="Button 79">
              <controlPr defaultSize="0" print="0" autoFill="0" autoPict="0" macro="[0]!btnAddPartnerToSection_Click">
                <anchor moveWithCells="1" sizeWithCells="1">
                  <from>
                    <xdr:col>3</xdr:col>
                    <xdr:colOff>466725</xdr:colOff>
                    <xdr:row>0</xdr:row>
                    <xdr:rowOff>38100</xdr:rowOff>
                  </from>
                  <to>
                    <xdr:col>5</xdr:col>
                    <xdr:colOff>714375</xdr:colOff>
                    <xdr:row>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J327"/>
  <sheetViews>
    <sheetView zoomScaleNormal="100" zoomScaleSheetLayoutView="90" workbookViewId="0"/>
  </sheetViews>
  <sheetFormatPr defaultColWidth="9.140625" defaultRowHeight="12.75" x14ac:dyDescent="0.2"/>
  <cols>
    <col min="1" max="1" width="12.140625" style="74" customWidth="1"/>
    <col min="2" max="2" width="23.42578125" style="1" customWidth="1"/>
    <col min="3" max="3" width="60.7109375" style="229" customWidth="1"/>
    <col min="4" max="4" width="12.85546875" style="1" customWidth="1"/>
    <col min="5" max="5" width="13.5703125" style="17" customWidth="1"/>
    <col min="6" max="6" width="13.140625" style="17" customWidth="1"/>
    <col min="7" max="7" width="13.28515625" style="17" customWidth="1"/>
    <col min="8" max="8" width="14.28515625" style="17" customWidth="1"/>
    <col min="9" max="9" width="12.5703125" style="2483" customWidth="1"/>
    <col min="10" max="256" width="11.42578125" customWidth="1"/>
  </cols>
  <sheetData>
    <row r="1" spans="1:9" ht="20.25" x14ac:dyDescent="0.3">
      <c r="A1" s="328" t="s">
        <v>143</v>
      </c>
    </row>
    <row r="2" spans="1:9" s="35" customFormat="1" ht="18" x14ac:dyDescent="0.25">
      <c r="A2" s="334" t="s">
        <v>369</v>
      </c>
      <c r="B2" s="334"/>
      <c r="C2" s="340"/>
      <c r="D2" s="334"/>
      <c r="E2" s="335"/>
      <c r="F2" s="335"/>
      <c r="G2" s="335"/>
      <c r="H2" s="335"/>
      <c r="I2" s="2484"/>
    </row>
    <row r="4" spans="1:9" x14ac:dyDescent="0.2">
      <c r="A4" s="75" t="s">
        <v>0</v>
      </c>
      <c r="B4" s="13" t="s">
        <v>1</v>
      </c>
      <c r="C4" s="249" t="s">
        <v>2</v>
      </c>
      <c r="D4" s="13" t="s">
        <v>3</v>
      </c>
      <c r="E4" s="20" t="s">
        <v>4</v>
      </c>
      <c r="F4" s="20" t="s">
        <v>7</v>
      </c>
      <c r="G4" s="20" t="s">
        <v>5</v>
      </c>
      <c r="H4" s="20" t="s">
        <v>6</v>
      </c>
      <c r="I4" s="2485"/>
    </row>
    <row r="5" spans="1:9" x14ac:dyDescent="0.2">
      <c r="A5" s="76" t="s">
        <v>23</v>
      </c>
      <c r="B5" s="6"/>
      <c r="C5" s="250"/>
      <c r="D5" s="6"/>
      <c r="E5" s="21"/>
      <c r="F5" s="21"/>
      <c r="G5" s="21"/>
      <c r="H5" s="22">
        <f>SUM(G5:G5)</f>
        <v>0</v>
      </c>
    </row>
    <row r="6" spans="1:9" x14ac:dyDescent="0.2">
      <c r="A6" s="83" t="s">
        <v>107</v>
      </c>
      <c r="B6" s="121" t="s">
        <v>150</v>
      </c>
      <c r="C6" s="240" t="s">
        <v>329</v>
      </c>
      <c r="D6" s="241" t="s">
        <v>17</v>
      </c>
      <c r="E6" s="242">
        <f>SUM(E7)</f>
        <v>24</v>
      </c>
      <c r="F6" s="243">
        <f>salaries!H3</f>
        <v>26</v>
      </c>
      <c r="G6" s="242">
        <f>F6*E6</f>
        <v>624</v>
      </c>
      <c r="H6" s="88"/>
      <c r="I6" s="2471"/>
    </row>
    <row r="7" spans="1:9" x14ac:dyDescent="0.2">
      <c r="A7" s="83"/>
      <c r="B7" s="86"/>
      <c r="C7" s="239" t="s">
        <v>371</v>
      </c>
      <c r="D7" s="238"/>
      <c r="E7" s="178">
        <v>24</v>
      </c>
      <c r="F7" s="69"/>
      <c r="G7" s="70"/>
      <c r="H7" s="69"/>
      <c r="I7" s="2471"/>
    </row>
    <row r="8" spans="1:9" x14ac:dyDescent="0.2">
      <c r="A8" s="83"/>
      <c r="B8" s="86" t="s">
        <v>155</v>
      </c>
      <c r="C8" s="512" t="s">
        <v>329</v>
      </c>
      <c r="D8" s="513" t="s">
        <v>17</v>
      </c>
      <c r="E8" s="511">
        <f>SUM(E9:E10)</f>
        <v>72</v>
      </c>
      <c r="F8" s="514">
        <f>salaries!H4</f>
        <v>29</v>
      </c>
      <c r="G8" s="511">
        <f>F8*E8</f>
        <v>2088</v>
      </c>
      <c r="H8" s="69"/>
      <c r="I8" s="2471"/>
    </row>
    <row r="9" spans="1:9" x14ac:dyDescent="0.2">
      <c r="A9" s="83"/>
      <c r="B9" s="86"/>
      <c r="C9" s="239" t="s">
        <v>626</v>
      </c>
      <c r="D9" s="238"/>
      <c r="E9" s="178">
        <v>32</v>
      </c>
      <c r="F9" s="69"/>
      <c r="G9" s="70"/>
      <c r="H9" s="69"/>
      <c r="I9" s="2471"/>
    </row>
    <row r="10" spans="1:9" x14ac:dyDescent="0.2">
      <c r="A10" s="83"/>
      <c r="B10" s="86"/>
      <c r="C10" s="239" t="s">
        <v>370</v>
      </c>
      <c r="D10" s="238"/>
      <c r="E10" s="178">
        <v>40</v>
      </c>
      <c r="F10" s="69"/>
      <c r="G10" s="70"/>
      <c r="H10" s="69"/>
      <c r="I10" s="2471"/>
    </row>
    <row r="11" spans="1:9" x14ac:dyDescent="0.2">
      <c r="A11" s="83"/>
      <c r="B11" s="124" t="s">
        <v>160</v>
      </c>
      <c r="C11" s="240" t="s">
        <v>329</v>
      </c>
      <c r="D11" s="244" t="s">
        <v>17</v>
      </c>
      <c r="E11" s="242">
        <f>SUM(E12:E13)</f>
        <v>216</v>
      </c>
      <c r="F11" s="245">
        <f>salaries!H6</f>
        <v>26</v>
      </c>
      <c r="G11" s="242">
        <f>F11*E11</f>
        <v>5616</v>
      </c>
      <c r="H11" s="69"/>
      <c r="I11" s="2471"/>
    </row>
    <row r="12" spans="1:9" x14ac:dyDescent="0.2">
      <c r="A12" s="83"/>
      <c r="B12" s="86"/>
      <c r="C12" s="239" t="s">
        <v>654</v>
      </c>
      <c r="D12" s="238"/>
      <c r="E12" s="178">
        <f>8*24</f>
        <v>192</v>
      </c>
      <c r="F12" s="69"/>
      <c r="G12" s="70"/>
      <c r="H12" s="69"/>
      <c r="I12" s="2471"/>
    </row>
    <row r="13" spans="1:9" x14ac:dyDescent="0.2">
      <c r="A13" s="83"/>
      <c r="B13" s="86"/>
      <c r="C13" s="239" t="s">
        <v>373</v>
      </c>
      <c r="D13" s="238"/>
      <c r="E13" s="178">
        <v>24</v>
      </c>
      <c r="F13" s="69"/>
      <c r="G13" s="70"/>
      <c r="H13" s="69"/>
      <c r="I13" s="2471"/>
    </row>
    <row r="14" spans="1:9" x14ac:dyDescent="0.2">
      <c r="A14" s="83"/>
      <c r="B14" s="86" t="s">
        <v>156</v>
      </c>
      <c r="C14" s="512" t="s">
        <v>324</v>
      </c>
      <c r="D14" s="513" t="s">
        <v>17</v>
      </c>
      <c r="E14" s="511">
        <f>SUM(E15)</f>
        <v>48</v>
      </c>
      <c r="F14" s="514">
        <f>salaries!H5</f>
        <v>60</v>
      </c>
      <c r="G14" s="511">
        <f>F14*E14</f>
        <v>2880</v>
      </c>
      <c r="H14" s="69"/>
      <c r="I14" s="2471"/>
    </row>
    <row r="15" spans="1:9" x14ac:dyDescent="0.2">
      <c r="A15" s="525"/>
      <c r="B15" s="526"/>
      <c r="C15" s="1609" t="s">
        <v>372</v>
      </c>
      <c r="D15" s="528"/>
      <c r="E15" s="529">
        <v>48</v>
      </c>
      <c r="F15" s="530"/>
      <c r="G15" s="531"/>
      <c r="H15" s="530">
        <f>SUM(G6:G15)</f>
        <v>11208</v>
      </c>
      <c r="I15" s="2471"/>
    </row>
    <row r="16" spans="1:9" x14ac:dyDescent="0.2">
      <c r="A16" s="923" t="s">
        <v>411</v>
      </c>
      <c r="B16" s="1615" t="s">
        <v>240</v>
      </c>
      <c r="C16" s="1616" t="s">
        <v>624</v>
      </c>
      <c r="D16" s="1617" t="s">
        <v>17</v>
      </c>
      <c r="E16" s="927">
        <f>SUM(E17:E23)</f>
        <v>752</v>
      </c>
      <c r="F16" s="928">
        <f>salaries!H51</f>
        <v>20</v>
      </c>
      <c r="G16" s="927">
        <f>F16*E16</f>
        <v>15040</v>
      </c>
      <c r="H16" s="1363"/>
      <c r="I16" s="2471"/>
    </row>
    <row r="17" spans="1:10" ht="22.5" x14ac:dyDescent="0.2">
      <c r="A17" s="923"/>
      <c r="B17" s="1615"/>
      <c r="C17" s="1618" t="s">
        <v>966</v>
      </c>
      <c r="D17" s="1619"/>
      <c r="E17" s="931">
        <f>24*8</f>
        <v>192</v>
      </c>
      <c r="F17" s="1363"/>
      <c r="G17" s="1620"/>
      <c r="H17" s="1363"/>
      <c r="I17" s="2471"/>
    </row>
    <row r="18" spans="1:10" x14ac:dyDescent="0.2">
      <c r="A18" s="923"/>
      <c r="B18" s="1615"/>
      <c r="C18" s="1417" t="s">
        <v>968</v>
      </c>
      <c r="D18" s="1619"/>
      <c r="E18" s="931">
        <v>80</v>
      </c>
      <c r="F18" s="1363"/>
      <c r="G18" s="1620"/>
      <c r="H18" s="1363"/>
      <c r="I18" s="2471"/>
    </row>
    <row r="19" spans="1:10" x14ac:dyDescent="0.2">
      <c r="A19" s="923"/>
      <c r="B19" s="1615"/>
      <c r="C19" s="1621" t="s">
        <v>630</v>
      </c>
      <c r="D19" s="1619"/>
      <c r="E19" s="931">
        <v>80</v>
      </c>
      <c r="F19" s="1363"/>
      <c r="G19" s="1620"/>
      <c r="H19" s="1363"/>
      <c r="I19" s="2471"/>
    </row>
    <row r="20" spans="1:10" x14ac:dyDescent="0.2">
      <c r="A20" s="923"/>
      <c r="B20" s="1615"/>
      <c r="C20" s="1417" t="s">
        <v>967</v>
      </c>
      <c r="D20" s="1619"/>
      <c r="E20" s="931">
        <f>7*40</f>
        <v>280</v>
      </c>
      <c r="F20" s="1363"/>
      <c r="G20" s="1620"/>
      <c r="H20" s="1363"/>
      <c r="I20" s="2471"/>
    </row>
    <row r="21" spans="1:10" x14ac:dyDescent="0.2">
      <c r="A21" s="923"/>
      <c r="B21" s="1615"/>
      <c r="C21" s="1417" t="s">
        <v>638</v>
      </c>
      <c r="D21" s="1619"/>
      <c r="E21" s="931">
        <v>40</v>
      </c>
      <c r="F21" s="1363"/>
      <c r="G21" s="1620"/>
      <c r="H21" s="1363"/>
      <c r="I21" s="2471"/>
    </row>
    <row r="22" spans="1:10" x14ac:dyDescent="0.2">
      <c r="A22" s="923"/>
      <c r="B22" s="1615"/>
      <c r="C22" s="1417" t="s">
        <v>640</v>
      </c>
      <c r="D22" s="1619"/>
      <c r="E22" s="931">
        <v>40</v>
      </c>
      <c r="F22" s="1363"/>
      <c r="G22" s="1620"/>
      <c r="H22" s="1363"/>
      <c r="I22" s="2471"/>
    </row>
    <row r="23" spans="1:10" x14ac:dyDescent="0.2">
      <c r="A23" s="923"/>
      <c r="B23" s="1615"/>
      <c r="C23" s="1417" t="s">
        <v>639</v>
      </c>
      <c r="D23" s="1619"/>
      <c r="E23" s="931">
        <v>40</v>
      </c>
      <c r="F23" s="1363"/>
      <c r="G23" s="1620"/>
      <c r="H23" s="1363"/>
      <c r="I23" s="2471"/>
    </row>
    <row r="24" spans="1:10" x14ac:dyDescent="0.2">
      <c r="A24" s="923"/>
      <c r="B24" s="1215" t="s">
        <v>242</v>
      </c>
      <c r="C24" s="1616" t="s">
        <v>329</v>
      </c>
      <c r="D24" s="1617" t="s">
        <v>17</v>
      </c>
      <c r="E24" s="967">
        <f>SUM(E25:E28)</f>
        <v>480</v>
      </c>
      <c r="F24" s="928">
        <f>salaries!H53</f>
        <v>18</v>
      </c>
      <c r="G24" s="927">
        <f>F24*E24</f>
        <v>8640</v>
      </c>
      <c r="H24" s="1363"/>
      <c r="I24" s="2471"/>
      <c r="J24" s="68"/>
    </row>
    <row r="25" spans="1:10" x14ac:dyDescent="0.2">
      <c r="A25" s="923"/>
      <c r="B25" s="1615"/>
      <c r="C25" s="1417" t="s">
        <v>965</v>
      </c>
      <c r="D25" s="1619"/>
      <c r="E25" s="931">
        <v>80</v>
      </c>
      <c r="F25" s="1363"/>
      <c r="G25" s="1620"/>
      <c r="H25" s="1363"/>
      <c r="I25" s="2471"/>
      <c r="J25" s="68"/>
    </row>
    <row r="26" spans="1:10" x14ac:dyDescent="0.2">
      <c r="A26" s="923"/>
      <c r="B26" s="1615"/>
      <c r="C26" s="1417" t="s">
        <v>634</v>
      </c>
      <c r="D26" s="1619"/>
      <c r="E26" s="931">
        <v>160</v>
      </c>
      <c r="F26" s="1363"/>
      <c r="G26" s="1620"/>
      <c r="H26" s="1363"/>
      <c r="I26" s="2471"/>
      <c r="J26" s="68"/>
    </row>
    <row r="27" spans="1:10" x14ac:dyDescent="0.2">
      <c r="A27" s="923"/>
      <c r="B27" s="1615"/>
      <c r="C27" s="1417" t="s">
        <v>631</v>
      </c>
      <c r="D27" s="1619"/>
      <c r="E27" s="931">
        <v>160</v>
      </c>
      <c r="F27" s="1363"/>
      <c r="G27" s="1620"/>
      <c r="H27" s="1363"/>
      <c r="I27" s="2471"/>
      <c r="J27" s="68"/>
    </row>
    <row r="28" spans="1:10" x14ac:dyDescent="0.2">
      <c r="A28" s="923"/>
      <c r="B28" s="1615"/>
      <c r="C28" s="1417" t="s">
        <v>636</v>
      </c>
      <c r="D28" s="1619"/>
      <c r="E28" s="931">
        <v>80</v>
      </c>
      <c r="F28" s="1363"/>
      <c r="G28" s="1620"/>
      <c r="H28" s="1363"/>
      <c r="I28" s="2471"/>
      <c r="J28" s="68"/>
    </row>
    <row r="29" spans="1:10" x14ac:dyDescent="0.2">
      <c r="A29" s="923"/>
      <c r="B29" s="924" t="s">
        <v>243</v>
      </c>
      <c r="C29" s="1616" t="s">
        <v>329</v>
      </c>
      <c r="D29" s="1617" t="s">
        <v>17</v>
      </c>
      <c r="E29" s="967">
        <f>SUM(E30:E33)</f>
        <v>320</v>
      </c>
      <c r="F29" s="928">
        <f>salaries!H54</f>
        <v>18</v>
      </c>
      <c r="G29" s="927">
        <f>F29*E29</f>
        <v>5760</v>
      </c>
      <c r="H29" s="1363"/>
      <c r="I29" s="2471"/>
    </row>
    <row r="30" spans="1:10" x14ac:dyDescent="0.2">
      <c r="A30" s="923"/>
      <c r="B30" s="1615"/>
      <c r="C30" s="1417" t="s">
        <v>632</v>
      </c>
      <c r="D30" s="1622"/>
      <c r="E30" s="931">
        <v>80</v>
      </c>
      <c r="F30" s="1363"/>
      <c r="G30" s="1620"/>
      <c r="H30" s="1363"/>
      <c r="I30" s="2471"/>
    </row>
    <row r="31" spans="1:10" x14ac:dyDescent="0.2">
      <c r="A31" s="923"/>
      <c r="B31" s="1615"/>
      <c r="C31" s="1417" t="s">
        <v>633</v>
      </c>
      <c r="D31" s="1622"/>
      <c r="E31" s="931">
        <v>80</v>
      </c>
      <c r="F31" s="1363"/>
      <c r="G31" s="1620"/>
      <c r="H31" s="1363"/>
      <c r="I31" s="2471"/>
    </row>
    <row r="32" spans="1:10" x14ac:dyDescent="0.2">
      <c r="A32" s="923"/>
      <c r="B32" s="1615"/>
      <c r="C32" s="1417" t="s">
        <v>635</v>
      </c>
      <c r="D32" s="1622"/>
      <c r="E32" s="931">
        <v>80</v>
      </c>
      <c r="F32" s="1363"/>
      <c r="G32" s="1620"/>
      <c r="H32" s="1363"/>
      <c r="I32" s="2471"/>
    </row>
    <row r="33" spans="1:9" x14ac:dyDescent="0.2">
      <c r="A33" s="959"/>
      <c r="B33" s="1623"/>
      <c r="C33" s="1624" t="s">
        <v>637</v>
      </c>
      <c r="D33" s="1625"/>
      <c r="E33" s="935">
        <v>80</v>
      </c>
      <c r="F33" s="1368"/>
      <c r="G33" s="1626"/>
      <c r="H33" s="1368">
        <f>SUM(G16:G33)</f>
        <v>29440</v>
      </c>
      <c r="I33" s="2471"/>
    </row>
    <row r="34" spans="1:9" x14ac:dyDescent="0.2">
      <c r="A34" s="532" t="s">
        <v>203</v>
      </c>
      <c r="B34" s="565" t="s">
        <v>151</v>
      </c>
      <c r="C34" s="566" t="s">
        <v>625</v>
      </c>
      <c r="D34" s="534" t="s">
        <v>17</v>
      </c>
      <c r="E34" s="535">
        <f>SUM(E35:E41)</f>
        <v>768</v>
      </c>
      <c r="F34" s="536">
        <f>salaries!H8</f>
        <v>29</v>
      </c>
      <c r="G34" s="535">
        <f>F34*E34</f>
        <v>22272</v>
      </c>
      <c r="H34" s="536"/>
      <c r="I34" s="2472"/>
    </row>
    <row r="35" spans="1:9" x14ac:dyDescent="0.2">
      <c r="A35" s="532"/>
      <c r="B35" s="533"/>
      <c r="C35" s="1613" t="s">
        <v>629</v>
      </c>
      <c r="D35" s="538"/>
      <c r="E35" s="540">
        <f>48*8</f>
        <v>384</v>
      </c>
      <c r="F35" s="537"/>
      <c r="G35" s="539"/>
      <c r="H35" s="537"/>
      <c r="I35" s="2472"/>
    </row>
    <row r="36" spans="1:9" x14ac:dyDescent="0.2">
      <c r="A36" s="532"/>
      <c r="B36" s="533"/>
      <c r="C36" s="1613" t="s">
        <v>653</v>
      </c>
      <c r="D36" s="538"/>
      <c r="E36" s="540">
        <v>80</v>
      </c>
      <c r="F36" s="537"/>
      <c r="G36" s="539"/>
      <c r="H36" s="537"/>
      <c r="I36" s="2472"/>
    </row>
    <row r="37" spans="1:9" x14ac:dyDescent="0.2">
      <c r="A37" s="532"/>
      <c r="B37" s="533"/>
      <c r="C37" s="1613" t="s">
        <v>630</v>
      </c>
      <c r="D37" s="538"/>
      <c r="E37" s="540">
        <v>80</v>
      </c>
      <c r="F37" s="537"/>
      <c r="G37" s="539"/>
      <c r="H37" s="537"/>
      <c r="I37" s="2472"/>
    </row>
    <row r="38" spans="1:9" x14ac:dyDescent="0.2">
      <c r="A38" s="532"/>
      <c r="B38" s="533"/>
      <c r="C38" s="1613" t="s">
        <v>807</v>
      </c>
      <c r="D38" s="538"/>
      <c r="E38" s="540">
        <v>80</v>
      </c>
      <c r="F38" s="537"/>
      <c r="G38" s="539"/>
      <c r="H38" s="537"/>
      <c r="I38" s="2472"/>
    </row>
    <row r="39" spans="1:9" x14ac:dyDescent="0.2">
      <c r="A39" s="532"/>
      <c r="B39" s="533"/>
      <c r="C39" s="1613" t="s">
        <v>638</v>
      </c>
      <c r="D39" s="538"/>
      <c r="E39" s="540">
        <v>24</v>
      </c>
      <c r="F39" s="537"/>
      <c r="G39" s="539"/>
      <c r="H39" s="537"/>
      <c r="I39" s="2472"/>
    </row>
    <row r="40" spans="1:9" x14ac:dyDescent="0.2">
      <c r="A40" s="532"/>
      <c r="B40" s="533"/>
      <c r="C40" s="1613" t="s">
        <v>640</v>
      </c>
      <c r="D40" s="538"/>
      <c r="E40" s="540">
        <v>40</v>
      </c>
      <c r="F40" s="537"/>
      <c r="G40" s="539"/>
      <c r="H40" s="537"/>
      <c r="I40" s="2472"/>
    </row>
    <row r="41" spans="1:9" x14ac:dyDescent="0.2">
      <c r="A41" s="532"/>
      <c r="B41" s="533"/>
      <c r="C41" s="1613" t="s">
        <v>808</v>
      </c>
      <c r="D41" s="538"/>
      <c r="E41" s="540">
        <v>80</v>
      </c>
      <c r="F41" s="537"/>
      <c r="G41" s="539"/>
      <c r="H41" s="537"/>
      <c r="I41" s="2472"/>
    </row>
    <row r="42" spans="1:9" x14ac:dyDescent="0.2">
      <c r="A42" s="532"/>
      <c r="B42" s="533" t="s">
        <v>152</v>
      </c>
      <c r="C42" s="566" t="s">
        <v>324</v>
      </c>
      <c r="D42" s="534" t="s">
        <v>17</v>
      </c>
      <c r="E42" s="535">
        <f>SUM(E43:E44)</f>
        <v>280</v>
      </c>
      <c r="F42" s="536">
        <f>salaries!H9</f>
        <v>29</v>
      </c>
      <c r="G42" s="535">
        <f>F42*E42</f>
        <v>8120</v>
      </c>
      <c r="H42" s="537"/>
      <c r="I42" s="2472"/>
    </row>
    <row r="43" spans="1:9" x14ac:dyDescent="0.2">
      <c r="A43" s="532"/>
      <c r="B43" s="533"/>
      <c r="C43" s="1613" t="s">
        <v>652</v>
      </c>
      <c r="D43" s="538"/>
      <c r="E43" s="540">
        <v>240</v>
      </c>
      <c r="F43" s="537"/>
      <c r="G43" s="539"/>
      <c r="H43" s="537"/>
      <c r="I43" s="2472"/>
    </row>
    <row r="44" spans="1:9" x14ac:dyDescent="0.2">
      <c r="A44" s="532"/>
      <c r="B44" s="533"/>
      <c r="C44" s="1613" t="s">
        <v>640</v>
      </c>
      <c r="D44" s="538"/>
      <c r="E44" s="540">
        <v>40</v>
      </c>
      <c r="F44" s="537"/>
      <c r="G44" s="539"/>
      <c r="H44" s="537"/>
      <c r="I44" s="2472"/>
    </row>
    <row r="45" spans="1:9" x14ac:dyDescent="0.2">
      <c r="A45" s="532"/>
      <c r="B45" s="533" t="s">
        <v>154</v>
      </c>
      <c r="C45" s="566" t="s">
        <v>324</v>
      </c>
      <c r="D45" s="534" t="s">
        <v>17</v>
      </c>
      <c r="E45" s="535">
        <f>SUM(E46:E50)</f>
        <v>1080</v>
      </c>
      <c r="F45" s="536">
        <f>salaries!H11</f>
        <v>20</v>
      </c>
      <c r="G45" s="535">
        <f>F45*E45</f>
        <v>21600</v>
      </c>
      <c r="H45" s="537"/>
      <c r="I45" s="2472"/>
    </row>
    <row r="46" spans="1:9" x14ac:dyDescent="0.2">
      <c r="A46" s="532"/>
      <c r="B46" s="533"/>
      <c r="C46" s="1613" t="s">
        <v>655</v>
      </c>
      <c r="D46" s="538"/>
      <c r="E46" s="540">
        <v>320</v>
      </c>
      <c r="F46" s="537"/>
      <c r="G46" s="539"/>
      <c r="H46" s="537"/>
      <c r="I46" s="2472"/>
    </row>
    <row r="47" spans="1:9" x14ac:dyDescent="0.2">
      <c r="A47" s="532"/>
      <c r="B47" s="533"/>
      <c r="C47" s="1613" t="s">
        <v>656</v>
      </c>
      <c r="D47" s="538"/>
      <c r="E47" s="540">
        <v>80</v>
      </c>
      <c r="F47" s="537"/>
      <c r="G47" s="539"/>
      <c r="H47" s="537"/>
      <c r="I47" s="2472"/>
    </row>
    <row r="48" spans="1:9" ht="22.5" x14ac:dyDescent="0.2">
      <c r="A48" s="532"/>
      <c r="B48" s="533"/>
      <c r="C48" s="1614" t="s">
        <v>806</v>
      </c>
      <c r="D48" s="538"/>
      <c r="E48" s="540">
        <f>7*80</f>
        <v>560</v>
      </c>
      <c r="F48" s="537"/>
      <c r="G48" s="539"/>
      <c r="H48" s="537"/>
      <c r="I48" s="2472"/>
    </row>
    <row r="49" spans="1:9" x14ac:dyDescent="0.2">
      <c r="A49" s="532"/>
      <c r="B49" s="533"/>
      <c r="C49" s="1613" t="s">
        <v>640</v>
      </c>
      <c r="D49" s="538"/>
      <c r="E49" s="540">
        <v>40</v>
      </c>
      <c r="F49" s="537"/>
      <c r="G49" s="539"/>
      <c r="H49" s="537"/>
      <c r="I49" s="2472"/>
    </row>
    <row r="50" spans="1:9" x14ac:dyDescent="0.2">
      <c r="A50" s="571"/>
      <c r="B50" s="1587"/>
      <c r="C50" s="1588" t="s">
        <v>657</v>
      </c>
      <c r="D50" s="1589"/>
      <c r="E50" s="1590">
        <v>80</v>
      </c>
      <c r="F50" s="1591"/>
      <c r="G50" s="1592"/>
      <c r="H50" s="1591">
        <f>SUM(G34:G50)</f>
        <v>51992</v>
      </c>
      <c r="I50" s="2472"/>
    </row>
    <row r="51" spans="1:9" x14ac:dyDescent="0.2">
      <c r="A51" s="557" t="s">
        <v>204</v>
      </c>
      <c r="B51" s="1563" t="s">
        <v>183</v>
      </c>
      <c r="C51" s="1564" t="s">
        <v>329</v>
      </c>
      <c r="D51" s="560" t="s">
        <v>17</v>
      </c>
      <c r="E51" s="561">
        <f>SUM(E52:E53)</f>
        <v>160</v>
      </c>
      <c r="F51" s="562">
        <f>salaries!H12</f>
        <v>27</v>
      </c>
      <c r="G51" s="561">
        <f>F51*E51</f>
        <v>4320</v>
      </c>
      <c r="H51" s="562"/>
      <c r="I51" s="2473"/>
    </row>
    <row r="52" spans="1:9" x14ac:dyDescent="0.2">
      <c r="A52" s="557"/>
      <c r="B52" s="1563"/>
      <c r="C52" s="1593" t="s">
        <v>811</v>
      </c>
      <c r="D52" s="558"/>
      <c r="E52" s="564">
        <v>120</v>
      </c>
      <c r="F52" s="562"/>
      <c r="G52" s="561"/>
      <c r="H52" s="562"/>
      <c r="I52" s="2473"/>
    </row>
    <row r="53" spans="1:9" x14ac:dyDescent="0.2">
      <c r="A53" s="557"/>
      <c r="B53" s="1563"/>
      <c r="C53" s="1565" t="s">
        <v>660</v>
      </c>
      <c r="D53" s="1566"/>
      <c r="E53" s="1567">
        <v>40</v>
      </c>
      <c r="F53" s="1568"/>
      <c r="G53" s="1569"/>
      <c r="H53" s="1568"/>
      <c r="I53" s="2473"/>
    </row>
    <row r="54" spans="1:9" x14ac:dyDescent="0.2">
      <c r="A54" s="557"/>
      <c r="B54" s="1563" t="s">
        <v>186</v>
      </c>
      <c r="C54" s="1564" t="s">
        <v>324</v>
      </c>
      <c r="D54" s="560" t="s">
        <v>17</v>
      </c>
      <c r="E54" s="561">
        <f>SUM(E55:E56)</f>
        <v>160</v>
      </c>
      <c r="F54" s="562">
        <f>salaries!H15</f>
        <v>20</v>
      </c>
      <c r="G54" s="561">
        <f>F54*E54</f>
        <v>3200</v>
      </c>
      <c r="H54" s="1568"/>
      <c r="I54" s="2473"/>
    </row>
    <row r="55" spans="1:9" x14ac:dyDescent="0.2">
      <c r="A55" s="557"/>
      <c r="B55" s="1563"/>
      <c r="C55" s="1565" t="s">
        <v>811</v>
      </c>
      <c r="D55" s="1566"/>
      <c r="E55" s="1567">
        <v>120</v>
      </c>
      <c r="F55" s="1568"/>
      <c r="G55" s="1569"/>
      <c r="H55" s="1568"/>
      <c r="I55" s="2473"/>
    </row>
    <row r="56" spans="1:9" x14ac:dyDescent="0.2">
      <c r="A56" s="580"/>
      <c r="B56" s="1570"/>
      <c r="C56" s="1571" t="s">
        <v>661</v>
      </c>
      <c r="D56" s="1572"/>
      <c r="E56" s="1573">
        <v>40</v>
      </c>
      <c r="F56" s="1574"/>
      <c r="G56" s="1575"/>
      <c r="H56" s="1574">
        <f>SUM(G51:G56)</f>
        <v>7520</v>
      </c>
      <c r="I56" s="2473"/>
    </row>
    <row r="57" spans="1:9" x14ac:dyDescent="0.2">
      <c r="A57" s="588" t="s">
        <v>308</v>
      </c>
      <c r="B57" s="1550" t="s">
        <v>820</v>
      </c>
      <c r="C57" s="1551" t="s">
        <v>329</v>
      </c>
      <c r="D57" s="590" t="s">
        <v>17</v>
      </c>
      <c r="E57" s="591">
        <f>SUM(E58:E59)</f>
        <v>280</v>
      </c>
      <c r="F57" s="592">
        <f>salaries!H18</f>
        <v>39</v>
      </c>
      <c r="G57" s="591">
        <f>F57*E57</f>
        <v>10920</v>
      </c>
      <c r="H57" s="1552"/>
      <c r="I57" s="2471"/>
    </row>
    <row r="58" spans="1:9" x14ac:dyDescent="0.2">
      <c r="A58" s="588"/>
      <c r="B58" s="1550"/>
      <c r="C58" s="1553" t="s">
        <v>767</v>
      </c>
      <c r="D58" s="1554"/>
      <c r="E58" s="1555">
        <v>240</v>
      </c>
      <c r="F58" s="1552"/>
      <c r="G58" s="1556"/>
      <c r="H58" s="1552"/>
      <c r="I58" s="2471"/>
    </row>
    <row r="59" spans="1:9" x14ac:dyDescent="0.2">
      <c r="A59" s="608"/>
      <c r="B59" s="1557"/>
      <c r="C59" s="1558" t="s">
        <v>660</v>
      </c>
      <c r="D59" s="1559"/>
      <c r="E59" s="1560">
        <v>40</v>
      </c>
      <c r="F59" s="1561"/>
      <c r="G59" s="1562"/>
      <c r="H59" s="1561">
        <f>SUM(G57:G59)</f>
        <v>10920</v>
      </c>
      <c r="I59" s="2471"/>
    </row>
    <row r="60" spans="1:9" x14ac:dyDescent="0.2">
      <c r="A60" s="617" t="s">
        <v>309</v>
      </c>
      <c r="B60" s="1544" t="s">
        <v>825</v>
      </c>
      <c r="C60" s="1545" t="s">
        <v>329</v>
      </c>
      <c r="D60" s="625" t="s">
        <v>17</v>
      </c>
      <c r="E60" s="626">
        <f>SUM(E61:E62)</f>
        <v>120</v>
      </c>
      <c r="F60" s="1546">
        <f>salaries!H23</f>
        <v>36</v>
      </c>
      <c r="G60" s="626">
        <f>F60*E60</f>
        <v>4320</v>
      </c>
      <c r="H60" s="1290"/>
      <c r="I60" s="2473"/>
    </row>
    <row r="61" spans="1:9" x14ac:dyDescent="0.2">
      <c r="A61" s="617"/>
      <c r="B61" s="1544"/>
      <c r="C61" s="1547" t="s">
        <v>658</v>
      </c>
      <c r="D61" s="625"/>
      <c r="E61" s="621">
        <v>80</v>
      </c>
      <c r="F61" s="1546"/>
      <c r="G61" s="626"/>
      <c r="H61" s="1290"/>
      <c r="I61" s="2473"/>
    </row>
    <row r="62" spans="1:9" x14ac:dyDescent="0.2">
      <c r="A62" s="617"/>
      <c r="B62" s="1544"/>
      <c r="C62" s="1548" t="s">
        <v>660</v>
      </c>
      <c r="D62" s="1549"/>
      <c r="E62" s="1450">
        <v>40</v>
      </c>
      <c r="F62" s="1290"/>
      <c r="G62" s="1447"/>
      <c r="H62" s="1290"/>
      <c r="I62" s="2473"/>
    </row>
    <row r="63" spans="1:9" x14ac:dyDescent="0.2">
      <c r="A63" s="617"/>
      <c r="B63" s="1544" t="s">
        <v>824</v>
      </c>
      <c r="C63" s="1545" t="s">
        <v>324</v>
      </c>
      <c r="D63" s="625" t="s">
        <v>17</v>
      </c>
      <c r="E63" s="626">
        <f>SUM(E64:E65)</f>
        <v>200</v>
      </c>
      <c r="F63" s="1546">
        <f>salaries!H22</f>
        <v>38</v>
      </c>
      <c r="G63" s="626">
        <f>F63*E63</f>
        <v>7600</v>
      </c>
      <c r="H63" s="1290"/>
      <c r="I63" s="2473"/>
    </row>
    <row r="64" spans="1:9" x14ac:dyDescent="0.2">
      <c r="A64" s="617"/>
      <c r="B64" s="1544"/>
      <c r="C64" s="1548" t="s">
        <v>659</v>
      </c>
      <c r="D64" s="1549"/>
      <c r="E64" s="1450">
        <v>160</v>
      </c>
      <c r="F64" s="1290"/>
      <c r="G64" s="1447"/>
      <c r="H64" s="1290"/>
      <c r="I64" s="2473"/>
    </row>
    <row r="65" spans="1:9" x14ac:dyDescent="0.2">
      <c r="A65" s="627"/>
      <c r="B65" s="1628"/>
      <c r="C65" s="1452" t="s">
        <v>661</v>
      </c>
      <c r="D65" s="1629"/>
      <c r="E65" s="1630">
        <v>40</v>
      </c>
      <c r="F65" s="1292"/>
      <c r="G65" s="1631"/>
      <c r="H65" s="1292">
        <f>SUM(G60:G65)</f>
        <v>11920</v>
      </c>
      <c r="I65" s="2473"/>
    </row>
    <row r="66" spans="1:9" x14ac:dyDescent="0.2">
      <c r="A66" s="640" t="s">
        <v>310</v>
      </c>
      <c r="B66" s="1533" t="s">
        <v>217</v>
      </c>
      <c r="C66" s="1633" t="s">
        <v>329</v>
      </c>
      <c r="D66" s="1632" t="s">
        <v>17</v>
      </c>
      <c r="E66" s="683">
        <f>SUM(E67:E68)</f>
        <v>120</v>
      </c>
      <c r="F66" s="682">
        <f>salaries!H25</f>
        <v>40</v>
      </c>
      <c r="G66" s="683">
        <f>F66*E66</f>
        <v>4800</v>
      </c>
      <c r="H66" s="1529"/>
      <c r="I66" s="2473"/>
    </row>
    <row r="67" spans="1:9" x14ac:dyDescent="0.2">
      <c r="A67" s="640"/>
      <c r="B67" s="1533"/>
      <c r="C67" s="1627" t="s">
        <v>658</v>
      </c>
      <c r="D67" s="1632"/>
      <c r="E67" s="1534">
        <v>80</v>
      </c>
      <c r="F67" s="1529"/>
      <c r="G67" s="1530"/>
      <c r="H67" s="1529"/>
      <c r="I67" s="2473"/>
    </row>
    <row r="68" spans="1:9" x14ac:dyDescent="0.2">
      <c r="A68" s="640"/>
      <c r="B68" s="1533"/>
      <c r="C68" s="1627" t="s">
        <v>660</v>
      </c>
      <c r="D68" s="1632"/>
      <c r="E68" s="1534">
        <v>40</v>
      </c>
      <c r="F68" s="1529"/>
      <c r="G68" s="1530"/>
      <c r="H68" s="1529"/>
      <c r="I68" s="2473"/>
    </row>
    <row r="69" spans="1:9" x14ac:dyDescent="0.2">
      <c r="A69" s="640"/>
      <c r="B69" s="1533" t="s">
        <v>219</v>
      </c>
      <c r="C69" s="1633" t="s">
        <v>324</v>
      </c>
      <c r="D69" s="1632" t="s">
        <v>17</v>
      </c>
      <c r="E69" s="683">
        <f>SUM(E70:E71)</f>
        <v>320</v>
      </c>
      <c r="F69" s="682">
        <f>salaries!H27</f>
        <v>32</v>
      </c>
      <c r="G69" s="683">
        <f>F69*E69</f>
        <v>10240</v>
      </c>
      <c r="H69" s="1529"/>
      <c r="I69" s="2473"/>
    </row>
    <row r="70" spans="1:9" x14ac:dyDescent="0.2">
      <c r="A70" s="640"/>
      <c r="B70" s="1533"/>
      <c r="C70" s="1627" t="s">
        <v>901</v>
      </c>
      <c r="D70" s="1632"/>
      <c r="E70" s="1534">
        <v>160</v>
      </c>
      <c r="F70" s="1529"/>
      <c r="G70" s="1530"/>
      <c r="H70" s="1529"/>
      <c r="I70" s="2473"/>
    </row>
    <row r="71" spans="1:9" x14ac:dyDescent="0.2">
      <c r="A71" s="640"/>
      <c r="B71" s="1533"/>
      <c r="C71" s="1627" t="s">
        <v>902</v>
      </c>
      <c r="D71" s="1632"/>
      <c r="E71" s="1534">
        <v>160</v>
      </c>
      <c r="F71" s="1529"/>
      <c r="G71" s="1530"/>
      <c r="H71" s="1529"/>
      <c r="I71" s="2473"/>
    </row>
    <row r="72" spans="1:9" x14ac:dyDescent="0.2">
      <c r="A72" s="640"/>
      <c r="B72" s="1533" t="s">
        <v>220</v>
      </c>
      <c r="C72" s="1633" t="s">
        <v>324</v>
      </c>
      <c r="D72" s="1632" t="s">
        <v>17</v>
      </c>
      <c r="E72" s="683">
        <f>SUM(E73)</f>
        <v>320</v>
      </c>
      <c r="F72" s="682">
        <f>salaries!H28</f>
        <v>11</v>
      </c>
      <c r="G72" s="683">
        <f>F72*E72</f>
        <v>3520</v>
      </c>
      <c r="H72" s="1529"/>
      <c r="I72" s="2473"/>
    </row>
    <row r="73" spans="1:9" x14ac:dyDescent="0.2">
      <c r="A73" s="640"/>
      <c r="B73" s="1533"/>
      <c r="C73" s="1627" t="s">
        <v>900</v>
      </c>
      <c r="D73" s="1632"/>
      <c r="E73" s="1534">
        <v>320</v>
      </c>
      <c r="F73" s="1529"/>
      <c r="G73" s="1530"/>
      <c r="H73" s="1529"/>
      <c r="I73" s="2473"/>
    </row>
    <row r="74" spans="1:9" x14ac:dyDescent="0.2">
      <c r="A74" s="640"/>
      <c r="B74" s="1533" t="s">
        <v>218</v>
      </c>
      <c r="C74" s="1633" t="s">
        <v>324</v>
      </c>
      <c r="D74" s="1632" t="s">
        <v>17</v>
      </c>
      <c r="E74" s="683">
        <f>SUM(E75:E76)</f>
        <v>200</v>
      </c>
      <c r="F74" s="682">
        <f>salaries!H26</f>
        <v>44</v>
      </c>
      <c r="G74" s="683">
        <f>F74*E74</f>
        <v>8800</v>
      </c>
      <c r="H74" s="1529"/>
      <c r="I74" s="2473"/>
    </row>
    <row r="75" spans="1:9" x14ac:dyDescent="0.2">
      <c r="A75" s="640"/>
      <c r="B75" s="1533"/>
      <c r="C75" s="1627" t="s">
        <v>659</v>
      </c>
      <c r="D75" s="1632"/>
      <c r="E75" s="1534">
        <v>160</v>
      </c>
      <c r="F75" s="1529"/>
      <c r="G75" s="1530"/>
      <c r="H75" s="1529"/>
      <c r="I75" s="2473"/>
    </row>
    <row r="76" spans="1:9" x14ac:dyDescent="0.2">
      <c r="A76" s="640"/>
      <c r="B76" s="1533"/>
      <c r="C76" s="1627" t="s">
        <v>661</v>
      </c>
      <c r="D76" s="1632"/>
      <c r="E76" s="1534">
        <v>40</v>
      </c>
      <c r="F76" s="1529"/>
      <c r="G76" s="1530"/>
      <c r="H76" s="1529">
        <f>SUM(G66:G76)</f>
        <v>27360</v>
      </c>
      <c r="I76" s="2473"/>
    </row>
    <row r="77" spans="1:9" x14ac:dyDescent="0.2">
      <c r="A77" s="669" t="s">
        <v>311</v>
      </c>
      <c r="B77" s="670" t="s">
        <v>213</v>
      </c>
      <c r="C77" s="671" t="s">
        <v>329</v>
      </c>
      <c r="D77" s="672" t="s">
        <v>17</v>
      </c>
      <c r="E77" s="673">
        <f>SUM(E78:E81)</f>
        <v>480</v>
      </c>
      <c r="F77" s="674">
        <f>salaries!H29</f>
        <v>15</v>
      </c>
      <c r="G77" s="673">
        <f>F77*E77</f>
        <v>7200</v>
      </c>
      <c r="H77" s="675"/>
      <c r="I77" s="2382"/>
    </row>
    <row r="78" spans="1:9" x14ac:dyDescent="0.2">
      <c r="A78" s="656"/>
      <c r="B78" s="657"/>
      <c r="C78" s="676" t="s">
        <v>663</v>
      </c>
      <c r="D78" s="662"/>
      <c r="E78" s="663">
        <v>80</v>
      </c>
      <c r="F78" s="661"/>
      <c r="G78" s="663"/>
      <c r="H78" s="661"/>
      <c r="I78" s="2382"/>
    </row>
    <row r="79" spans="1:9" x14ac:dyDescent="0.2">
      <c r="A79" s="656"/>
      <c r="B79" s="657"/>
      <c r="C79" s="676" t="s">
        <v>634</v>
      </c>
      <c r="D79" s="662"/>
      <c r="E79" s="663">
        <v>160</v>
      </c>
      <c r="F79" s="661"/>
      <c r="G79" s="663"/>
      <c r="H79" s="661"/>
      <c r="I79" s="2382"/>
    </row>
    <row r="80" spans="1:9" x14ac:dyDescent="0.2">
      <c r="A80" s="656"/>
      <c r="B80" s="657"/>
      <c r="C80" s="676" t="s">
        <v>631</v>
      </c>
      <c r="D80" s="662"/>
      <c r="E80" s="663">
        <v>160</v>
      </c>
      <c r="F80" s="661"/>
      <c r="G80" s="663"/>
      <c r="H80" s="661"/>
      <c r="I80" s="2382"/>
    </row>
    <row r="81" spans="1:9" x14ac:dyDescent="0.2">
      <c r="A81" s="656"/>
      <c r="B81" s="657"/>
      <c r="C81" s="676" t="s">
        <v>636</v>
      </c>
      <c r="D81" s="662"/>
      <c r="E81" s="663">
        <v>80</v>
      </c>
      <c r="F81" s="661"/>
      <c r="G81" s="663"/>
      <c r="H81" s="661"/>
      <c r="I81" s="2382"/>
    </row>
    <row r="82" spans="1:9" x14ac:dyDescent="0.2">
      <c r="A82" s="656"/>
      <c r="B82" s="657" t="s">
        <v>815</v>
      </c>
      <c r="C82" s="1634" t="s">
        <v>329</v>
      </c>
      <c r="D82" s="1635" t="s">
        <v>17</v>
      </c>
      <c r="E82" s="1636">
        <f>SUM(E83:E85)</f>
        <v>240</v>
      </c>
      <c r="F82" s="1637">
        <f>salaries!H31</f>
        <v>11</v>
      </c>
      <c r="G82" s="1636">
        <f>F82*E82</f>
        <v>2640</v>
      </c>
      <c r="H82" s="661"/>
      <c r="I82" s="2382"/>
    </row>
    <row r="83" spans="1:9" x14ac:dyDescent="0.2">
      <c r="A83" s="656"/>
      <c r="B83" s="657"/>
      <c r="C83" s="676" t="s">
        <v>632</v>
      </c>
      <c r="D83" s="662"/>
      <c r="E83" s="663">
        <v>80</v>
      </c>
      <c r="F83" s="661"/>
      <c r="G83" s="663"/>
      <c r="H83" s="661"/>
      <c r="I83" s="2382"/>
    </row>
    <row r="84" spans="1:9" x14ac:dyDescent="0.2">
      <c r="A84" s="656"/>
      <c r="B84" s="657"/>
      <c r="C84" s="676" t="s">
        <v>633</v>
      </c>
      <c r="D84" s="662"/>
      <c r="E84" s="663">
        <v>80</v>
      </c>
      <c r="F84" s="661"/>
      <c r="G84" s="663"/>
      <c r="H84" s="661"/>
      <c r="I84" s="2382"/>
    </row>
    <row r="85" spans="1:9" s="68" customFormat="1" x14ac:dyDescent="0.2">
      <c r="A85" s="679"/>
      <c r="B85" s="667"/>
      <c r="C85" s="666" t="s">
        <v>662</v>
      </c>
      <c r="D85" s="667"/>
      <c r="E85" s="668">
        <v>80</v>
      </c>
      <c r="F85" s="680"/>
      <c r="G85" s="668"/>
      <c r="H85" s="680">
        <f>SUM(G77:G85)</f>
        <v>9840</v>
      </c>
      <c r="I85" s="2474"/>
    </row>
    <row r="86" spans="1:9" x14ac:dyDescent="0.2">
      <c r="A86" s="853" t="s">
        <v>407</v>
      </c>
      <c r="B86" s="854" t="s">
        <v>221</v>
      </c>
      <c r="C86" s="838" t="s">
        <v>329</v>
      </c>
      <c r="D86" s="839" t="s">
        <v>17</v>
      </c>
      <c r="E86" s="840">
        <f>SUM(E87:E91)</f>
        <v>640</v>
      </c>
      <c r="F86" s="855">
        <f>salaries!H34</f>
        <v>15</v>
      </c>
      <c r="G86" s="840">
        <f>F86*E86</f>
        <v>9600</v>
      </c>
      <c r="H86" s="856"/>
      <c r="I86" s="2382"/>
    </row>
    <row r="87" spans="1:9" x14ac:dyDescent="0.2">
      <c r="A87" s="836"/>
      <c r="B87" s="837"/>
      <c r="C87" s="844" t="s">
        <v>663</v>
      </c>
      <c r="D87" s="849"/>
      <c r="E87" s="846">
        <v>80</v>
      </c>
      <c r="F87" s="841"/>
      <c r="G87" s="842"/>
      <c r="H87" s="843"/>
      <c r="I87" s="2382"/>
    </row>
    <row r="88" spans="1:9" x14ac:dyDescent="0.2">
      <c r="A88" s="836"/>
      <c r="B88" s="837"/>
      <c r="C88" s="844" t="s">
        <v>634</v>
      </c>
      <c r="D88" s="849"/>
      <c r="E88" s="846">
        <v>160</v>
      </c>
      <c r="F88" s="841"/>
      <c r="G88" s="842"/>
      <c r="H88" s="843"/>
      <c r="I88" s="2382"/>
    </row>
    <row r="89" spans="1:9" x14ac:dyDescent="0.2">
      <c r="A89" s="836"/>
      <c r="B89" s="837"/>
      <c r="C89" s="844" t="s">
        <v>664</v>
      </c>
      <c r="D89" s="849"/>
      <c r="E89" s="846">
        <v>160</v>
      </c>
      <c r="F89" s="841"/>
      <c r="G89" s="842"/>
      <c r="H89" s="843"/>
      <c r="I89" s="2382"/>
    </row>
    <row r="90" spans="1:9" x14ac:dyDescent="0.2">
      <c r="A90" s="836"/>
      <c r="B90" s="837"/>
      <c r="C90" s="844" t="s">
        <v>631</v>
      </c>
      <c r="D90" s="849"/>
      <c r="E90" s="846">
        <v>160</v>
      </c>
      <c r="F90" s="841"/>
      <c r="G90" s="842"/>
      <c r="H90" s="843"/>
      <c r="I90" s="2382"/>
    </row>
    <row r="91" spans="1:9" x14ac:dyDescent="0.2">
      <c r="A91" s="836"/>
      <c r="B91" s="837"/>
      <c r="C91" s="844" t="s">
        <v>636</v>
      </c>
      <c r="D91" s="849"/>
      <c r="E91" s="846">
        <v>80</v>
      </c>
      <c r="F91" s="841"/>
      <c r="G91" s="842"/>
      <c r="H91" s="843"/>
      <c r="I91" s="2382"/>
    </row>
    <row r="92" spans="1:9" x14ac:dyDescent="0.2">
      <c r="A92" s="836"/>
      <c r="B92" s="837" t="s">
        <v>222</v>
      </c>
      <c r="C92" s="848" t="s">
        <v>329</v>
      </c>
      <c r="D92" s="849" t="s">
        <v>17</v>
      </c>
      <c r="E92" s="861">
        <f>SUM(E93:E95)</f>
        <v>1184</v>
      </c>
      <c r="F92" s="841">
        <f>salaries!H35</f>
        <v>15</v>
      </c>
      <c r="G92" s="842">
        <f>F92*E92</f>
        <v>17760</v>
      </c>
      <c r="H92" s="843"/>
      <c r="I92" s="2382"/>
    </row>
    <row r="93" spans="1:9" x14ac:dyDescent="0.2">
      <c r="A93" s="836"/>
      <c r="B93" s="837"/>
      <c r="C93" s="844" t="s">
        <v>665</v>
      </c>
      <c r="D93" s="849"/>
      <c r="E93" s="846">
        <f>2*24*8</f>
        <v>384</v>
      </c>
      <c r="F93" s="841"/>
      <c r="G93" s="842"/>
      <c r="H93" s="843"/>
      <c r="I93" s="2382"/>
    </row>
    <row r="94" spans="1:9" x14ac:dyDescent="0.2">
      <c r="A94" s="836"/>
      <c r="B94" s="837"/>
      <c r="C94" s="844" t="s">
        <v>668</v>
      </c>
      <c r="D94" s="849"/>
      <c r="E94" s="846">
        <v>320</v>
      </c>
      <c r="F94" s="841"/>
      <c r="G94" s="842"/>
      <c r="H94" s="843"/>
      <c r="I94" s="2382"/>
    </row>
    <row r="95" spans="1:9" x14ac:dyDescent="0.2">
      <c r="A95" s="836"/>
      <c r="B95" s="837"/>
      <c r="C95" s="844" t="s">
        <v>666</v>
      </c>
      <c r="D95" s="849"/>
      <c r="E95" s="846">
        <v>480</v>
      </c>
      <c r="F95" s="841"/>
      <c r="G95" s="842"/>
      <c r="H95" s="843"/>
      <c r="I95" s="2382"/>
    </row>
    <row r="96" spans="1:9" x14ac:dyDescent="0.2">
      <c r="A96" s="836"/>
      <c r="B96" s="837" t="s">
        <v>223</v>
      </c>
      <c r="C96" s="1693" t="s">
        <v>329</v>
      </c>
      <c r="D96" s="1694" t="s">
        <v>17</v>
      </c>
      <c r="E96" s="861">
        <f>SUM(E97:E98)</f>
        <v>400</v>
      </c>
      <c r="F96" s="860">
        <f>salaries!H36</f>
        <v>12</v>
      </c>
      <c r="G96" s="861">
        <f>F96*E96</f>
        <v>4800</v>
      </c>
      <c r="H96" s="843"/>
      <c r="I96" s="2382"/>
    </row>
    <row r="97" spans="1:9" x14ac:dyDescent="0.2">
      <c r="A97" s="836"/>
      <c r="B97" s="837"/>
      <c r="C97" s="844" t="s">
        <v>829</v>
      </c>
      <c r="D97" s="849"/>
      <c r="E97" s="846">
        <v>320</v>
      </c>
      <c r="F97" s="841"/>
      <c r="G97" s="842"/>
      <c r="H97" s="843"/>
      <c r="I97" s="2382"/>
    </row>
    <row r="98" spans="1:9" x14ac:dyDescent="0.2">
      <c r="A98" s="836"/>
      <c r="B98" s="837"/>
      <c r="C98" s="844" t="s">
        <v>633</v>
      </c>
      <c r="D98" s="849"/>
      <c r="E98" s="846">
        <v>80</v>
      </c>
      <c r="F98" s="841"/>
      <c r="G98" s="842"/>
      <c r="H98" s="843"/>
      <c r="I98" s="2382"/>
    </row>
    <row r="99" spans="1:9" x14ac:dyDescent="0.2">
      <c r="A99" s="836"/>
      <c r="B99" s="837" t="s">
        <v>224</v>
      </c>
      <c r="C99" s="848" t="s">
        <v>329</v>
      </c>
      <c r="D99" s="849" t="s">
        <v>17</v>
      </c>
      <c r="E99" s="842">
        <f>SUM(E100:E102)</f>
        <v>400</v>
      </c>
      <c r="F99" s="841">
        <f>salaries!H37</f>
        <v>12</v>
      </c>
      <c r="G99" s="842">
        <f>F99*E99</f>
        <v>4800</v>
      </c>
      <c r="H99" s="843"/>
      <c r="I99" s="2382"/>
    </row>
    <row r="100" spans="1:9" x14ac:dyDescent="0.2">
      <c r="A100" s="836"/>
      <c r="B100" s="837"/>
      <c r="C100" s="844" t="s">
        <v>632</v>
      </c>
      <c r="D100" s="849"/>
      <c r="E100" s="846">
        <v>80</v>
      </c>
      <c r="F100" s="841"/>
      <c r="G100" s="842"/>
      <c r="H100" s="843"/>
      <c r="I100" s="2382"/>
    </row>
    <row r="101" spans="1:9" x14ac:dyDescent="0.2">
      <c r="A101" s="836"/>
      <c r="B101" s="837"/>
      <c r="C101" s="844" t="s">
        <v>667</v>
      </c>
      <c r="D101" s="849"/>
      <c r="E101" s="846">
        <v>160</v>
      </c>
      <c r="F101" s="841"/>
      <c r="G101" s="842"/>
      <c r="H101" s="843"/>
      <c r="I101" s="2382"/>
    </row>
    <row r="102" spans="1:9" x14ac:dyDescent="0.2">
      <c r="A102" s="836"/>
      <c r="B102" s="837"/>
      <c r="C102" s="844" t="s">
        <v>827</v>
      </c>
      <c r="D102" s="845"/>
      <c r="E102" s="846">
        <v>160</v>
      </c>
      <c r="F102" s="843"/>
      <c r="G102" s="846"/>
      <c r="H102" s="843">
        <f>SUM(G86:G102)</f>
        <v>36960</v>
      </c>
      <c r="I102" s="2382"/>
    </row>
    <row r="103" spans="1:9" x14ac:dyDescent="0.2">
      <c r="A103" s="867" t="s">
        <v>408</v>
      </c>
      <c r="B103" s="868" t="s">
        <v>225</v>
      </c>
      <c r="C103" s="869" t="s">
        <v>329</v>
      </c>
      <c r="D103" s="870" t="s">
        <v>17</v>
      </c>
      <c r="E103" s="871">
        <v>480</v>
      </c>
      <c r="F103" s="872">
        <f>salaries!H38</f>
        <v>11</v>
      </c>
      <c r="G103" s="871">
        <f>F103*E103</f>
        <v>5280</v>
      </c>
      <c r="H103" s="873"/>
      <c r="I103" s="2382"/>
    </row>
    <row r="104" spans="1:9" x14ac:dyDescent="0.2">
      <c r="A104" s="548"/>
      <c r="B104" s="549"/>
      <c r="C104" s="556" t="s">
        <v>663</v>
      </c>
      <c r="D104" s="549"/>
      <c r="E104" s="554">
        <v>80</v>
      </c>
      <c r="F104" s="553"/>
      <c r="G104" s="554"/>
      <c r="H104" s="553"/>
      <c r="I104" s="2382"/>
    </row>
    <row r="105" spans="1:9" x14ac:dyDescent="0.2">
      <c r="A105" s="548"/>
      <c r="B105" s="549"/>
      <c r="C105" s="862" t="s">
        <v>634</v>
      </c>
      <c r="D105" s="549"/>
      <c r="E105" s="554">
        <v>160</v>
      </c>
      <c r="F105" s="553"/>
      <c r="G105" s="554"/>
      <c r="H105" s="553"/>
      <c r="I105" s="2383"/>
    </row>
    <row r="106" spans="1:9" x14ac:dyDescent="0.2">
      <c r="A106" s="548"/>
      <c r="B106" s="549"/>
      <c r="C106" s="862" t="s">
        <v>631</v>
      </c>
      <c r="D106" s="549"/>
      <c r="E106" s="554">
        <v>160</v>
      </c>
      <c r="F106" s="553"/>
      <c r="G106" s="554"/>
      <c r="H106" s="553"/>
      <c r="I106" s="2383"/>
    </row>
    <row r="107" spans="1:9" x14ac:dyDescent="0.2">
      <c r="A107" s="548"/>
      <c r="B107" s="549"/>
      <c r="C107" s="862" t="s">
        <v>636</v>
      </c>
      <c r="D107" s="549"/>
      <c r="E107" s="554">
        <v>80</v>
      </c>
      <c r="F107" s="553"/>
      <c r="G107" s="554"/>
      <c r="H107" s="553"/>
      <c r="I107" s="2383"/>
    </row>
    <row r="108" spans="1:9" x14ac:dyDescent="0.2">
      <c r="A108" s="548"/>
      <c r="B108" s="549" t="s">
        <v>228</v>
      </c>
      <c r="C108" s="1638" t="s">
        <v>329</v>
      </c>
      <c r="D108" s="1170" t="s">
        <v>17</v>
      </c>
      <c r="E108" s="1171">
        <v>240</v>
      </c>
      <c r="F108" s="1172">
        <f>salaries!H41</f>
        <v>9</v>
      </c>
      <c r="G108" s="1171">
        <f>F108*E108</f>
        <v>2160</v>
      </c>
      <c r="H108" s="553"/>
      <c r="I108" s="2383"/>
    </row>
    <row r="109" spans="1:9" x14ac:dyDescent="0.2">
      <c r="A109" s="548"/>
      <c r="B109" s="549"/>
      <c r="C109" s="862" t="s">
        <v>632</v>
      </c>
      <c r="D109" s="549"/>
      <c r="E109" s="554">
        <v>80</v>
      </c>
      <c r="F109" s="553"/>
      <c r="G109" s="554"/>
      <c r="H109" s="553"/>
      <c r="I109" s="2383"/>
    </row>
    <row r="110" spans="1:9" x14ac:dyDescent="0.2">
      <c r="A110" s="548"/>
      <c r="B110" s="549"/>
      <c r="C110" s="862" t="s">
        <v>633</v>
      </c>
      <c r="D110" s="549"/>
      <c r="E110" s="554">
        <v>80</v>
      </c>
      <c r="F110" s="553"/>
      <c r="G110" s="554"/>
      <c r="H110" s="553"/>
      <c r="I110" s="2383"/>
    </row>
    <row r="111" spans="1:9" s="105" customFormat="1" x14ac:dyDescent="0.2">
      <c r="A111" s="874"/>
      <c r="B111" s="865"/>
      <c r="C111" s="864" t="s">
        <v>662</v>
      </c>
      <c r="D111" s="865"/>
      <c r="E111" s="866">
        <v>80</v>
      </c>
      <c r="F111" s="875"/>
      <c r="G111" s="866"/>
      <c r="H111" s="875">
        <f>SUM(G103:G111)</f>
        <v>7440</v>
      </c>
      <c r="I111" s="2486"/>
    </row>
    <row r="112" spans="1:9" x14ac:dyDescent="0.2">
      <c r="A112" s="890" t="s">
        <v>409</v>
      </c>
      <c r="B112" s="891" t="s">
        <v>801</v>
      </c>
      <c r="C112" s="892" t="s">
        <v>329</v>
      </c>
      <c r="D112" s="893" t="s">
        <v>17</v>
      </c>
      <c r="E112" s="894">
        <f>SUM(E113:E116)</f>
        <v>480</v>
      </c>
      <c r="F112" s="895">
        <f>salaries!H44</f>
        <v>17</v>
      </c>
      <c r="G112" s="894">
        <f>F112*E112</f>
        <v>8160</v>
      </c>
      <c r="H112" s="896"/>
      <c r="I112" s="2382"/>
    </row>
    <row r="113" spans="1:9" x14ac:dyDescent="0.2">
      <c r="A113" s="876"/>
      <c r="B113" s="877"/>
      <c r="C113" s="883" t="s">
        <v>663</v>
      </c>
      <c r="D113" s="879"/>
      <c r="E113" s="885">
        <v>80</v>
      </c>
      <c r="F113" s="881"/>
      <c r="G113" s="880"/>
      <c r="H113" s="882"/>
      <c r="I113" s="2382"/>
    </row>
    <row r="114" spans="1:9" x14ac:dyDescent="0.2">
      <c r="A114" s="876"/>
      <c r="B114" s="877"/>
      <c r="C114" s="883" t="s">
        <v>634</v>
      </c>
      <c r="D114" s="884"/>
      <c r="E114" s="885">
        <v>160</v>
      </c>
      <c r="F114" s="882"/>
      <c r="G114" s="885"/>
      <c r="H114" s="882"/>
      <c r="I114" s="2382"/>
    </row>
    <row r="115" spans="1:9" x14ac:dyDescent="0.2">
      <c r="A115" s="876"/>
      <c r="B115" s="877"/>
      <c r="C115" s="886" t="s">
        <v>631</v>
      </c>
      <c r="D115" s="884"/>
      <c r="E115" s="885">
        <v>160</v>
      </c>
      <c r="F115" s="882"/>
      <c r="G115" s="885"/>
      <c r="H115" s="882"/>
      <c r="I115" s="2383"/>
    </row>
    <row r="116" spans="1:9" x14ac:dyDescent="0.2">
      <c r="A116" s="876"/>
      <c r="B116" s="877"/>
      <c r="C116" s="886" t="s">
        <v>636</v>
      </c>
      <c r="D116" s="884" t="s">
        <v>17</v>
      </c>
      <c r="E116" s="885">
        <v>80</v>
      </c>
      <c r="F116" s="882"/>
      <c r="G116" s="885"/>
      <c r="H116" s="882"/>
      <c r="I116" s="2383"/>
    </row>
    <row r="117" spans="1:9" x14ac:dyDescent="0.2">
      <c r="A117" s="876"/>
      <c r="B117" s="877" t="s">
        <v>231</v>
      </c>
      <c r="C117" s="1541" t="s">
        <v>329</v>
      </c>
      <c r="D117" s="1639"/>
      <c r="E117" s="1542">
        <f>SUM(E118:E120)</f>
        <v>240</v>
      </c>
      <c r="F117" s="1543">
        <f>salaries!H46</f>
        <v>10</v>
      </c>
      <c r="G117" s="1542">
        <f>F117*E117</f>
        <v>2400</v>
      </c>
      <c r="H117" s="882"/>
      <c r="I117" s="2383"/>
    </row>
    <row r="118" spans="1:9" x14ac:dyDescent="0.2">
      <c r="A118" s="876"/>
      <c r="B118" s="877"/>
      <c r="C118" s="886" t="s">
        <v>632</v>
      </c>
      <c r="D118" s="884"/>
      <c r="E118" s="885">
        <v>80</v>
      </c>
      <c r="F118" s="882"/>
      <c r="G118" s="885"/>
      <c r="H118" s="882"/>
      <c r="I118" s="2383"/>
    </row>
    <row r="119" spans="1:9" x14ac:dyDescent="0.2">
      <c r="A119" s="876"/>
      <c r="B119" s="877"/>
      <c r="C119" s="886" t="s">
        <v>633</v>
      </c>
      <c r="D119" s="879"/>
      <c r="E119" s="885">
        <v>80</v>
      </c>
      <c r="F119" s="1543"/>
      <c r="G119" s="1542"/>
      <c r="H119" s="882"/>
      <c r="I119" s="2383"/>
    </row>
    <row r="120" spans="1:9" x14ac:dyDescent="0.2">
      <c r="A120" s="897"/>
      <c r="B120" s="898"/>
      <c r="C120" s="887" t="s">
        <v>662</v>
      </c>
      <c r="D120" s="888"/>
      <c r="E120" s="889">
        <v>80</v>
      </c>
      <c r="F120" s="899"/>
      <c r="G120" s="889"/>
      <c r="H120" s="899">
        <f>SUM(G112:G120)</f>
        <v>10560</v>
      </c>
      <c r="I120" s="2382"/>
    </row>
    <row r="121" spans="1:9" x14ac:dyDescent="0.2">
      <c r="A121" s="900" t="s">
        <v>410</v>
      </c>
      <c r="B121" s="901" t="s">
        <v>233</v>
      </c>
      <c r="C121" s="902" t="s">
        <v>329</v>
      </c>
      <c r="D121" s="903" t="s">
        <v>17</v>
      </c>
      <c r="E121" s="904">
        <f>SUM(E122:E125)</f>
        <v>480</v>
      </c>
      <c r="F121" s="905">
        <f>salaries!H48</f>
        <v>21</v>
      </c>
      <c r="G121" s="904">
        <f>F121*E121</f>
        <v>10080</v>
      </c>
      <c r="H121" s="906"/>
      <c r="I121" s="2382"/>
    </row>
    <row r="122" spans="1:9" x14ac:dyDescent="0.2">
      <c r="A122" s="907"/>
      <c r="B122" s="908"/>
      <c r="C122" s="909" t="s">
        <v>663</v>
      </c>
      <c r="D122" s="908"/>
      <c r="E122" s="910">
        <v>80</v>
      </c>
      <c r="F122" s="914"/>
      <c r="G122" s="915"/>
      <c r="H122" s="911"/>
      <c r="I122" s="2382"/>
    </row>
    <row r="123" spans="1:9" x14ac:dyDescent="0.2">
      <c r="A123" s="907"/>
      <c r="B123" s="908"/>
      <c r="C123" s="909" t="s">
        <v>634</v>
      </c>
      <c r="D123" s="908"/>
      <c r="E123" s="910">
        <v>160</v>
      </c>
      <c r="F123" s="914"/>
      <c r="G123" s="915"/>
      <c r="H123" s="911"/>
      <c r="I123" s="2382"/>
    </row>
    <row r="124" spans="1:9" x14ac:dyDescent="0.2">
      <c r="A124" s="907"/>
      <c r="B124" s="908"/>
      <c r="C124" s="909" t="s">
        <v>631</v>
      </c>
      <c r="D124" s="908"/>
      <c r="E124" s="910">
        <v>160</v>
      </c>
      <c r="F124" s="914"/>
      <c r="G124" s="915"/>
      <c r="H124" s="911"/>
      <c r="I124" s="2382"/>
    </row>
    <row r="125" spans="1:9" x14ac:dyDescent="0.2">
      <c r="A125" s="907"/>
      <c r="B125" s="908"/>
      <c r="C125" s="909" t="s">
        <v>636</v>
      </c>
      <c r="D125" s="908"/>
      <c r="E125" s="910">
        <v>80</v>
      </c>
      <c r="F125" s="914"/>
      <c r="G125" s="915"/>
      <c r="H125" s="911"/>
      <c r="I125" s="2382"/>
    </row>
    <row r="126" spans="1:9" x14ac:dyDescent="0.2">
      <c r="A126" s="907"/>
      <c r="B126" s="908" t="s">
        <v>232</v>
      </c>
      <c r="C126" s="916" t="s">
        <v>329</v>
      </c>
      <c r="D126" s="917" t="s">
        <v>17</v>
      </c>
      <c r="E126" s="915">
        <f>SUM(E127:E129)</f>
        <v>240</v>
      </c>
      <c r="F126" s="914">
        <f>salaries!H47</f>
        <v>11</v>
      </c>
      <c r="G126" s="915">
        <f>F126*E126</f>
        <v>2640</v>
      </c>
      <c r="H126" s="911"/>
      <c r="I126" s="2382"/>
    </row>
    <row r="127" spans="1:9" x14ac:dyDescent="0.2">
      <c r="A127" s="907"/>
      <c r="B127" s="908"/>
      <c r="C127" s="909" t="s">
        <v>632</v>
      </c>
      <c r="D127" s="908"/>
      <c r="E127" s="910">
        <v>80</v>
      </c>
      <c r="F127" s="914"/>
      <c r="G127" s="915"/>
      <c r="H127" s="911"/>
      <c r="I127" s="2382"/>
    </row>
    <row r="128" spans="1:9" x14ac:dyDescent="0.2">
      <c r="A128" s="907"/>
      <c r="B128" s="908"/>
      <c r="C128" s="909" t="s">
        <v>633</v>
      </c>
      <c r="D128" s="908"/>
      <c r="E128" s="910">
        <v>80</v>
      </c>
      <c r="F128" s="911"/>
      <c r="G128" s="910"/>
      <c r="H128" s="911"/>
      <c r="I128" s="2382"/>
    </row>
    <row r="129" spans="1:9" s="68" customFormat="1" x14ac:dyDescent="0.2">
      <c r="A129" s="918"/>
      <c r="B129" s="919"/>
      <c r="C129" s="920" t="s">
        <v>662</v>
      </c>
      <c r="D129" s="919"/>
      <c r="E129" s="921">
        <v>80</v>
      </c>
      <c r="F129" s="922"/>
      <c r="G129" s="921"/>
      <c r="H129" s="922">
        <f>SUM(G121:G129)</f>
        <v>12720</v>
      </c>
      <c r="I129" s="2382"/>
    </row>
    <row r="130" spans="1:9" s="68" customFormat="1" x14ac:dyDescent="0.2">
      <c r="A130" s="961" t="s">
        <v>412</v>
      </c>
      <c r="B130" s="968" t="s">
        <v>237</v>
      </c>
      <c r="C130" s="938" t="s">
        <v>329</v>
      </c>
      <c r="D130" s="939" t="s">
        <v>17</v>
      </c>
      <c r="E130" s="940">
        <f>SUM(E131:E135)</f>
        <v>640</v>
      </c>
      <c r="F130" s="962">
        <f>salaries!H56</f>
        <v>20</v>
      </c>
      <c r="G130" s="940">
        <f>F130*E130</f>
        <v>12800</v>
      </c>
      <c r="H130" s="963"/>
      <c r="I130" s="2382"/>
    </row>
    <row r="131" spans="1:9" s="68" customFormat="1" x14ac:dyDescent="0.2">
      <c r="A131" s="936"/>
      <c r="B131" s="944"/>
      <c r="C131" s="945" t="s">
        <v>663</v>
      </c>
      <c r="D131" s="944"/>
      <c r="E131" s="946">
        <v>80</v>
      </c>
      <c r="F131" s="941"/>
      <c r="G131" s="942"/>
      <c r="H131" s="943"/>
      <c r="I131" s="2382"/>
    </row>
    <row r="132" spans="1:9" s="68" customFormat="1" x14ac:dyDescent="0.2">
      <c r="A132" s="936"/>
      <c r="B132" s="944"/>
      <c r="C132" s="945" t="s">
        <v>664</v>
      </c>
      <c r="D132" s="944"/>
      <c r="E132" s="946">
        <v>160</v>
      </c>
      <c r="F132" s="941"/>
      <c r="G132" s="942"/>
      <c r="H132" s="943"/>
      <c r="I132" s="2382"/>
    </row>
    <row r="133" spans="1:9" s="68" customFormat="1" x14ac:dyDescent="0.2">
      <c r="A133" s="936"/>
      <c r="B133" s="944"/>
      <c r="C133" s="945" t="s">
        <v>634</v>
      </c>
      <c r="D133" s="944"/>
      <c r="E133" s="946">
        <v>160</v>
      </c>
      <c r="F133" s="941"/>
      <c r="G133" s="942"/>
      <c r="H133" s="943"/>
      <c r="I133" s="2382"/>
    </row>
    <row r="134" spans="1:9" s="68" customFormat="1" x14ac:dyDescent="0.2">
      <c r="A134" s="936"/>
      <c r="B134" s="944"/>
      <c r="C134" s="945" t="s">
        <v>631</v>
      </c>
      <c r="D134" s="944"/>
      <c r="E134" s="946">
        <v>160</v>
      </c>
      <c r="F134" s="941"/>
      <c r="G134" s="942"/>
      <c r="H134" s="943"/>
      <c r="I134" s="2382"/>
    </row>
    <row r="135" spans="1:9" s="68" customFormat="1" x14ac:dyDescent="0.2">
      <c r="A135" s="936"/>
      <c r="B135" s="944"/>
      <c r="C135" s="945" t="s">
        <v>636</v>
      </c>
      <c r="D135" s="944"/>
      <c r="E135" s="946">
        <v>80</v>
      </c>
      <c r="F135" s="941"/>
      <c r="G135" s="942"/>
      <c r="H135" s="943"/>
      <c r="I135" s="2382"/>
    </row>
    <row r="136" spans="1:9" s="68" customFormat="1" x14ac:dyDescent="0.2">
      <c r="A136" s="936"/>
      <c r="B136" s="944" t="s">
        <v>236</v>
      </c>
      <c r="C136" s="948" t="s">
        <v>329</v>
      </c>
      <c r="D136" s="937" t="s">
        <v>17</v>
      </c>
      <c r="E136" s="942">
        <f>SUM(E137:E139)</f>
        <v>240</v>
      </c>
      <c r="F136" s="941">
        <f>salaries!H55</f>
        <v>21</v>
      </c>
      <c r="G136" s="942">
        <f>F136*E136</f>
        <v>5040</v>
      </c>
      <c r="H136" s="943"/>
      <c r="I136" s="2382"/>
    </row>
    <row r="137" spans="1:9" s="68" customFormat="1" x14ac:dyDescent="0.2">
      <c r="A137" s="936"/>
      <c r="B137" s="944"/>
      <c r="C137" s="945" t="s">
        <v>632</v>
      </c>
      <c r="D137" s="944"/>
      <c r="E137" s="946">
        <v>80</v>
      </c>
      <c r="F137" s="941"/>
      <c r="G137" s="942"/>
      <c r="H137" s="943"/>
      <c r="I137" s="2382"/>
    </row>
    <row r="138" spans="1:9" s="68" customFormat="1" x14ac:dyDescent="0.2">
      <c r="A138" s="936"/>
      <c r="B138" s="944"/>
      <c r="C138" s="945" t="s">
        <v>633</v>
      </c>
      <c r="D138" s="944"/>
      <c r="E138" s="946">
        <v>80</v>
      </c>
      <c r="F138" s="943"/>
      <c r="G138" s="946"/>
      <c r="H138" s="943"/>
      <c r="I138" s="2382"/>
    </row>
    <row r="139" spans="1:9" s="68" customFormat="1" x14ac:dyDescent="0.2">
      <c r="A139" s="964"/>
      <c r="B139" s="950"/>
      <c r="C139" s="949" t="s">
        <v>662</v>
      </c>
      <c r="D139" s="950"/>
      <c r="E139" s="951">
        <v>80</v>
      </c>
      <c r="F139" s="965"/>
      <c r="G139" s="951"/>
      <c r="H139" s="965">
        <f>SUM(G130:G139)</f>
        <v>17840</v>
      </c>
      <c r="I139" s="2382"/>
    </row>
    <row r="140" spans="1:9" x14ac:dyDescent="0.2">
      <c r="A140" s="977" t="s">
        <v>413</v>
      </c>
      <c r="B140" s="978" t="s">
        <v>244</v>
      </c>
      <c r="C140" s="979" t="s">
        <v>329</v>
      </c>
      <c r="D140" s="980" t="s">
        <v>17</v>
      </c>
      <c r="E140" s="981">
        <f>SUM(E141:E142)</f>
        <v>120</v>
      </c>
      <c r="F140" s="982">
        <f>salaries!H59</f>
        <v>27</v>
      </c>
      <c r="G140" s="981">
        <f>F140*E140</f>
        <v>3240</v>
      </c>
      <c r="H140" s="982"/>
      <c r="I140" s="2382"/>
    </row>
    <row r="141" spans="1:9" x14ac:dyDescent="0.2">
      <c r="A141" s="969"/>
      <c r="B141" s="970"/>
      <c r="C141" s="983" t="s">
        <v>786</v>
      </c>
      <c r="D141" s="973"/>
      <c r="E141" s="974">
        <v>40</v>
      </c>
      <c r="F141" s="972"/>
      <c r="G141" s="971"/>
      <c r="H141" s="975"/>
      <c r="I141" s="2382"/>
    </row>
    <row r="142" spans="1:9" x14ac:dyDescent="0.2">
      <c r="A142" s="985"/>
      <c r="B142" s="986"/>
      <c r="C142" s="987" t="s">
        <v>787</v>
      </c>
      <c r="D142" s="986"/>
      <c r="E142" s="988">
        <v>80</v>
      </c>
      <c r="F142" s="989"/>
      <c r="G142" s="988"/>
      <c r="H142" s="989">
        <f>SUM(G140:G142)</f>
        <v>3240</v>
      </c>
      <c r="I142" s="2382"/>
    </row>
    <row r="143" spans="1:9" x14ac:dyDescent="0.2">
      <c r="A143" s="999" t="s">
        <v>414</v>
      </c>
      <c r="B143" s="1000" t="s">
        <v>248</v>
      </c>
      <c r="C143" s="1001" t="s">
        <v>329</v>
      </c>
      <c r="D143" s="1002" t="s">
        <v>17</v>
      </c>
      <c r="E143" s="1003">
        <f>SUM(E144:E145)</f>
        <v>464</v>
      </c>
      <c r="F143" s="1004">
        <f>salaries!H63</f>
        <v>19</v>
      </c>
      <c r="G143" s="1003">
        <f>F143*E143</f>
        <v>8816</v>
      </c>
      <c r="H143" s="1005"/>
      <c r="I143" s="2382"/>
    </row>
    <row r="144" spans="1:9" x14ac:dyDescent="0.2">
      <c r="A144" s="990"/>
      <c r="B144" s="1640"/>
      <c r="C144" s="997" t="s">
        <v>665</v>
      </c>
      <c r="D144" s="996"/>
      <c r="E144" s="998">
        <f>48*8</f>
        <v>384</v>
      </c>
      <c r="F144" s="994"/>
      <c r="G144" s="993"/>
      <c r="H144" s="995"/>
      <c r="I144" s="2382"/>
    </row>
    <row r="145" spans="1:9" x14ac:dyDescent="0.2">
      <c r="A145" s="990"/>
      <c r="B145" s="1640"/>
      <c r="C145" s="997" t="s">
        <v>668</v>
      </c>
      <c r="D145" s="996"/>
      <c r="E145" s="998">
        <v>80</v>
      </c>
      <c r="F145" s="994"/>
      <c r="G145" s="993"/>
      <c r="H145" s="995"/>
      <c r="I145" s="2382"/>
    </row>
    <row r="146" spans="1:9" x14ac:dyDescent="0.2">
      <c r="A146" s="990"/>
      <c r="B146" s="1640" t="s">
        <v>249</v>
      </c>
      <c r="C146" s="991" t="s">
        <v>329</v>
      </c>
      <c r="D146" s="1641" t="s">
        <v>17</v>
      </c>
      <c r="E146" s="993">
        <f>SUM(E147:E149)</f>
        <v>720</v>
      </c>
      <c r="F146" s="994">
        <f>salaries!H64</f>
        <v>22</v>
      </c>
      <c r="G146" s="993">
        <f>F146*E146</f>
        <v>15840</v>
      </c>
      <c r="H146" s="995"/>
      <c r="I146" s="2382"/>
    </row>
    <row r="147" spans="1:9" x14ac:dyDescent="0.2">
      <c r="A147" s="990"/>
      <c r="B147" s="1640"/>
      <c r="C147" s="997" t="s">
        <v>666</v>
      </c>
      <c r="D147" s="992"/>
      <c r="E147" s="998">
        <v>480</v>
      </c>
      <c r="F147" s="994"/>
      <c r="G147" s="993"/>
      <c r="H147" s="995"/>
      <c r="I147" s="2382"/>
    </row>
    <row r="148" spans="1:9" x14ac:dyDescent="0.2">
      <c r="A148" s="990"/>
      <c r="B148" s="996"/>
      <c r="C148" s="997" t="s">
        <v>667</v>
      </c>
      <c r="D148" s="996"/>
      <c r="E148" s="998">
        <v>160</v>
      </c>
      <c r="F148" s="995"/>
      <c r="G148" s="998"/>
      <c r="H148" s="995"/>
      <c r="I148" s="2382"/>
    </row>
    <row r="149" spans="1:9" x14ac:dyDescent="0.2">
      <c r="A149" s="1006"/>
      <c r="B149" s="1007"/>
      <c r="C149" s="1008" t="s">
        <v>668</v>
      </c>
      <c r="D149" s="1007"/>
      <c r="E149" s="1009">
        <v>80</v>
      </c>
      <c r="F149" s="1010"/>
      <c r="G149" s="1009"/>
      <c r="H149" s="1010">
        <f>SUM(G143:G149)</f>
        <v>24656</v>
      </c>
      <c r="I149" s="2382"/>
    </row>
    <row r="150" spans="1:9" s="47" customFormat="1" x14ac:dyDescent="0.2">
      <c r="A150" s="1061" t="s">
        <v>415</v>
      </c>
      <c r="B150" s="1062" t="s">
        <v>252</v>
      </c>
      <c r="C150" s="1063" t="s">
        <v>329</v>
      </c>
      <c r="D150" s="1064" t="s">
        <v>17</v>
      </c>
      <c r="E150" s="1065">
        <f>SUM(E151:E155)</f>
        <v>400</v>
      </c>
      <c r="F150" s="1066">
        <f>salaries!H67</f>
        <v>20</v>
      </c>
      <c r="G150" s="1065">
        <f>F150*E150</f>
        <v>8000</v>
      </c>
      <c r="H150" s="1067"/>
      <c r="I150" s="2382"/>
    </row>
    <row r="151" spans="1:9" s="47" customFormat="1" x14ac:dyDescent="0.2">
      <c r="A151" s="1011"/>
      <c r="B151" s="1012"/>
      <c r="C151" s="1015" t="s">
        <v>1005</v>
      </c>
      <c r="D151" s="1012"/>
      <c r="E151" s="1016">
        <v>120</v>
      </c>
      <c r="F151" s="1014"/>
      <c r="G151" s="1016"/>
      <c r="H151" s="1013"/>
      <c r="I151" s="2382"/>
    </row>
    <row r="152" spans="1:9" s="47" customFormat="1" x14ac:dyDescent="0.2">
      <c r="A152" s="1011"/>
      <c r="B152" s="1012"/>
      <c r="C152" s="1015" t="s">
        <v>786</v>
      </c>
      <c r="D152" s="1012"/>
      <c r="E152" s="1016">
        <v>40</v>
      </c>
      <c r="F152" s="1014"/>
      <c r="G152" s="1016"/>
      <c r="H152" s="1013"/>
      <c r="I152" s="2382"/>
    </row>
    <row r="153" spans="1:9" s="47" customFormat="1" x14ac:dyDescent="0.2">
      <c r="A153" s="1011"/>
      <c r="B153" s="1012" t="s">
        <v>253</v>
      </c>
      <c r="C153" s="1142" t="s">
        <v>329</v>
      </c>
      <c r="D153" s="1143" t="s">
        <v>17</v>
      </c>
      <c r="E153" s="1144">
        <f>SUM(E154:E155)</f>
        <v>120</v>
      </c>
      <c r="F153" s="1145">
        <f>salaries!H68</f>
        <v>24</v>
      </c>
      <c r="G153" s="1144">
        <f>F153*E153</f>
        <v>2880</v>
      </c>
      <c r="H153" s="1013"/>
      <c r="I153" s="2382"/>
    </row>
    <row r="154" spans="1:9" s="47" customFormat="1" x14ac:dyDescent="0.2">
      <c r="A154" s="1011"/>
      <c r="B154" s="1012"/>
      <c r="C154" s="1015" t="s">
        <v>1002</v>
      </c>
      <c r="D154" s="1012"/>
      <c r="E154" s="1016">
        <v>80</v>
      </c>
      <c r="F154" s="1014"/>
      <c r="G154" s="1016"/>
      <c r="H154" s="1013"/>
      <c r="I154" s="2382"/>
    </row>
    <row r="155" spans="1:9" s="47" customFormat="1" x14ac:dyDescent="0.2">
      <c r="A155" s="1068"/>
      <c r="B155" s="1069"/>
      <c r="C155" s="1070" t="s">
        <v>786</v>
      </c>
      <c r="D155" s="1069"/>
      <c r="E155" s="1071">
        <v>40</v>
      </c>
      <c r="F155" s="1072"/>
      <c r="G155" s="1071"/>
      <c r="H155" s="1072">
        <f>SUM(G150:G155)</f>
        <v>10880</v>
      </c>
      <c r="I155" s="2382"/>
    </row>
    <row r="156" spans="1:9" s="47" customFormat="1" x14ac:dyDescent="0.2">
      <c r="A156" s="1017" t="s">
        <v>416</v>
      </c>
      <c r="B156" s="1018" t="s">
        <v>255</v>
      </c>
      <c r="C156" s="1019" t="s">
        <v>324</v>
      </c>
      <c r="D156" s="1020" t="s">
        <v>17</v>
      </c>
      <c r="E156" s="1021">
        <f>SUM(E157:E158)</f>
        <v>120</v>
      </c>
      <c r="F156" s="1022">
        <f>salaries!H72</f>
        <v>24</v>
      </c>
      <c r="G156" s="1021">
        <f>F156*E156</f>
        <v>2880</v>
      </c>
      <c r="H156" s="1023"/>
      <c r="I156" s="2382"/>
    </row>
    <row r="157" spans="1:9" s="47" customFormat="1" x14ac:dyDescent="0.2">
      <c r="A157" s="1017"/>
      <c r="B157" s="1018"/>
      <c r="C157" s="1024" t="s">
        <v>786</v>
      </c>
      <c r="D157" s="1018"/>
      <c r="E157" s="1025">
        <v>40</v>
      </c>
      <c r="F157" s="1023"/>
      <c r="G157" s="1025"/>
      <c r="H157" s="1022"/>
      <c r="I157" s="2382"/>
    </row>
    <row r="158" spans="1:9" s="47" customFormat="1" x14ac:dyDescent="0.2">
      <c r="A158" s="1056"/>
      <c r="B158" s="1057"/>
      <c r="C158" s="1058" t="s">
        <v>787</v>
      </c>
      <c r="D158" s="1057"/>
      <c r="E158" s="1059">
        <v>80</v>
      </c>
      <c r="F158" s="1060"/>
      <c r="G158" s="1059"/>
      <c r="H158" s="1060">
        <f>SUM(G156:G158)</f>
        <v>2880</v>
      </c>
      <c r="I158" s="2382"/>
    </row>
    <row r="159" spans="1:9" s="47" customFormat="1" x14ac:dyDescent="0.2">
      <c r="A159" s="1026" t="s">
        <v>417</v>
      </c>
      <c r="B159" s="1027" t="s">
        <v>258</v>
      </c>
      <c r="C159" s="1028" t="s">
        <v>329</v>
      </c>
      <c r="D159" s="1029" t="s">
        <v>17</v>
      </c>
      <c r="E159" s="1030">
        <f>SUM(E160:E161)</f>
        <v>464</v>
      </c>
      <c r="F159" s="1031">
        <f>salaries!H77</f>
        <v>13</v>
      </c>
      <c r="G159" s="1030">
        <f>F159*E159</f>
        <v>6032</v>
      </c>
      <c r="H159" s="1032"/>
      <c r="I159" s="2382"/>
    </row>
    <row r="160" spans="1:9" s="47" customFormat="1" x14ac:dyDescent="0.2">
      <c r="A160" s="1026"/>
      <c r="B160" s="1027"/>
      <c r="C160" s="1033" t="s">
        <v>665</v>
      </c>
      <c r="D160" s="1027"/>
      <c r="E160" s="1034">
        <v>384</v>
      </c>
      <c r="F160" s="1031"/>
      <c r="G160" s="1030"/>
      <c r="H160" s="1032"/>
      <c r="I160" s="2382"/>
    </row>
    <row r="161" spans="1:9" s="47" customFormat="1" x14ac:dyDescent="0.2">
      <c r="A161" s="1026"/>
      <c r="B161" s="1027"/>
      <c r="C161" s="1033" t="s">
        <v>668</v>
      </c>
      <c r="D161" s="1027"/>
      <c r="E161" s="1034">
        <v>80</v>
      </c>
      <c r="F161" s="1031"/>
      <c r="G161" s="1030"/>
      <c r="H161" s="1032"/>
      <c r="I161" s="2382"/>
    </row>
    <row r="162" spans="1:9" s="47" customFormat="1" x14ac:dyDescent="0.2">
      <c r="A162" s="1026"/>
      <c r="B162" s="1027" t="s">
        <v>914</v>
      </c>
      <c r="C162" s="1028" t="s">
        <v>329</v>
      </c>
      <c r="D162" s="1644" t="s">
        <v>17</v>
      </c>
      <c r="E162" s="1030">
        <f>SUM(E163:E165)</f>
        <v>720</v>
      </c>
      <c r="F162" s="1031">
        <f>salaries!H80</f>
        <v>9</v>
      </c>
      <c r="G162" s="1030">
        <f>F162*E162</f>
        <v>6480</v>
      </c>
      <c r="H162" s="1032"/>
      <c r="I162" s="2382"/>
    </row>
    <row r="163" spans="1:9" s="47" customFormat="1" x14ac:dyDescent="0.2">
      <c r="A163" s="1026"/>
      <c r="B163" s="1027"/>
      <c r="C163" s="1033" t="s">
        <v>666</v>
      </c>
      <c r="D163" s="1027"/>
      <c r="E163" s="1034">
        <v>480</v>
      </c>
      <c r="F163" s="1031"/>
      <c r="G163" s="1030"/>
      <c r="H163" s="1032"/>
      <c r="I163" s="2382"/>
    </row>
    <row r="164" spans="1:9" s="47" customFormat="1" x14ac:dyDescent="0.2">
      <c r="A164" s="1026"/>
      <c r="B164" s="1027"/>
      <c r="C164" s="1033" t="s">
        <v>667</v>
      </c>
      <c r="D164" s="1027"/>
      <c r="E164" s="1034">
        <v>160</v>
      </c>
      <c r="F164" s="1032"/>
      <c r="G164" s="1034"/>
      <c r="H164" s="1031"/>
      <c r="I164" s="2382"/>
    </row>
    <row r="165" spans="1:9" s="47" customFormat="1" x14ac:dyDescent="0.2">
      <c r="A165" s="1037"/>
      <c r="B165" s="1038"/>
      <c r="C165" s="1039" t="s">
        <v>668</v>
      </c>
      <c r="D165" s="1038"/>
      <c r="E165" s="1040">
        <v>80</v>
      </c>
      <c r="F165" s="1041"/>
      <c r="G165" s="1040"/>
      <c r="H165" s="1041">
        <f>SUM(G159:G165)</f>
        <v>12512</v>
      </c>
      <c r="I165" s="2382"/>
    </row>
    <row r="166" spans="1:9" s="47" customFormat="1" x14ac:dyDescent="0.2">
      <c r="A166" s="1500" t="s">
        <v>418</v>
      </c>
      <c r="B166" s="1517" t="s">
        <v>259</v>
      </c>
      <c r="C166" s="1783" t="s">
        <v>324</v>
      </c>
      <c r="D166" s="1784" t="s">
        <v>17</v>
      </c>
      <c r="E166" s="1785">
        <f>SUM(E167:E168)</f>
        <v>120</v>
      </c>
      <c r="F166" s="1786">
        <f>salaries!H81</f>
        <v>33</v>
      </c>
      <c r="G166" s="1785">
        <f>F166*E166</f>
        <v>3960</v>
      </c>
      <c r="H166" s="1787"/>
      <c r="I166" s="2382"/>
    </row>
    <row r="167" spans="1:9" s="47" customFormat="1" x14ac:dyDescent="0.2">
      <c r="A167" s="1042"/>
      <c r="B167" s="1043"/>
      <c r="C167" s="1049" t="s">
        <v>786</v>
      </c>
      <c r="D167" s="1045"/>
      <c r="E167" s="1050">
        <v>40</v>
      </c>
      <c r="F167" s="1047"/>
      <c r="G167" s="1046"/>
      <c r="H167" s="1048"/>
      <c r="I167" s="2382"/>
    </row>
    <row r="168" spans="1:9" s="47" customFormat="1" x14ac:dyDescent="0.2">
      <c r="A168" s="1051"/>
      <c r="B168" s="1052"/>
      <c r="C168" s="1053" t="s">
        <v>787</v>
      </c>
      <c r="D168" s="1052"/>
      <c r="E168" s="1054">
        <v>80</v>
      </c>
      <c r="F168" s="1055"/>
      <c r="G168" s="1054"/>
      <c r="H168" s="1055">
        <f>SUM(G166:G168)</f>
        <v>3960</v>
      </c>
      <c r="I168" s="2382"/>
    </row>
    <row r="169" spans="1:9" s="47" customFormat="1" x14ac:dyDescent="0.2">
      <c r="A169" s="1073" t="s">
        <v>419</v>
      </c>
      <c r="B169" s="1074" t="s">
        <v>263</v>
      </c>
      <c r="C169" s="1075" t="s">
        <v>324</v>
      </c>
      <c r="D169" s="1076" t="s">
        <v>17</v>
      </c>
      <c r="E169" s="1077">
        <f>SUM(E170:E171)</f>
        <v>120</v>
      </c>
      <c r="F169" s="1078">
        <f>salaries!H85</f>
        <v>18</v>
      </c>
      <c r="G169" s="1077">
        <f>F169*E169</f>
        <v>2160</v>
      </c>
      <c r="H169" s="1079"/>
      <c r="I169" s="2382"/>
    </row>
    <row r="170" spans="1:9" s="47" customFormat="1" x14ac:dyDescent="0.2">
      <c r="A170" s="1080"/>
      <c r="B170" s="1081"/>
      <c r="C170" s="1082" t="s">
        <v>786</v>
      </c>
      <c r="D170" s="1419"/>
      <c r="E170" s="1083">
        <v>40</v>
      </c>
      <c r="F170" s="1421"/>
      <c r="G170" s="1420"/>
      <c r="H170" s="1084"/>
      <c r="I170" s="2382"/>
    </row>
    <row r="171" spans="1:9" s="47" customFormat="1" x14ac:dyDescent="0.2">
      <c r="A171" s="1085"/>
      <c r="B171" s="1086"/>
      <c r="C171" s="1087" t="s">
        <v>787</v>
      </c>
      <c r="D171" s="1086"/>
      <c r="E171" s="1088">
        <v>80</v>
      </c>
      <c r="F171" s="1089"/>
      <c r="G171" s="1088"/>
      <c r="H171" s="1089">
        <f>SUM(G169:G171)</f>
        <v>2160</v>
      </c>
      <c r="I171" s="2382"/>
    </row>
    <row r="172" spans="1:9" s="47" customFormat="1" x14ac:dyDescent="0.2">
      <c r="A172" s="1090" t="s">
        <v>420</v>
      </c>
      <c r="B172" s="1091" t="s">
        <v>267</v>
      </c>
      <c r="C172" s="1092" t="s">
        <v>329</v>
      </c>
      <c r="D172" s="1093" t="s">
        <v>17</v>
      </c>
      <c r="E172" s="1094">
        <f>SUM(E173:E174)</f>
        <v>464</v>
      </c>
      <c r="F172" s="1095">
        <f>salaries!H89</f>
        <v>18</v>
      </c>
      <c r="G172" s="1094">
        <f>F172*E172</f>
        <v>8352</v>
      </c>
      <c r="H172" s="1096"/>
      <c r="I172" s="2382"/>
    </row>
    <row r="173" spans="1:9" s="47" customFormat="1" x14ac:dyDescent="0.2">
      <c r="A173" s="1097"/>
      <c r="B173" s="1098"/>
      <c r="C173" s="1099" t="s">
        <v>665</v>
      </c>
      <c r="D173" s="1098"/>
      <c r="E173" s="1100">
        <v>384</v>
      </c>
      <c r="F173" s="1425"/>
      <c r="G173" s="1424"/>
      <c r="H173" s="1101"/>
      <c r="I173" s="2382"/>
    </row>
    <row r="174" spans="1:9" s="47" customFormat="1" x14ac:dyDescent="0.2">
      <c r="A174" s="1097"/>
      <c r="B174" s="1098"/>
      <c r="C174" s="1099" t="s">
        <v>668</v>
      </c>
      <c r="D174" s="1098"/>
      <c r="E174" s="1100">
        <v>80</v>
      </c>
      <c r="F174" s="1425"/>
      <c r="G174" s="1424"/>
      <c r="H174" s="1101"/>
      <c r="I174" s="2382"/>
    </row>
    <row r="175" spans="1:9" s="47" customFormat="1" x14ac:dyDescent="0.2">
      <c r="A175" s="1097"/>
      <c r="B175" s="1098" t="s">
        <v>270</v>
      </c>
      <c r="C175" s="1422" t="s">
        <v>329</v>
      </c>
      <c r="D175" s="1642" t="s">
        <v>17</v>
      </c>
      <c r="E175" s="1424">
        <f>SUM(E176:E178)</f>
        <v>720</v>
      </c>
      <c r="F175" s="1425">
        <f>salaries!H92</f>
        <v>10</v>
      </c>
      <c r="G175" s="1424">
        <f>F175*E175</f>
        <v>7200</v>
      </c>
      <c r="H175" s="1101"/>
      <c r="I175" s="2382"/>
    </row>
    <row r="176" spans="1:9" s="47" customFormat="1" x14ac:dyDescent="0.2">
      <c r="A176" s="1097"/>
      <c r="B176" s="1098"/>
      <c r="C176" s="1099" t="s">
        <v>666</v>
      </c>
      <c r="D176" s="1098"/>
      <c r="E176" s="1100">
        <v>480</v>
      </c>
      <c r="F176" s="1425"/>
      <c r="G176" s="1424"/>
      <c r="H176" s="1101"/>
      <c r="I176" s="2382"/>
    </row>
    <row r="177" spans="1:9" s="47" customFormat="1" x14ac:dyDescent="0.2">
      <c r="A177" s="1097"/>
      <c r="B177" s="1098"/>
      <c r="C177" s="1099" t="s">
        <v>667</v>
      </c>
      <c r="D177" s="1098"/>
      <c r="E177" s="1100">
        <v>160</v>
      </c>
      <c r="F177" s="1425"/>
      <c r="G177" s="1424"/>
      <c r="H177" s="1101"/>
      <c r="I177" s="2382"/>
    </row>
    <row r="178" spans="1:9" s="47" customFormat="1" x14ac:dyDescent="0.2">
      <c r="A178" s="1102"/>
      <c r="B178" s="1103"/>
      <c r="C178" s="1104" t="s">
        <v>668</v>
      </c>
      <c r="D178" s="1103"/>
      <c r="E178" s="1105">
        <v>80</v>
      </c>
      <c r="F178" s="1106"/>
      <c r="G178" s="1105"/>
      <c r="H178" s="1106">
        <f>SUM(G172:G178)</f>
        <v>15552</v>
      </c>
      <c r="I178" s="2382"/>
    </row>
    <row r="179" spans="1:9" s="47" customFormat="1" x14ac:dyDescent="0.2">
      <c r="A179" s="1107" t="s">
        <v>949</v>
      </c>
      <c r="B179" s="1108" t="s">
        <v>271</v>
      </c>
      <c r="C179" s="1109" t="s">
        <v>329</v>
      </c>
      <c r="D179" s="1110" t="s">
        <v>17</v>
      </c>
      <c r="E179" s="1111">
        <f>SUM(E180:E182)</f>
        <v>404</v>
      </c>
      <c r="F179" s="1112">
        <f>salaries!H93</f>
        <v>52</v>
      </c>
      <c r="G179" s="1111">
        <f>F179*E179</f>
        <v>21008</v>
      </c>
      <c r="H179" s="1113"/>
      <c r="I179" s="2057"/>
    </row>
    <row r="180" spans="1:9" s="47" customFormat="1" x14ac:dyDescent="0.2">
      <c r="A180" s="1114"/>
      <c r="B180" s="1115"/>
      <c r="C180" s="1116" t="s">
        <v>974</v>
      </c>
      <c r="D180" s="1115"/>
      <c r="E180" s="1117">
        <v>300</v>
      </c>
      <c r="F180" s="1428"/>
      <c r="G180" s="1427"/>
      <c r="H180" s="1118"/>
      <c r="I180" s="2382"/>
    </row>
    <row r="181" spans="1:9" s="47" customFormat="1" x14ac:dyDescent="0.2">
      <c r="A181" s="1114"/>
      <c r="B181" s="1115"/>
      <c r="C181" s="1116" t="s">
        <v>976</v>
      </c>
      <c r="D181" s="1115"/>
      <c r="E181" s="1117">
        <v>24</v>
      </c>
      <c r="F181" s="1428"/>
      <c r="G181" s="1427"/>
      <c r="H181" s="1118"/>
      <c r="I181" s="2382"/>
    </row>
    <row r="182" spans="1:9" s="47" customFormat="1" x14ac:dyDescent="0.2">
      <c r="A182" s="1119"/>
      <c r="B182" s="1120"/>
      <c r="C182" s="1121" t="s">
        <v>975</v>
      </c>
      <c r="D182" s="1120"/>
      <c r="E182" s="1122">
        <v>80</v>
      </c>
      <c r="F182" s="1123"/>
      <c r="G182" s="1122"/>
      <c r="H182" s="1123">
        <f>SUM(G179:G182)</f>
        <v>21008</v>
      </c>
      <c r="I182" s="2382"/>
    </row>
    <row r="183" spans="1:9" s="47" customFormat="1" x14ac:dyDescent="0.2">
      <c r="A183" s="1124" t="s">
        <v>421</v>
      </c>
      <c r="B183" s="1125" t="s">
        <v>275</v>
      </c>
      <c r="C183" s="1126" t="s">
        <v>324</v>
      </c>
      <c r="D183" s="1127" t="s">
        <v>17</v>
      </c>
      <c r="E183" s="1128">
        <f>SUM(E184:E185)</f>
        <v>120</v>
      </c>
      <c r="F183" s="1129">
        <f>salaries!H97</f>
        <v>25</v>
      </c>
      <c r="G183" s="1128">
        <f>F183*E183</f>
        <v>3000</v>
      </c>
      <c r="H183" s="1130"/>
      <c r="I183" s="2382"/>
    </row>
    <row r="184" spans="1:9" s="47" customFormat="1" x14ac:dyDescent="0.2">
      <c r="A184" s="1131"/>
      <c r="B184" s="1132"/>
      <c r="C184" s="1133" t="s">
        <v>786</v>
      </c>
      <c r="D184" s="1429"/>
      <c r="E184" s="1134">
        <v>40</v>
      </c>
      <c r="F184" s="1136"/>
      <c r="G184" s="1430"/>
      <c r="H184" s="1135"/>
      <c r="I184" s="2382"/>
    </row>
    <row r="185" spans="1:9" s="47" customFormat="1" x14ac:dyDescent="0.2">
      <c r="A185" s="1137"/>
      <c r="B185" s="1138"/>
      <c r="C185" s="1139" t="s">
        <v>787</v>
      </c>
      <c r="D185" s="1138"/>
      <c r="E185" s="1140">
        <v>80</v>
      </c>
      <c r="F185" s="1141"/>
      <c r="G185" s="1140"/>
      <c r="H185" s="1141">
        <f>SUM(G183:G185)</f>
        <v>3000</v>
      </c>
      <c r="I185" s="2382"/>
    </row>
    <row r="186" spans="1:9" s="47" customFormat="1" x14ac:dyDescent="0.2">
      <c r="A186" s="548" t="s">
        <v>422</v>
      </c>
      <c r="B186" s="549" t="s">
        <v>280</v>
      </c>
      <c r="C186" s="555" t="s">
        <v>329</v>
      </c>
      <c r="D186" s="550" t="s">
        <v>17</v>
      </c>
      <c r="E186" s="551">
        <f>SUM(E187:E188)</f>
        <v>464</v>
      </c>
      <c r="F186" s="552">
        <f>salaries!H102</f>
        <v>15</v>
      </c>
      <c r="G186" s="551">
        <f>F186*E186</f>
        <v>6960</v>
      </c>
      <c r="H186" s="553"/>
      <c r="I186" s="2382"/>
    </row>
    <row r="187" spans="1:9" s="47" customFormat="1" x14ac:dyDescent="0.2">
      <c r="A187" s="548"/>
      <c r="B187" s="549"/>
      <c r="C187" s="556" t="s">
        <v>665</v>
      </c>
      <c r="D187" s="549"/>
      <c r="E187" s="554">
        <v>384</v>
      </c>
      <c r="F187" s="552"/>
      <c r="G187" s="551"/>
      <c r="H187" s="553"/>
      <c r="I187" s="2382"/>
    </row>
    <row r="188" spans="1:9" s="47" customFormat="1" x14ac:dyDescent="0.2">
      <c r="A188" s="548"/>
      <c r="B188" s="549"/>
      <c r="C188" s="556" t="s">
        <v>668</v>
      </c>
      <c r="D188" s="549"/>
      <c r="E188" s="554">
        <v>80</v>
      </c>
      <c r="F188" s="552"/>
      <c r="G188" s="551"/>
      <c r="H188" s="553"/>
      <c r="I188" s="2382"/>
    </row>
    <row r="189" spans="1:9" s="47" customFormat="1" x14ac:dyDescent="0.2">
      <c r="A189" s="548"/>
      <c r="B189" s="549" t="s">
        <v>281</v>
      </c>
      <c r="C189" s="555" t="s">
        <v>329</v>
      </c>
      <c r="D189" s="1643" t="s">
        <v>17</v>
      </c>
      <c r="E189" s="551">
        <f>SUM(E190:E192)</f>
        <v>720</v>
      </c>
      <c r="F189" s="552">
        <f>salaries!H103</f>
        <v>15</v>
      </c>
      <c r="G189" s="551">
        <f>F189*E189</f>
        <v>10800</v>
      </c>
      <c r="H189" s="553"/>
      <c r="I189" s="2382"/>
    </row>
    <row r="190" spans="1:9" s="47" customFormat="1" x14ac:dyDescent="0.2">
      <c r="A190" s="548"/>
      <c r="B190" s="549"/>
      <c r="C190" s="556" t="s">
        <v>666</v>
      </c>
      <c r="D190" s="549"/>
      <c r="E190" s="554">
        <v>480</v>
      </c>
      <c r="F190" s="552"/>
      <c r="G190" s="551"/>
      <c r="H190" s="553"/>
      <c r="I190" s="2382"/>
    </row>
    <row r="191" spans="1:9" s="47" customFormat="1" x14ac:dyDescent="0.2">
      <c r="A191" s="548"/>
      <c r="B191" s="549"/>
      <c r="C191" s="556" t="s">
        <v>667</v>
      </c>
      <c r="D191" s="549"/>
      <c r="E191" s="554">
        <v>160</v>
      </c>
      <c r="F191" s="552"/>
      <c r="G191" s="551"/>
      <c r="H191" s="553"/>
      <c r="I191" s="2382"/>
    </row>
    <row r="192" spans="1:9" s="47" customFormat="1" x14ac:dyDescent="0.2">
      <c r="A192" s="548"/>
      <c r="B192" s="549"/>
      <c r="C192" s="556" t="s">
        <v>668</v>
      </c>
      <c r="D192" s="549"/>
      <c r="E192" s="554">
        <v>80</v>
      </c>
      <c r="F192" s="553"/>
      <c r="G192" s="554"/>
      <c r="H192" s="553">
        <f>SUM(G186:G192)</f>
        <v>17760</v>
      </c>
      <c r="I192" s="2382"/>
    </row>
    <row r="193" spans="1:9" s="47" customFormat="1" x14ac:dyDescent="0.2">
      <c r="A193" s="2132" t="s">
        <v>950</v>
      </c>
      <c r="B193" s="2133" t="s">
        <v>285</v>
      </c>
      <c r="C193" s="2134" t="s">
        <v>329</v>
      </c>
      <c r="D193" s="2135" t="s">
        <v>17</v>
      </c>
      <c r="E193" s="2136">
        <f>SUM(E194:E195)</f>
        <v>464</v>
      </c>
      <c r="F193" s="2137">
        <f>salaries!H107</f>
        <v>0</v>
      </c>
      <c r="G193" s="2136">
        <f>F193*E193</f>
        <v>0</v>
      </c>
      <c r="H193" s="2138"/>
      <c r="I193" s="2382"/>
    </row>
    <row r="194" spans="1:9" s="47" customFormat="1" x14ac:dyDescent="0.2">
      <c r="A194" s="2081"/>
      <c r="B194" s="2082"/>
      <c r="C194" s="2088" t="s">
        <v>665</v>
      </c>
      <c r="D194" s="2082"/>
      <c r="E194" s="2089">
        <v>384</v>
      </c>
      <c r="F194" s="2086"/>
      <c r="G194" s="2085"/>
      <c r="H194" s="2087"/>
      <c r="I194" s="2382"/>
    </row>
    <row r="195" spans="1:9" s="47" customFormat="1" x14ac:dyDescent="0.2">
      <c r="A195" s="2081"/>
      <c r="B195" s="2082"/>
      <c r="C195" s="2088" t="s">
        <v>668</v>
      </c>
      <c r="D195" s="2082"/>
      <c r="E195" s="2089">
        <v>80</v>
      </c>
      <c r="F195" s="2086"/>
      <c r="G195" s="2085"/>
      <c r="H195" s="2087"/>
      <c r="I195" s="2382"/>
    </row>
    <row r="196" spans="1:9" s="47" customFormat="1" x14ac:dyDescent="0.2">
      <c r="A196" s="2081"/>
      <c r="B196" s="2082" t="s">
        <v>286</v>
      </c>
      <c r="C196" s="2083" t="s">
        <v>329</v>
      </c>
      <c r="D196" s="2204" t="s">
        <v>17</v>
      </c>
      <c r="E196" s="2085">
        <f>SUM(E197:E199)</f>
        <v>720</v>
      </c>
      <c r="F196" s="2086">
        <f>salaries!H108</f>
        <v>0</v>
      </c>
      <c r="G196" s="2085">
        <f>F196*E196</f>
        <v>0</v>
      </c>
      <c r="H196" s="2087"/>
      <c r="I196" s="2382"/>
    </row>
    <row r="197" spans="1:9" s="47" customFormat="1" x14ac:dyDescent="0.2">
      <c r="A197" s="2081"/>
      <c r="B197" s="2082"/>
      <c r="C197" s="2088" t="s">
        <v>666</v>
      </c>
      <c r="D197" s="2082"/>
      <c r="E197" s="2089">
        <v>480</v>
      </c>
      <c r="F197" s="2086"/>
      <c r="G197" s="2085"/>
      <c r="H197" s="2087"/>
      <c r="I197" s="2382"/>
    </row>
    <row r="198" spans="1:9" s="47" customFormat="1" x14ac:dyDescent="0.2">
      <c r="A198" s="2081"/>
      <c r="B198" s="2082"/>
      <c r="C198" s="2088" t="s">
        <v>667</v>
      </c>
      <c r="D198" s="2082"/>
      <c r="E198" s="2089">
        <v>160</v>
      </c>
      <c r="F198" s="2086"/>
      <c r="G198" s="2085"/>
      <c r="H198" s="2087"/>
      <c r="I198" s="2382"/>
    </row>
    <row r="199" spans="1:9" s="47" customFormat="1" x14ac:dyDescent="0.2">
      <c r="A199" s="2139"/>
      <c r="B199" s="2140"/>
      <c r="C199" s="2141" t="s">
        <v>668</v>
      </c>
      <c r="D199" s="2140"/>
      <c r="E199" s="2142">
        <v>80</v>
      </c>
      <c r="F199" s="2143"/>
      <c r="G199" s="2142"/>
      <c r="H199" s="2143">
        <f>SUM(G193:G199)</f>
        <v>0</v>
      </c>
      <c r="I199" s="2382"/>
    </row>
    <row r="200" spans="1:9" s="47" customFormat="1" x14ac:dyDescent="0.2">
      <c r="A200" s="2094" t="s">
        <v>951</v>
      </c>
      <c r="B200" s="2095" t="s">
        <v>287</v>
      </c>
      <c r="C200" s="2096" t="s">
        <v>329</v>
      </c>
      <c r="D200" s="2097" t="s">
        <v>17</v>
      </c>
      <c r="E200" s="2098">
        <f>SUM(E201:E203)</f>
        <v>504</v>
      </c>
      <c r="F200" s="2099">
        <f>salaries!H109</f>
        <v>57</v>
      </c>
      <c r="G200" s="2098">
        <f>F200*E200</f>
        <v>28728</v>
      </c>
      <c r="H200" s="2100"/>
      <c r="I200" s="2382"/>
    </row>
    <row r="201" spans="1:9" s="47" customFormat="1" x14ac:dyDescent="0.2">
      <c r="A201" s="2094"/>
      <c r="B201" s="2095"/>
      <c r="C201" s="2101" t="s">
        <v>974</v>
      </c>
      <c r="D201" s="2095"/>
      <c r="E201" s="2102">
        <v>400</v>
      </c>
      <c r="F201" s="2099"/>
      <c r="G201" s="2098"/>
      <c r="H201" s="2100"/>
      <c r="I201" s="2382"/>
    </row>
    <row r="202" spans="1:9" s="47" customFormat="1" x14ac:dyDescent="0.2">
      <c r="A202" s="2094"/>
      <c r="B202" s="2095"/>
      <c r="C202" s="2101" t="s">
        <v>976</v>
      </c>
      <c r="D202" s="2095"/>
      <c r="E202" s="2102">
        <v>24</v>
      </c>
      <c r="F202" s="2099"/>
      <c r="G202" s="2098"/>
      <c r="H202" s="2100"/>
      <c r="I202" s="2382"/>
    </row>
    <row r="203" spans="1:9" s="47" customFormat="1" x14ac:dyDescent="0.2">
      <c r="A203" s="2094"/>
      <c r="B203" s="2095"/>
      <c r="C203" s="2101" t="s">
        <v>975</v>
      </c>
      <c r="D203" s="2095"/>
      <c r="E203" s="2102">
        <v>80</v>
      </c>
      <c r="F203" s="2100"/>
      <c r="G203" s="2102"/>
      <c r="H203" s="2100">
        <f>SUM(G200:G203)</f>
        <v>28728</v>
      </c>
      <c r="I203" s="2382"/>
    </row>
    <row r="204" spans="1:9" s="47" customFormat="1" x14ac:dyDescent="0.2">
      <c r="A204" s="1833" t="s">
        <v>952</v>
      </c>
      <c r="B204" s="2212" t="s">
        <v>291</v>
      </c>
      <c r="C204" s="2213" t="s">
        <v>329</v>
      </c>
      <c r="D204" s="2214" t="s">
        <v>17</v>
      </c>
      <c r="E204" s="2215">
        <f>SUM(E205:E206)</f>
        <v>464</v>
      </c>
      <c r="F204" s="2216">
        <f>salaries!H113</f>
        <v>16</v>
      </c>
      <c r="G204" s="2215">
        <f>F204*E204</f>
        <v>7424</v>
      </c>
      <c r="H204" s="1837"/>
      <c r="I204" s="2382"/>
    </row>
    <row r="205" spans="1:9" s="47" customFormat="1" x14ac:dyDescent="0.2">
      <c r="A205" s="1026"/>
      <c r="B205" s="1027"/>
      <c r="C205" s="1033" t="s">
        <v>665</v>
      </c>
      <c r="D205" s="1027"/>
      <c r="E205" s="1034">
        <v>384</v>
      </c>
      <c r="F205" s="1031"/>
      <c r="G205" s="1030"/>
      <c r="H205" s="1032"/>
      <c r="I205" s="2382"/>
    </row>
    <row r="206" spans="1:9" s="47" customFormat="1" x14ac:dyDescent="0.2">
      <c r="A206" s="1026"/>
      <c r="B206" s="1027"/>
      <c r="C206" s="1033" t="s">
        <v>668</v>
      </c>
      <c r="D206" s="1027"/>
      <c r="E206" s="1034">
        <v>80</v>
      </c>
      <c r="F206" s="1031"/>
      <c r="G206" s="1030"/>
      <c r="H206" s="1032"/>
      <c r="I206" s="2382"/>
    </row>
    <row r="207" spans="1:9" s="47" customFormat="1" x14ac:dyDescent="0.2">
      <c r="A207" s="1026"/>
      <c r="B207" s="1027" t="s">
        <v>293</v>
      </c>
      <c r="C207" s="1028" t="s">
        <v>329</v>
      </c>
      <c r="D207" s="1644" t="s">
        <v>17</v>
      </c>
      <c r="E207" s="1030">
        <f>SUM(E208:E210)</f>
        <v>720</v>
      </c>
      <c r="F207" s="1031">
        <f>salaries!H115</f>
        <v>11</v>
      </c>
      <c r="G207" s="1030">
        <f>F207*E207</f>
        <v>7920</v>
      </c>
      <c r="H207" s="1032"/>
      <c r="I207" s="2382"/>
    </row>
    <row r="208" spans="1:9" s="47" customFormat="1" x14ac:dyDescent="0.2">
      <c r="A208" s="1026"/>
      <c r="B208" s="1027"/>
      <c r="C208" s="1033" t="s">
        <v>666</v>
      </c>
      <c r="D208" s="1027"/>
      <c r="E208" s="1034">
        <v>480</v>
      </c>
      <c r="F208" s="1031"/>
      <c r="G208" s="1030"/>
      <c r="H208" s="1032"/>
      <c r="I208" s="2382"/>
    </row>
    <row r="209" spans="1:10" s="47" customFormat="1" x14ac:dyDescent="0.2">
      <c r="A209" s="1026"/>
      <c r="B209" s="1027"/>
      <c r="C209" s="1033" t="s">
        <v>667</v>
      </c>
      <c r="D209" s="1027"/>
      <c r="E209" s="1034">
        <v>160</v>
      </c>
      <c r="F209" s="1031"/>
      <c r="G209" s="1030"/>
      <c r="H209" s="1032"/>
      <c r="I209" s="2382"/>
    </row>
    <row r="210" spans="1:10" s="47" customFormat="1" x14ac:dyDescent="0.2">
      <c r="A210" s="1037"/>
      <c r="B210" s="1038"/>
      <c r="C210" s="1039" t="s">
        <v>668</v>
      </c>
      <c r="D210" s="1038"/>
      <c r="E210" s="1040">
        <v>80</v>
      </c>
      <c r="F210" s="1041"/>
      <c r="G210" s="1040"/>
      <c r="H210" s="1041">
        <f>SUM(G204:G210)</f>
        <v>15344</v>
      </c>
      <c r="I210" s="2382"/>
    </row>
    <row r="211" spans="1:10" x14ac:dyDescent="0.2">
      <c r="A211" s="78" t="s">
        <v>8</v>
      </c>
      <c r="B211" s="12"/>
      <c r="C211" s="232"/>
      <c r="D211" s="12" t="s">
        <v>34</v>
      </c>
      <c r="E211" s="27"/>
      <c r="F211" s="27"/>
      <c r="G211" s="27" t="s">
        <v>35</v>
      </c>
      <c r="H211" s="28">
        <f>SUM(H6:H210)</f>
        <v>407400</v>
      </c>
      <c r="I211" s="2487"/>
      <c r="J211" s="187"/>
    </row>
    <row r="212" spans="1:10" x14ac:dyDescent="0.2">
      <c r="A212" s="76" t="s">
        <v>24</v>
      </c>
      <c r="B212" s="6"/>
      <c r="C212" s="231"/>
      <c r="D212" s="6"/>
      <c r="E212" s="21"/>
      <c r="F212" s="21"/>
      <c r="G212" s="21"/>
      <c r="H212" s="22">
        <f t="shared" ref="H212" si="0">SUM(G212:G212)</f>
        <v>0</v>
      </c>
    </row>
    <row r="213" spans="1:10" s="38" customFormat="1" x14ac:dyDescent="0.2">
      <c r="A213" s="1989" t="s">
        <v>407</v>
      </c>
      <c r="B213" s="1990" t="s">
        <v>669</v>
      </c>
      <c r="C213" s="1742" t="s">
        <v>670</v>
      </c>
      <c r="D213" s="1990" t="s">
        <v>14</v>
      </c>
      <c r="E213" s="1991">
        <v>1</v>
      </c>
      <c r="F213" s="1991">
        <v>10000</v>
      </c>
      <c r="G213" s="1991">
        <f>F213</f>
        <v>10000</v>
      </c>
      <c r="H213" s="1991">
        <f t="shared" ref="H213:H220" si="1">SUM(G213:G213)</f>
        <v>10000</v>
      </c>
      <c r="I213" s="2488"/>
    </row>
    <row r="214" spans="1:10" s="38" customFormat="1" x14ac:dyDescent="0.2">
      <c r="A214" s="2051" t="s">
        <v>410</v>
      </c>
      <c r="B214" s="2052" t="s">
        <v>669</v>
      </c>
      <c r="C214" s="2053" t="s">
        <v>922</v>
      </c>
      <c r="D214" s="2052" t="s">
        <v>14</v>
      </c>
      <c r="E214" s="2054">
        <v>1</v>
      </c>
      <c r="F214" s="2054">
        <v>2400</v>
      </c>
      <c r="G214" s="2054">
        <f>F214</f>
        <v>2400</v>
      </c>
      <c r="H214" s="2054">
        <f t="shared" si="1"/>
        <v>2400</v>
      </c>
      <c r="I214" s="2488"/>
    </row>
    <row r="215" spans="1:10" x14ac:dyDescent="0.2">
      <c r="A215" s="792" t="s">
        <v>414</v>
      </c>
      <c r="B215" s="1645" t="s">
        <v>669</v>
      </c>
      <c r="C215" s="1646" t="s">
        <v>670</v>
      </c>
      <c r="D215" s="1645" t="s">
        <v>14</v>
      </c>
      <c r="E215" s="1647">
        <v>1</v>
      </c>
      <c r="F215" s="1647">
        <v>3000</v>
      </c>
      <c r="G215" s="1647">
        <f>SUM(F215)</f>
        <v>3000</v>
      </c>
      <c r="H215" s="1647">
        <f t="shared" si="1"/>
        <v>3000</v>
      </c>
      <c r="I215" s="2072"/>
    </row>
    <row r="216" spans="1:10" x14ac:dyDescent="0.2">
      <c r="A216" s="801" t="s">
        <v>417</v>
      </c>
      <c r="B216" s="1944" t="s">
        <v>669</v>
      </c>
      <c r="C216" s="1945" t="s">
        <v>670</v>
      </c>
      <c r="D216" s="1944" t="s">
        <v>14</v>
      </c>
      <c r="E216" s="1946">
        <v>1</v>
      </c>
      <c r="F216" s="1946">
        <v>3000</v>
      </c>
      <c r="G216" s="1946">
        <f>SUM(F216)</f>
        <v>3000</v>
      </c>
      <c r="H216" s="1946">
        <f t="shared" si="1"/>
        <v>3000</v>
      </c>
      <c r="I216" s="2072"/>
    </row>
    <row r="217" spans="1:10" x14ac:dyDescent="0.2">
      <c r="A217" s="810" t="s">
        <v>420</v>
      </c>
      <c r="B217" s="1648" t="s">
        <v>669</v>
      </c>
      <c r="C217" s="1649" t="s">
        <v>670</v>
      </c>
      <c r="D217" s="1648" t="s">
        <v>14</v>
      </c>
      <c r="E217" s="1650">
        <v>1</v>
      </c>
      <c r="F217" s="1650">
        <v>3000</v>
      </c>
      <c r="G217" s="1650">
        <f>SUM(F217)</f>
        <v>3000</v>
      </c>
      <c r="H217" s="1650">
        <f t="shared" si="1"/>
        <v>3000</v>
      </c>
      <c r="I217" s="2072"/>
    </row>
    <row r="218" spans="1:10" x14ac:dyDescent="0.2">
      <c r="A218" s="795" t="s">
        <v>415</v>
      </c>
      <c r="B218" s="2379" t="s">
        <v>669</v>
      </c>
      <c r="C218" s="2380" t="s">
        <v>670</v>
      </c>
      <c r="D218" s="2379" t="s">
        <v>14</v>
      </c>
      <c r="E218" s="2381">
        <v>1</v>
      </c>
      <c r="F218" s="2381">
        <v>10000</v>
      </c>
      <c r="G218" s="2381">
        <f>SUM(F218)</f>
        <v>10000</v>
      </c>
      <c r="H218" s="2381">
        <f t="shared" si="1"/>
        <v>10000</v>
      </c>
      <c r="I218" s="2475"/>
    </row>
    <row r="219" spans="1:10" x14ac:dyDescent="0.2">
      <c r="A219" s="771" t="s">
        <v>422</v>
      </c>
      <c r="B219" s="1651" t="s">
        <v>669</v>
      </c>
      <c r="C219" s="1652" t="s">
        <v>670</v>
      </c>
      <c r="D219" s="1651" t="s">
        <v>14</v>
      </c>
      <c r="E219" s="1653">
        <v>1</v>
      </c>
      <c r="F219" s="1653">
        <v>3000</v>
      </c>
      <c r="G219" s="1653">
        <f>F219</f>
        <v>3000</v>
      </c>
      <c r="H219" s="1653">
        <f t="shared" si="1"/>
        <v>3000</v>
      </c>
      <c r="I219" s="2072"/>
    </row>
    <row r="220" spans="1:10" x14ac:dyDescent="0.2">
      <c r="A220" s="830" t="s">
        <v>952</v>
      </c>
      <c r="B220" s="2190" t="s">
        <v>669</v>
      </c>
      <c r="C220" s="2191" t="s">
        <v>670</v>
      </c>
      <c r="D220" s="2190" t="s">
        <v>14</v>
      </c>
      <c r="E220" s="2192">
        <v>1</v>
      </c>
      <c r="F220" s="2192">
        <v>3000</v>
      </c>
      <c r="G220" s="2192">
        <f>F220</f>
        <v>3000</v>
      </c>
      <c r="H220" s="2192">
        <f t="shared" si="1"/>
        <v>3000</v>
      </c>
      <c r="I220" s="2072"/>
    </row>
    <row r="221" spans="1:10" x14ac:dyDescent="0.2">
      <c r="A221" s="78" t="s">
        <v>74</v>
      </c>
      <c r="B221" s="12"/>
      <c r="C221" s="232"/>
      <c r="D221" s="12"/>
      <c r="E221" s="27"/>
      <c r="F221" s="27"/>
      <c r="G221" s="27"/>
      <c r="H221" s="28">
        <f>SUM(H213:H220)</f>
        <v>37400</v>
      </c>
    </row>
    <row r="222" spans="1:10" x14ac:dyDescent="0.2">
      <c r="A222" s="76" t="s">
        <v>25</v>
      </c>
      <c r="B222" s="6"/>
      <c r="C222" s="231"/>
      <c r="D222" s="6"/>
      <c r="E222" s="21"/>
      <c r="F222" s="21"/>
      <c r="G222" s="21"/>
      <c r="H222" s="22">
        <f>SUM(G222:G222)</f>
        <v>0</v>
      </c>
    </row>
    <row r="223" spans="1:10" x14ac:dyDescent="0.2">
      <c r="A223" s="83" t="s">
        <v>107</v>
      </c>
      <c r="B223" s="124" t="s">
        <v>678</v>
      </c>
      <c r="C223" s="222" t="s">
        <v>680</v>
      </c>
      <c r="D223" s="112" t="s">
        <v>16</v>
      </c>
      <c r="E223" s="115">
        <v>6</v>
      </c>
      <c r="F223" s="125">
        <v>400</v>
      </c>
      <c r="G223" s="107">
        <f t="shared" ref="G223:G228" si="2">F223*E223</f>
        <v>2400</v>
      </c>
      <c r="H223" s="115"/>
      <c r="I223" s="2489"/>
    </row>
    <row r="224" spans="1:10" x14ac:dyDescent="0.2">
      <c r="A224" s="92"/>
      <c r="B224" s="124" t="s">
        <v>679</v>
      </c>
      <c r="C224" s="222" t="s">
        <v>681</v>
      </c>
      <c r="D224" s="112" t="s">
        <v>36</v>
      </c>
      <c r="E224" s="115">
        <v>15</v>
      </c>
      <c r="F224" s="125">
        <v>120</v>
      </c>
      <c r="G224" s="107">
        <f t="shared" si="2"/>
        <v>1800</v>
      </c>
      <c r="H224" s="115">
        <f>SUM(G223:G224)</f>
        <v>4200</v>
      </c>
      <c r="I224" s="2490"/>
    </row>
    <row r="225" spans="1:9" s="38" customFormat="1" x14ac:dyDescent="0.2">
      <c r="A225" s="532" t="s">
        <v>203</v>
      </c>
      <c r="B225" s="1173" t="s">
        <v>678</v>
      </c>
      <c r="C225" s="1174" t="s">
        <v>686</v>
      </c>
      <c r="D225" s="1175" t="s">
        <v>16</v>
      </c>
      <c r="E225" s="567">
        <v>6</v>
      </c>
      <c r="F225" s="1176">
        <v>400</v>
      </c>
      <c r="G225" s="569">
        <f t="shared" si="2"/>
        <v>2400</v>
      </c>
      <c r="H225" s="567"/>
      <c r="I225" s="2383"/>
    </row>
    <row r="226" spans="1:9" s="38" customFormat="1" x14ac:dyDescent="0.2">
      <c r="A226" s="532"/>
      <c r="B226" s="1173" t="s">
        <v>682</v>
      </c>
      <c r="C226" s="1174" t="s">
        <v>687</v>
      </c>
      <c r="D226" s="1175" t="s">
        <v>36</v>
      </c>
      <c r="E226" s="567">
        <v>15</v>
      </c>
      <c r="F226" s="1176">
        <v>120</v>
      </c>
      <c r="G226" s="569">
        <f t="shared" si="2"/>
        <v>1800</v>
      </c>
      <c r="H226" s="567"/>
      <c r="I226" s="2383"/>
    </row>
    <row r="227" spans="1:9" s="38" customFormat="1" x14ac:dyDescent="0.2">
      <c r="A227" s="532"/>
      <c r="B227" s="1173" t="s">
        <v>683</v>
      </c>
      <c r="C227" s="1174" t="s">
        <v>684</v>
      </c>
      <c r="D227" s="1175" t="s">
        <v>16</v>
      </c>
      <c r="E227" s="567">
        <v>2</v>
      </c>
      <c r="F227" s="1176">
        <v>400</v>
      </c>
      <c r="G227" s="569">
        <f t="shared" si="2"/>
        <v>800</v>
      </c>
      <c r="H227" s="567"/>
      <c r="I227" s="2383"/>
    </row>
    <row r="228" spans="1:9" s="38" customFormat="1" x14ac:dyDescent="0.2">
      <c r="A228" s="532"/>
      <c r="B228" s="1177"/>
      <c r="C228" s="1174" t="s">
        <v>685</v>
      </c>
      <c r="D228" s="1175" t="s">
        <v>36</v>
      </c>
      <c r="E228" s="567">
        <v>4</v>
      </c>
      <c r="F228" s="1176">
        <v>120</v>
      </c>
      <c r="G228" s="569">
        <f t="shared" si="2"/>
        <v>480</v>
      </c>
      <c r="H228" s="567">
        <f>SUM(G225:G228)</f>
        <v>5480</v>
      </c>
      <c r="I228" s="2383"/>
    </row>
    <row r="229" spans="1:9" s="38" customFormat="1" x14ac:dyDescent="0.2">
      <c r="A229" s="557" t="s">
        <v>204</v>
      </c>
      <c r="B229" s="1178" t="s">
        <v>678</v>
      </c>
      <c r="C229" s="1179" t="s">
        <v>688</v>
      </c>
      <c r="D229" s="1180" t="s">
        <v>16</v>
      </c>
      <c r="E229" s="547">
        <v>4</v>
      </c>
      <c r="F229" s="1181">
        <v>400</v>
      </c>
      <c r="G229" s="564">
        <f>F229*E229</f>
        <v>1600</v>
      </c>
      <c r="H229" s="547"/>
      <c r="I229" s="2491"/>
    </row>
    <row r="230" spans="1:9" s="38" customFormat="1" x14ac:dyDescent="0.2">
      <c r="A230" s="557"/>
      <c r="B230" s="1182" t="s">
        <v>679</v>
      </c>
      <c r="C230" s="1179" t="s">
        <v>690</v>
      </c>
      <c r="D230" s="1180" t="s">
        <v>36</v>
      </c>
      <c r="E230" s="547">
        <v>12</v>
      </c>
      <c r="F230" s="1181">
        <v>120</v>
      </c>
      <c r="G230" s="564">
        <f>F230*E230</f>
        <v>1440</v>
      </c>
      <c r="H230" s="547">
        <f>SUM(G229:G230)</f>
        <v>3040</v>
      </c>
      <c r="I230" s="2491"/>
    </row>
    <row r="231" spans="1:9" x14ac:dyDescent="0.2">
      <c r="A231" s="588" t="s">
        <v>308</v>
      </c>
      <c r="B231" s="1183" t="s">
        <v>678</v>
      </c>
      <c r="C231" s="1184" t="s">
        <v>689</v>
      </c>
      <c r="D231" s="1185" t="s">
        <v>73</v>
      </c>
      <c r="E231" s="593">
        <v>2</v>
      </c>
      <c r="F231" s="1186">
        <v>400</v>
      </c>
      <c r="G231" s="594">
        <f t="shared" ref="G231:G290" si="3">F231*E231</f>
        <v>800</v>
      </c>
      <c r="H231" s="593"/>
      <c r="I231" s="2383"/>
    </row>
    <row r="232" spans="1:9" x14ac:dyDescent="0.2">
      <c r="A232" s="588"/>
      <c r="B232" s="1183" t="s">
        <v>679</v>
      </c>
      <c r="C232" s="1184" t="s">
        <v>477</v>
      </c>
      <c r="D232" s="1185" t="s">
        <v>36</v>
      </c>
      <c r="E232" s="593">
        <v>6</v>
      </c>
      <c r="F232" s="1186">
        <v>120</v>
      </c>
      <c r="G232" s="594">
        <f t="shared" si="3"/>
        <v>720</v>
      </c>
      <c r="H232" s="593">
        <f>SUM(G231:G232)</f>
        <v>1520</v>
      </c>
      <c r="I232" s="2382"/>
    </row>
    <row r="233" spans="1:9" x14ac:dyDescent="0.2">
      <c r="A233" s="617" t="s">
        <v>309</v>
      </c>
      <c r="B233" s="1187" t="s">
        <v>678</v>
      </c>
      <c r="C233" s="1188" t="s">
        <v>691</v>
      </c>
      <c r="D233" s="1189" t="s">
        <v>16</v>
      </c>
      <c r="E233" s="622">
        <v>4</v>
      </c>
      <c r="F233" s="1190">
        <v>300</v>
      </c>
      <c r="G233" s="621">
        <f t="shared" si="3"/>
        <v>1200</v>
      </c>
      <c r="H233" s="622"/>
      <c r="I233" s="2383"/>
    </row>
    <row r="234" spans="1:9" x14ac:dyDescent="0.2">
      <c r="A234" s="617"/>
      <c r="B234" s="1187" t="s">
        <v>679</v>
      </c>
      <c r="C234" s="1188" t="s">
        <v>690</v>
      </c>
      <c r="D234" s="1189" t="s">
        <v>36</v>
      </c>
      <c r="E234" s="622">
        <v>12</v>
      </c>
      <c r="F234" s="1190">
        <v>120</v>
      </c>
      <c r="G234" s="621">
        <f t="shared" si="3"/>
        <v>1440</v>
      </c>
      <c r="H234" s="622">
        <f>SUM(G233:G234)</f>
        <v>2640</v>
      </c>
      <c r="I234" s="2476"/>
    </row>
    <row r="235" spans="1:9" x14ac:dyDescent="0.2">
      <c r="A235" s="640" t="s">
        <v>310</v>
      </c>
      <c r="B235" s="1191" t="s">
        <v>678</v>
      </c>
      <c r="C235" s="1192" t="s">
        <v>692</v>
      </c>
      <c r="D235" s="1193" t="s">
        <v>73</v>
      </c>
      <c r="E235" s="645">
        <v>4</v>
      </c>
      <c r="F235" s="1194">
        <v>400</v>
      </c>
      <c r="G235" s="644">
        <f t="shared" si="3"/>
        <v>1600</v>
      </c>
      <c r="H235" s="645"/>
      <c r="I235" s="2383"/>
    </row>
    <row r="236" spans="1:9" x14ac:dyDescent="0.2">
      <c r="A236" s="640"/>
      <c r="B236" s="1191" t="s">
        <v>679</v>
      </c>
      <c r="C236" s="1192" t="s">
        <v>690</v>
      </c>
      <c r="D236" s="1193" t="s">
        <v>36</v>
      </c>
      <c r="E236" s="645">
        <v>12</v>
      </c>
      <c r="F236" s="1194">
        <v>120</v>
      </c>
      <c r="G236" s="644">
        <f t="shared" si="3"/>
        <v>1440</v>
      </c>
      <c r="H236" s="645">
        <f>SUM(G235:G236)</f>
        <v>3040</v>
      </c>
      <c r="I236" s="2476"/>
    </row>
    <row r="237" spans="1:9" x14ac:dyDescent="0.2">
      <c r="A237" s="656" t="s">
        <v>311</v>
      </c>
      <c r="B237" s="665" t="s">
        <v>678</v>
      </c>
      <c r="C237" s="1195" t="s">
        <v>68</v>
      </c>
      <c r="D237" s="1196" t="s">
        <v>16</v>
      </c>
      <c r="E237" s="661">
        <v>1</v>
      </c>
      <c r="F237" s="1197">
        <v>500</v>
      </c>
      <c r="G237" s="663">
        <f t="shared" si="3"/>
        <v>500</v>
      </c>
      <c r="H237" s="661"/>
      <c r="I237" s="2383"/>
    </row>
    <row r="238" spans="1:9" x14ac:dyDescent="0.2">
      <c r="A238" s="656"/>
      <c r="B238" s="665"/>
      <c r="C238" s="1195" t="s">
        <v>558</v>
      </c>
      <c r="D238" s="1196" t="s">
        <v>36</v>
      </c>
      <c r="E238" s="661">
        <v>3</v>
      </c>
      <c r="F238" s="1197">
        <v>150</v>
      </c>
      <c r="G238" s="663">
        <f t="shared" si="3"/>
        <v>450</v>
      </c>
      <c r="H238" s="661"/>
      <c r="I238" s="2383"/>
    </row>
    <row r="239" spans="1:9" x14ac:dyDescent="0.2">
      <c r="A239" s="656"/>
      <c r="B239" s="665" t="s">
        <v>677</v>
      </c>
      <c r="C239" s="1195" t="s">
        <v>557</v>
      </c>
      <c r="D239" s="1196" t="s">
        <v>15</v>
      </c>
      <c r="E239" s="661">
        <v>1</v>
      </c>
      <c r="F239" s="1197">
        <v>500</v>
      </c>
      <c r="G239" s="663">
        <f t="shared" si="3"/>
        <v>500</v>
      </c>
      <c r="H239" s="661">
        <f>SUM(G237:G239)</f>
        <v>1450</v>
      </c>
      <c r="I239" s="2382"/>
    </row>
    <row r="240" spans="1:9" x14ac:dyDescent="0.2">
      <c r="A240" s="836" t="s">
        <v>407</v>
      </c>
      <c r="B240" s="1198" t="s">
        <v>678</v>
      </c>
      <c r="C240" s="1199" t="s">
        <v>72</v>
      </c>
      <c r="D240" s="1200" t="s">
        <v>16</v>
      </c>
      <c r="E240" s="843">
        <v>1</v>
      </c>
      <c r="F240" s="1201">
        <v>400</v>
      </c>
      <c r="G240" s="846">
        <f t="shared" si="3"/>
        <v>400</v>
      </c>
      <c r="H240" s="843"/>
      <c r="I240" s="2383"/>
    </row>
    <row r="241" spans="1:9" x14ac:dyDescent="0.2">
      <c r="A241" s="836"/>
      <c r="B241" s="1198"/>
      <c r="C241" s="1199" t="s">
        <v>558</v>
      </c>
      <c r="D241" s="1200" t="s">
        <v>36</v>
      </c>
      <c r="E241" s="843">
        <v>3</v>
      </c>
      <c r="F241" s="1201">
        <v>150</v>
      </c>
      <c r="G241" s="846">
        <f t="shared" si="3"/>
        <v>450</v>
      </c>
      <c r="H241" s="843"/>
      <c r="I241" s="2383"/>
    </row>
    <row r="242" spans="1:9" x14ac:dyDescent="0.2">
      <c r="A242" s="836"/>
      <c r="B242" s="1198" t="s">
        <v>677</v>
      </c>
      <c r="C242" s="1199" t="s">
        <v>557</v>
      </c>
      <c r="D242" s="1200" t="s">
        <v>15</v>
      </c>
      <c r="E242" s="843">
        <v>1</v>
      </c>
      <c r="F242" s="1201">
        <v>500</v>
      </c>
      <c r="G242" s="846">
        <f t="shared" si="3"/>
        <v>500</v>
      </c>
      <c r="H242" s="843">
        <f>SUM(G240:G242)</f>
        <v>1350</v>
      </c>
      <c r="I242" s="2382"/>
    </row>
    <row r="243" spans="1:9" x14ac:dyDescent="0.2">
      <c r="A243" s="548" t="s">
        <v>408</v>
      </c>
      <c r="B243" s="1202" t="s">
        <v>678</v>
      </c>
      <c r="C243" s="1203" t="s">
        <v>69</v>
      </c>
      <c r="D243" s="1204" t="s">
        <v>16</v>
      </c>
      <c r="E243" s="553">
        <v>1</v>
      </c>
      <c r="F243" s="1205">
        <v>400</v>
      </c>
      <c r="G243" s="554">
        <f t="shared" si="3"/>
        <v>400</v>
      </c>
      <c r="H243" s="553"/>
      <c r="I243" s="2383"/>
    </row>
    <row r="244" spans="1:9" x14ac:dyDescent="0.2">
      <c r="A244" s="548"/>
      <c r="B244" s="1202"/>
      <c r="C244" s="1203" t="s">
        <v>558</v>
      </c>
      <c r="D244" s="1204" t="s">
        <v>36</v>
      </c>
      <c r="E244" s="553">
        <v>3</v>
      </c>
      <c r="F244" s="1205">
        <v>150</v>
      </c>
      <c r="G244" s="554">
        <f t="shared" si="3"/>
        <v>450</v>
      </c>
      <c r="H244" s="553"/>
      <c r="I244" s="2383"/>
    </row>
    <row r="245" spans="1:9" x14ac:dyDescent="0.2">
      <c r="A245" s="548"/>
      <c r="B245" s="1202" t="s">
        <v>677</v>
      </c>
      <c r="C245" s="1203" t="s">
        <v>557</v>
      </c>
      <c r="D245" s="1204" t="s">
        <v>15</v>
      </c>
      <c r="E245" s="553">
        <v>1</v>
      </c>
      <c r="F245" s="1205">
        <v>500</v>
      </c>
      <c r="G245" s="554">
        <f t="shared" si="3"/>
        <v>500</v>
      </c>
      <c r="H245" s="553">
        <f>SUM(G243:G245)</f>
        <v>1350</v>
      </c>
      <c r="I245" s="2382"/>
    </row>
    <row r="246" spans="1:9" x14ac:dyDescent="0.2">
      <c r="A246" s="876" t="s">
        <v>409</v>
      </c>
      <c r="B246" s="1206" t="s">
        <v>678</v>
      </c>
      <c r="C246" s="1207" t="s">
        <v>70</v>
      </c>
      <c r="D246" s="1208" t="s">
        <v>73</v>
      </c>
      <c r="E246" s="882">
        <v>1</v>
      </c>
      <c r="F246" s="1209">
        <v>150</v>
      </c>
      <c r="G246" s="885">
        <f t="shared" si="3"/>
        <v>150</v>
      </c>
      <c r="H246" s="882"/>
      <c r="I246" s="2383"/>
    </row>
    <row r="247" spans="1:9" x14ac:dyDescent="0.2">
      <c r="A247" s="876"/>
      <c r="B247" s="1206"/>
      <c r="C247" s="1207" t="s">
        <v>558</v>
      </c>
      <c r="D247" s="1208" t="s">
        <v>36</v>
      </c>
      <c r="E247" s="882">
        <v>3</v>
      </c>
      <c r="F247" s="1209">
        <v>150</v>
      </c>
      <c r="G247" s="885">
        <f t="shared" si="3"/>
        <v>450</v>
      </c>
      <c r="H247" s="882"/>
      <c r="I247" s="2383"/>
    </row>
    <row r="248" spans="1:9" x14ac:dyDescent="0.2">
      <c r="A248" s="1210"/>
      <c r="B248" s="1206" t="s">
        <v>677</v>
      </c>
      <c r="C248" s="1207" t="s">
        <v>557</v>
      </c>
      <c r="D248" s="1208" t="s">
        <v>15</v>
      </c>
      <c r="E248" s="882">
        <v>1</v>
      </c>
      <c r="F248" s="1209">
        <v>500</v>
      </c>
      <c r="G248" s="885">
        <f t="shared" si="3"/>
        <v>500</v>
      </c>
      <c r="H248" s="882">
        <f>SUM(G246:G248)</f>
        <v>1100</v>
      </c>
      <c r="I248" s="2382"/>
    </row>
    <row r="249" spans="1:9" x14ac:dyDescent="0.2">
      <c r="A249" s="907" t="s">
        <v>410</v>
      </c>
      <c r="B249" s="1211" t="s">
        <v>678</v>
      </c>
      <c r="C249" s="1212" t="s">
        <v>95</v>
      </c>
      <c r="D249" s="1213" t="s">
        <v>16</v>
      </c>
      <c r="E249" s="911">
        <v>1</v>
      </c>
      <c r="F249" s="1214">
        <v>100</v>
      </c>
      <c r="G249" s="910">
        <f t="shared" si="3"/>
        <v>100</v>
      </c>
      <c r="H249" s="911"/>
      <c r="I249" s="2383"/>
    </row>
    <row r="250" spans="1:9" x14ac:dyDescent="0.2">
      <c r="A250" s="907"/>
      <c r="B250" s="1211"/>
      <c r="C250" s="1212" t="s">
        <v>558</v>
      </c>
      <c r="D250" s="1213" t="s">
        <v>36</v>
      </c>
      <c r="E250" s="911">
        <v>3</v>
      </c>
      <c r="F250" s="1214">
        <v>150</v>
      </c>
      <c r="G250" s="910">
        <f t="shared" si="3"/>
        <v>450</v>
      </c>
      <c r="H250" s="911"/>
      <c r="I250" s="2383"/>
    </row>
    <row r="251" spans="1:9" x14ac:dyDescent="0.2">
      <c r="A251" s="907"/>
      <c r="B251" s="1211" t="s">
        <v>677</v>
      </c>
      <c r="C251" s="1212" t="s">
        <v>557</v>
      </c>
      <c r="D251" s="1213" t="s">
        <v>15</v>
      </c>
      <c r="E251" s="911">
        <v>1</v>
      </c>
      <c r="F251" s="1214">
        <v>500</v>
      </c>
      <c r="G251" s="910">
        <f t="shared" si="3"/>
        <v>500</v>
      </c>
      <c r="H251" s="911">
        <f>SUM(G249:G251)</f>
        <v>1050</v>
      </c>
      <c r="I251" s="2382"/>
    </row>
    <row r="252" spans="1:9" x14ac:dyDescent="0.2">
      <c r="A252" s="923" t="s">
        <v>411</v>
      </c>
      <c r="B252" s="1215" t="s">
        <v>693</v>
      </c>
      <c r="C252" s="1216" t="s">
        <v>694</v>
      </c>
      <c r="D252" s="1217" t="s">
        <v>16</v>
      </c>
      <c r="E252" s="929">
        <v>2</v>
      </c>
      <c r="F252" s="1218">
        <v>300</v>
      </c>
      <c r="G252" s="931">
        <f t="shared" si="3"/>
        <v>600</v>
      </c>
      <c r="H252" s="929"/>
      <c r="I252" s="2383"/>
    </row>
    <row r="253" spans="1:9" x14ac:dyDescent="0.2">
      <c r="A253" s="923"/>
      <c r="B253" s="1215"/>
      <c r="C253" s="1216" t="s">
        <v>695</v>
      </c>
      <c r="D253" s="1217" t="s">
        <v>36</v>
      </c>
      <c r="E253" s="929">
        <v>4</v>
      </c>
      <c r="F253" s="1218">
        <v>150</v>
      </c>
      <c r="G253" s="931">
        <f t="shared" si="3"/>
        <v>600</v>
      </c>
      <c r="H253" s="929"/>
      <c r="I253" s="2383"/>
    </row>
    <row r="254" spans="1:9" x14ac:dyDescent="0.2">
      <c r="A254" s="923"/>
      <c r="B254" s="1215" t="s">
        <v>677</v>
      </c>
      <c r="C254" s="1216" t="s">
        <v>557</v>
      </c>
      <c r="D254" s="1217" t="s">
        <v>15</v>
      </c>
      <c r="E254" s="929">
        <v>1</v>
      </c>
      <c r="F254" s="1218">
        <v>500</v>
      </c>
      <c r="G254" s="931">
        <f t="shared" si="3"/>
        <v>500</v>
      </c>
      <c r="H254" s="929">
        <f>SUM(G252:G254)</f>
        <v>1700</v>
      </c>
      <c r="I254" s="2476"/>
    </row>
    <row r="255" spans="1:9" x14ac:dyDescent="0.2">
      <c r="A255" s="936" t="s">
        <v>412</v>
      </c>
      <c r="B255" s="1219" t="s">
        <v>678</v>
      </c>
      <c r="C255" s="1220" t="s">
        <v>474</v>
      </c>
      <c r="D255" s="1221" t="s">
        <v>16</v>
      </c>
      <c r="E255" s="943">
        <v>1</v>
      </c>
      <c r="F255" s="1222">
        <v>300</v>
      </c>
      <c r="G255" s="946">
        <f t="shared" si="3"/>
        <v>300</v>
      </c>
      <c r="H255" s="943"/>
      <c r="I255" s="2383"/>
    </row>
    <row r="256" spans="1:9" x14ac:dyDescent="0.2">
      <c r="A256" s="936"/>
      <c r="B256" s="1219"/>
      <c r="C256" s="1220" t="s">
        <v>558</v>
      </c>
      <c r="D256" s="1221" t="s">
        <v>36</v>
      </c>
      <c r="E256" s="943">
        <v>3</v>
      </c>
      <c r="F256" s="1222">
        <v>150</v>
      </c>
      <c r="G256" s="946">
        <f t="shared" si="3"/>
        <v>450</v>
      </c>
      <c r="H256" s="943"/>
      <c r="I256" s="2383"/>
    </row>
    <row r="257" spans="1:9" x14ac:dyDescent="0.2">
      <c r="A257" s="936"/>
      <c r="B257" s="1219" t="s">
        <v>677</v>
      </c>
      <c r="C257" s="1432" t="s">
        <v>557</v>
      </c>
      <c r="D257" s="944" t="s">
        <v>15</v>
      </c>
      <c r="E257" s="946">
        <v>1</v>
      </c>
      <c r="F257" s="943">
        <v>1000</v>
      </c>
      <c r="G257" s="946">
        <f t="shared" si="3"/>
        <v>1000</v>
      </c>
      <c r="H257" s="943">
        <f>SUM(G255:G257)</f>
        <v>1750</v>
      </c>
      <c r="I257" s="2382"/>
    </row>
    <row r="258" spans="1:9" x14ac:dyDescent="0.2">
      <c r="A258" s="969" t="s">
        <v>413</v>
      </c>
      <c r="B258" s="1223" t="s">
        <v>678</v>
      </c>
      <c r="C258" s="1224" t="s">
        <v>68</v>
      </c>
      <c r="D258" s="1225" t="s">
        <v>16</v>
      </c>
      <c r="E258" s="975">
        <v>1</v>
      </c>
      <c r="F258" s="1226">
        <v>500</v>
      </c>
      <c r="G258" s="976">
        <f t="shared" si="3"/>
        <v>500</v>
      </c>
      <c r="H258" s="975"/>
      <c r="I258" s="2383"/>
    </row>
    <row r="259" spans="1:9" x14ac:dyDescent="0.2">
      <c r="A259" s="969"/>
      <c r="B259" s="1223"/>
      <c r="C259" s="1224" t="s">
        <v>558</v>
      </c>
      <c r="D259" s="1225" t="s">
        <v>36</v>
      </c>
      <c r="E259" s="975">
        <v>3</v>
      </c>
      <c r="F259" s="1226">
        <v>150</v>
      </c>
      <c r="G259" s="976">
        <f t="shared" si="3"/>
        <v>450</v>
      </c>
      <c r="H259" s="975"/>
      <c r="I259" s="2383"/>
    </row>
    <row r="260" spans="1:9" x14ac:dyDescent="0.2">
      <c r="A260" s="969"/>
      <c r="B260" s="1223" t="s">
        <v>677</v>
      </c>
      <c r="C260" s="1224" t="s">
        <v>557</v>
      </c>
      <c r="D260" s="1225" t="s">
        <v>15</v>
      </c>
      <c r="E260" s="975">
        <v>1</v>
      </c>
      <c r="F260" s="1226">
        <v>500</v>
      </c>
      <c r="G260" s="976">
        <f t="shared" si="3"/>
        <v>500</v>
      </c>
      <c r="H260" s="975">
        <f>SUM(G258:G260)</f>
        <v>1450</v>
      </c>
      <c r="I260" s="2382"/>
    </row>
    <row r="261" spans="1:9" x14ac:dyDescent="0.2">
      <c r="A261" s="990" t="s">
        <v>414</v>
      </c>
      <c r="B261" s="1227" t="s">
        <v>678</v>
      </c>
      <c r="C261" s="1228" t="s">
        <v>68</v>
      </c>
      <c r="D261" s="1229" t="s">
        <v>16</v>
      </c>
      <c r="E261" s="995">
        <v>1</v>
      </c>
      <c r="F261" s="1230">
        <v>500</v>
      </c>
      <c r="G261" s="998">
        <f t="shared" si="3"/>
        <v>500</v>
      </c>
      <c r="H261" s="995"/>
      <c r="I261" s="2383"/>
    </row>
    <row r="262" spans="1:9" x14ac:dyDescent="0.2">
      <c r="A262" s="990"/>
      <c r="B262" s="1227"/>
      <c r="C262" s="1228" t="s">
        <v>558</v>
      </c>
      <c r="D262" s="1229" t="s">
        <v>36</v>
      </c>
      <c r="E262" s="995">
        <v>3</v>
      </c>
      <c r="F262" s="1230">
        <v>150</v>
      </c>
      <c r="G262" s="998">
        <f t="shared" si="3"/>
        <v>450</v>
      </c>
      <c r="H262" s="995"/>
      <c r="I262" s="2383"/>
    </row>
    <row r="263" spans="1:9" x14ac:dyDescent="0.2">
      <c r="A263" s="990"/>
      <c r="B263" s="1227" t="s">
        <v>677</v>
      </c>
      <c r="C263" s="1228" t="s">
        <v>557</v>
      </c>
      <c r="D263" s="1229" t="s">
        <v>15</v>
      </c>
      <c r="E263" s="995">
        <v>1</v>
      </c>
      <c r="F263" s="1230">
        <v>500</v>
      </c>
      <c r="G263" s="998">
        <f t="shared" si="3"/>
        <v>500</v>
      </c>
      <c r="H263" s="995">
        <f>SUM(G261:G263)</f>
        <v>1450</v>
      </c>
      <c r="I263" s="2382"/>
    </row>
    <row r="264" spans="1:9" x14ac:dyDescent="0.2">
      <c r="A264" s="1011" t="s">
        <v>415</v>
      </c>
      <c r="B264" s="1231" t="s">
        <v>678</v>
      </c>
      <c r="C264" s="1232" t="s">
        <v>70</v>
      </c>
      <c r="D264" s="1233" t="s">
        <v>16</v>
      </c>
      <c r="E264" s="1014">
        <v>1</v>
      </c>
      <c r="F264" s="1234">
        <v>150</v>
      </c>
      <c r="G264" s="1016">
        <f t="shared" si="3"/>
        <v>150</v>
      </c>
      <c r="H264" s="1014"/>
      <c r="I264" s="2383"/>
    </row>
    <row r="265" spans="1:9" x14ac:dyDescent="0.2">
      <c r="A265" s="1011"/>
      <c r="B265" s="1231"/>
      <c r="C265" s="1232" t="s">
        <v>558</v>
      </c>
      <c r="D265" s="1233" t="s">
        <v>36</v>
      </c>
      <c r="E265" s="1014">
        <v>3</v>
      </c>
      <c r="F265" s="1234">
        <v>150</v>
      </c>
      <c r="G265" s="1016">
        <f t="shared" si="3"/>
        <v>450</v>
      </c>
      <c r="H265" s="1014"/>
      <c r="I265" s="2383"/>
    </row>
    <row r="266" spans="1:9" x14ac:dyDescent="0.2">
      <c r="A266" s="1011"/>
      <c r="B266" s="1231" t="s">
        <v>677</v>
      </c>
      <c r="C266" s="1232" t="s">
        <v>557</v>
      </c>
      <c r="D266" s="1233" t="s">
        <v>15</v>
      </c>
      <c r="E266" s="1014">
        <v>1</v>
      </c>
      <c r="F266" s="1234">
        <v>500</v>
      </c>
      <c r="G266" s="1016">
        <f t="shared" si="3"/>
        <v>500</v>
      </c>
      <c r="H266" s="1014">
        <f>SUM(G264:G266)</f>
        <v>1100</v>
      </c>
      <c r="I266" s="2382"/>
    </row>
    <row r="267" spans="1:9" x14ac:dyDescent="0.2">
      <c r="A267" s="1017" t="s">
        <v>416</v>
      </c>
      <c r="B267" s="1235" t="s">
        <v>678</v>
      </c>
      <c r="C267" s="1236" t="s">
        <v>95</v>
      </c>
      <c r="D267" s="1237" t="s">
        <v>16</v>
      </c>
      <c r="E267" s="1023">
        <v>1</v>
      </c>
      <c r="F267" s="1238">
        <v>100</v>
      </c>
      <c r="G267" s="1025">
        <f t="shared" si="3"/>
        <v>100</v>
      </c>
      <c r="H267" s="1023"/>
      <c r="I267" s="2383"/>
    </row>
    <row r="268" spans="1:9" x14ac:dyDescent="0.2">
      <c r="A268" s="1017"/>
      <c r="B268" s="1235"/>
      <c r="C268" s="1236" t="s">
        <v>558</v>
      </c>
      <c r="D268" s="1237" t="s">
        <v>36</v>
      </c>
      <c r="E268" s="1023">
        <v>3</v>
      </c>
      <c r="F268" s="1238">
        <v>150</v>
      </c>
      <c r="G268" s="1025">
        <f t="shared" si="3"/>
        <v>450</v>
      </c>
      <c r="H268" s="1023"/>
      <c r="I268" s="2383"/>
    </row>
    <row r="269" spans="1:9" x14ac:dyDescent="0.2">
      <c r="A269" s="1017"/>
      <c r="B269" s="1235" t="s">
        <v>677</v>
      </c>
      <c r="C269" s="1236" t="s">
        <v>557</v>
      </c>
      <c r="D269" s="1237" t="s">
        <v>15</v>
      </c>
      <c r="E269" s="1023">
        <v>1</v>
      </c>
      <c r="F269" s="1238">
        <v>500</v>
      </c>
      <c r="G269" s="1025">
        <f t="shared" si="3"/>
        <v>500</v>
      </c>
      <c r="H269" s="1023">
        <f>SUM(G267:G269)</f>
        <v>1050</v>
      </c>
      <c r="I269" s="2382"/>
    </row>
    <row r="270" spans="1:9" x14ac:dyDescent="0.2">
      <c r="A270" s="1026" t="s">
        <v>417</v>
      </c>
      <c r="B270" s="1239" t="s">
        <v>678</v>
      </c>
      <c r="C270" s="1240" t="s">
        <v>95</v>
      </c>
      <c r="D270" s="1035" t="s">
        <v>16</v>
      </c>
      <c r="E270" s="1032">
        <v>1</v>
      </c>
      <c r="F270" s="1036">
        <v>100</v>
      </c>
      <c r="G270" s="1034">
        <f t="shared" si="3"/>
        <v>100</v>
      </c>
      <c r="H270" s="1032"/>
      <c r="I270" s="2383"/>
    </row>
    <row r="271" spans="1:9" x14ac:dyDescent="0.2">
      <c r="A271" s="1026"/>
      <c r="B271" s="1239"/>
      <c r="C271" s="1240" t="s">
        <v>558</v>
      </c>
      <c r="D271" s="1035" t="s">
        <v>36</v>
      </c>
      <c r="E271" s="1032">
        <v>3</v>
      </c>
      <c r="F271" s="1036">
        <v>150</v>
      </c>
      <c r="G271" s="1034">
        <f t="shared" si="3"/>
        <v>450</v>
      </c>
      <c r="H271" s="1032"/>
      <c r="I271" s="2383"/>
    </row>
    <row r="272" spans="1:9" x14ac:dyDescent="0.2">
      <c r="A272" s="1026"/>
      <c r="B272" s="1239" t="s">
        <v>677</v>
      </c>
      <c r="C272" s="1240" t="s">
        <v>557</v>
      </c>
      <c r="D272" s="1035" t="s">
        <v>15</v>
      </c>
      <c r="E272" s="1032">
        <v>1</v>
      </c>
      <c r="F272" s="1036">
        <v>500</v>
      </c>
      <c r="G272" s="1034">
        <f t="shared" si="3"/>
        <v>500</v>
      </c>
      <c r="H272" s="1032">
        <f>SUM(G270:G272)</f>
        <v>1050</v>
      </c>
      <c r="I272" s="2382"/>
    </row>
    <row r="273" spans="1:9" x14ac:dyDescent="0.2">
      <c r="A273" s="1042" t="s">
        <v>418</v>
      </c>
      <c r="B273" s="1241" t="s">
        <v>678</v>
      </c>
      <c r="C273" s="1242" t="s">
        <v>561</v>
      </c>
      <c r="D273" s="1243" t="s">
        <v>16</v>
      </c>
      <c r="E273" s="1048">
        <v>0</v>
      </c>
      <c r="F273" s="1244">
        <v>200</v>
      </c>
      <c r="G273" s="1050">
        <f t="shared" si="3"/>
        <v>0</v>
      </c>
      <c r="H273" s="1048"/>
      <c r="I273" s="2383"/>
    </row>
    <row r="274" spans="1:9" x14ac:dyDescent="0.2">
      <c r="A274" s="1042"/>
      <c r="B274" s="1241"/>
      <c r="C274" s="1242" t="s">
        <v>559</v>
      </c>
      <c r="D274" s="1243" t="s">
        <v>36</v>
      </c>
      <c r="E274" s="1048">
        <v>0</v>
      </c>
      <c r="F274" s="1244">
        <v>150</v>
      </c>
      <c r="G274" s="1050">
        <f t="shared" si="3"/>
        <v>0</v>
      </c>
      <c r="H274" s="1048"/>
      <c r="I274" s="2383"/>
    </row>
    <row r="275" spans="1:9" x14ac:dyDescent="0.2">
      <c r="A275" s="1042"/>
      <c r="B275" s="1241" t="s">
        <v>677</v>
      </c>
      <c r="C275" s="1242" t="s">
        <v>557</v>
      </c>
      <c r="D275" s="1243" t="s">
        <v>15</v>
      </c>
      <c r="E275" s="1048">
        <v>1</v>
      </c>
      <c r="F275" s="1244">
        <v>500</v>
      </c>
      <c r="G275" s="1050">
        <f t="shared" si="3"/>
        <v>500</v>
      </c>
      <c r="H275" s="1048">
        <f>SUM(G273:G275)</f>
        <v>500</v>
      </c>
      <c r="I275" s="2382"/>
    </row>
    <row r="276" spans="1:9" x14ac:dyDescent="0.2">
      <c r="A276" s="1080" t="s">
        <v>419</v>
      </c>
      <c r="B276" s="1245" t="s">
        <v>678</v>
      </c>
      <c r="C276" s="1246" t="s">
        <v>69</v>
      </c>
      <c r="D276" s="1247" t="s">
        <v>16</v>
      </c>
      <c r="E276" s="1084">
        <v>1</v>
      </c>
      <c r="F276" s="1248">
        <v>400</v>
      </c>
      <c r="G276" s="1083">
        <f t="shared" si="3"/>
        <v>400</v>
      </c>
      <c r="H276" s="1084"/>
      <c r="I276" s="2383"/>
    </row>
    <row r="277" spans="1:9" x14ac:dyDescent="0.2">
      <c r="A277" s="1080"/>
      <c r="B277" s="1245"/>
      <c r="C277" s="1246" t="s">
        <v>558</v>
      </c>
      <c r="D277" s="1247" t="s">
        <v>36</v>
      </c>
      <c r="E277" s="1084">
        <v>3</v>
      </c>
      <c r="F277" s="1248">
        <v>150</v>
      </c>
      <c r="G277" s="1083">
        <f t="shared" si="3"/>
        <v>450</v>
      </c>
      <c r="H277" s="1084"/>
      <c r="I277" s="2383"/>
    </row>
    <row r="278" spans="1:9" x14ac:dyDescent="0.2">
      <c r="A278" s="1080"/>
      <c r="B278" s="1245" t="s">
        <v>677</v>
      </c>
      <c r="C278" s="1246" t="s">
        <v>557</v>
      </c>
      <c r="D278" s="1247" t="s">
        <v>15</v>
      </c>
      <c r="E278" s="1084">
        <v>1</v>
      </c>
      <c r="F278" s="1248">
        <v>500</v>
      </c>
      <c r="G278" s="1083">
        <f t="shared" si="3"/>
        <v>500</v>
      </c>
      <c r="H278" s="1084">
        <f>SUM(G276:G278)</f>
        <v>1350</v>
      </c>
      <c r="I278" s="2382"/>
    </row>
    <row r="279" spans="1:9" x14ac:dyDescent="0.2">
      <c r="A279" s="1097" t="s">
        <v>420</v>
      </c>
      <c r="B279" s="1249" t="s">
        <v>678</v>
      </c>
      <c r="C279" s="1250" t="s">
        <v>71</v>
      </c>
      <c r="D279" s="1251" t="s">
        <v>73</v>
      </c>
      <c r="E279" s="1101">
        <v>1</v>
      </c>
      <c r="F279" s="1252">
        <v>25</v>
      </c>
      <c r="G279" s="1100">
        <f t="shared" si="3"/>
        <v>25</v>
      </c>
      <c r="H279" s="1101"/>
      <c r="I279" s="2383"/>
    </row>
    <row r="280" spans="1:9" x14ac:dyDescent="0.2">
      <c r="A280" s="1097"/>
      <c r="B280" s="1249"/>
      <c r="C280" s="1250" t="s">
        <v>558</v>
      </c>
      <c r="D280" s="1251" t="s">
        <v>36</v>
      </c>
      <c r="E280" s="1101">
        <v>3</v>
      </c>
      <c r="F280" s="1252">
        <v>100</v>
      </c>
      <c r="G280" s="1100">
        <f t="shared" si="3"/>
        <v>300</v>
      </c>
      <c r="H280" s="1101"/>
      <c r="I280" s="2383"/>
    </row>
    <row r="281" spans="1:9" x14ac:dyDescent="0.2">
      <c r="A281" s="1097"/>
      <c r="B281" s="1249" t="s">
        <v>677</v>
      </c>
      <c r="C281" s="1250" t="s">
        <v>557</v>
      </c>
      <c r="D281" s="1251" t="s">
        <v>15</v>
      </c>
      <c r="E281" s="1101">
        <v>1</v>
      </c>
      <c r="F281" s="1252">
        <v>500</v>
      </c>
      <c r="G281" s="1100">
        <f t="shared" si="3"/>
        <v>500</v>
      </c>
      <c r="H281" s="1101">
        <f>SUM(G279:G281)</f>
        <v>825</v>
      </c>
      <c r="I281" s="2382"/>
    </row>
    <row r="282" spans="1:9" x14ac:dyDescent="0.2">
      <c r="A282" s="1114" t="s">
        <v>949</v>
      </c>
      <c r="B282" s="1253" t="s">
        <v>678</v>
      </c>
      <c r="C282" s="1254" t="s">
        <v>969</v>
      </c>
      <c r="D282" s="2067" t="s">
        <v>16</v>
      </c>
      <c r="E282" s="1118">
        <v>1</v>
      </c>
      <c r="F282" s="1256">
        <v>400</v>
      </c>
      <c r="G282" s="1117">
        <f t="shared" si="3"/>
        <v>400</v>
      </c>
      <c r="H282" s="1118"/>
      <c r="I282" s="2383"/>
    </row>
    <row r="283" spans="1:9" x14ac:dyDescent="0.2">
      <c r="A283" s="1114"/>
      <c r="B283" s="1253"/>
      <c r="C283" s="1254" t="s">
        <v>558</v>
      </c>
      <c r="D283" s="1255" t="s">
        <v>36</v>
      </c>
      <c r="E283" s="1118">
        <v>3</v>
      </c>
      <c r="F283" s="1256">
        <v>150</v>
      </c>
      <c r="G283" s="1117">
        <f t="shared" si="3"/>
        <v>450</v>
      </c>
      <c r="H283" s="1118"/>
      <c r="I283" s="2383"/>
    </row>
    <row r="284" spans="1:9" x14ac:dyDescent="0.2">
      <c r="A284" s="1114"/>
      <c r="B284" s="1253" t="s">
        <v>677</v>
      </c>
      <c r="C284" s="1254" t="s">
        <v>557</v>
      </c>
      <c r="D284" s="1255" t="s">
        <v>15</v>
      </c>
      <c r="E284" s="1118">
        <v>0</v>
      </c>
      <c r="F284" s="1256">
        <v>0</v>
      </c>
      <c r="G284" s="1117">
        <f t="shared" si="3"/>
        <v>0</v>
      </c>
      <c r="H284" s="1118">
        <f>SUM(G282:G284)</f>
        <v>850</v>
      </c>
      <c r="I284" s="2382"/>
    </row>
    <row r="285" spans="1:9" x14ac:dyDescent="0.2">
      <c r="A285" s="1131" t="s">
        <v>421</v>
      </c>
      <c r="B285" s="1257" t="s">
        <v>678</v>
      </c>
      <c r="C285" s="1258" t="s">
        <v>474</v>
      </c>
      <c r="D285" s="1259" t="s">
        <v>16</v>
      </c>
      <c r="E285" s="1135">
        <v>1</v>
      </c>
      <c r="F285" s="1260">
        <v>300</v>
      </c>
      <c r="G285" s="1134">
        <f t="shared" si="3"/>
        <v>300</v>
      </c>
      <c r="H285" s="1135"/>
      <c r="I285" s="2383"/>
    </row>
    <row r="286" spans="1:9" x14ac:dyDescent="0.2">
      <c r="A286" s="1131"/>
      <c r="B286" s="1257"/>
      <c r="C286" s="1258" t="s">
        <v>558</v>
      </c>
      <c r="D286" s="1259" t="s">
        <v>36</v>
      </c>
      <c r="E286" s="1135">
        <v>3</v>
      </c>
      <c r="F286" s="1260">
        <v>150</v>
      </c>
      <c r="G286" s="1134">
        <f t="shared" si="3"/>
        <v>450</v>
      </c>
      <c r="H286" s="1135"/>
      <c r="I286" s="2383"/>
    </row>
    <row r="287" spans="1:9" x14ac:dyDescent="0.2">
      <c r="A287" s="1131"/>
      <c r="B287" s="1257" t="s">
        <v>677</v>
      </c>
      <c r="C287" s="1258" t="s">
        <v>557</v>
      </c>
      <c r="D287" s="1259" t="s">
        <v>15</v>
      </c>
      <c r="E287" s="1135">
        <v>1</v>
      </c>
      <c r="F287" s="1260">
        <v>1000</v>
      </c>
      <c r="G287" s="1134">
        <f t="shared" si="3"/>
        <v>1000</v>
      </c>
      <c r="H287" s="1135">
        <f>SUM(G285:G287)</f>
        <v>1750</v>
      </c>
      <c r="I287" s="2382"/>
    </row>
    <row r="288" spans="1:9" x14ac:dyDescent="0.2">
      <c r="A288" s="548" t="s">
        <v>422</v>
      </c>
      <c r="B288" s="1202" t="s">
        <v>678</v>
      </c>
      <c r="C288" s="1203" t="s">
        <v>474</v>
      </c>
      <c r="D288" s="1204" t="s">
        <v>16</v>
      </c>
      <c r="E288" s="553">
        <v>1</v>
      </c>
      <c r="F288" s="1205">
        <v>300</v>
      </c>
      <c r="G288" s="554">
        <f t="shared" si="3"/>
        <v>300</v>
      </c>
      <c r="H288" s="553"/>
      <c r="I288" s="2383"/>
    </row>
    <row r="289" spans="1:9" x14ac:dyDescent="0.2">
      <c r="A289" s="548"/>
      <c r="B289" s="1202"/>
      <c r="C289" s="1203" t="s">
        <v>558</v>
      </c>
      <c r="D289" s="1204" t="s">
        <v>36</v>
      </c>
      <c r="E289" s="553">
        <v>3</v>
      </c>
      <c r="F289" s="1205">
        <v>150</v>
      </c>
      <c r="G289" s="554">
        <f t="shared" si="3"/>
        <v>450</v>
      </c>
      <c r="H289" s="553"/>
      <c r="I289" s="2383"/>
    </row>
    <row r="290" spans="1:9" x14ac:dyDescent="0.2">
      <c r="A290" s="548"/>
      <c r="B290" s="1202" t="s">
        <v>677</v>
      </c>
      <c r="C290" s="1203" t="s">
        <v>557</v>
      </c>
      <c r="D290" s="1204" t="s">
        <v>15</v>
      </c>
      <c r="E290" s="553">
        <v>1</v>
      </c>
      <c r="F290" s="1205">
        <v>1000</v>
      </c>
      <c r="G290" s="554">
        <f t="shared" si="3"/>
        <v>1000</v>
      </c>
      <c r="H290" s="553">
        <f>SUM(G288:G290)</f>
        <v>1750</v>
      </c>
      <c r="I290" s="2382"/>
    </row>
    <row r="291" spans="1:9" x14ac:dyDescent="0.2">
      <c r="A291" s="2081" t="s">
        <v>950</v>
      </c>
      <c r="B291" s="2119" t="s">
        <v>678</v>
      </c>
      <c r="C291" s="2120" t="s">
        <v>70</v>
      </c>
      <c r="D291" s="2121" t="s">
        <v>16</v>
      </c>
      <c r="E291" s="2087">
        <v>0</v>
      </c>
      <c r="F291" s="2122">
        <v>300</v>
      </c>
      <c r="G291" s="2089">
        <f t="shared" ref="G291:G293" si="4">F291*E291</f>
        <v>0</v>
      </c>
      <c r="H291" s="2087"/>
      <c r="I291" s="2385"/>
    </row>
    <row r="292" spans="1:9" x14ac:dyDescent="0.2">
      <c r="A292" s="2081"/>
      <c r="B292" s="2119"/>
      <c r="C292" s="2120" t="s">
        <v>558</v>
      </c>
      <c r="D292" s="2121" t="s">
        <v>36</v>
      </c>
      <c r="E292" s="2087">
        <v>0</v>
      </c>
      <c r="F292" s="2122">
        <v>150</v>
      </c>
      <c r="G292" s="2089">
        <f t="shared" si="4"/>
        <v>0</v>
      </c>
      <c r="H292" s="2087"/>
      <c r="I292" s="2383"/>
    </row>
    <row r="293" spans="1:9" x14ac:dyDescent="0.2">
      <c r="A293" s="2081"/>
      <c r="B293" s="2119" t="s">
        <v>677</v>
      </c>
      <c r="C293" s="2120" t="s">
        <v>557</v>
      </c>
      <c r="D293" s="2121" t="s">
        <v>15</v>
      </c>
      <c r="E293" s="2087">
        <v>0</v>
      </c>
      <c r="F293" s="2122">
        <v>1000</v>
      </c>
      <c r="G293" s="2089">
        <f t="shared" si="4"/>
        <v>0</v>
      </c>
      <c r="H293" s="2087">
        <f>SUM(G291:G293)</f>
        <v>0</v>
      </c>
      <c r="I293" s="2382"/>
    </row>
    <row r="294" spans="1:9" x14ac:dyDescent="0.2">
      <c r="A294" s="2094" t="s">
        <v>951</v>
      </c>
      <c r="B294" s="2127" t="s">
        <v>678</v>
      </c>
      <c r="C294" s="2128" t="s">
        <v>978</v>
      </c>
      <c r="D294" s="2129" t="s">
        <v>16</v>
      </c>
      <c r="E294" s="2100">
        <v>1</v>
      </c>
      <c r="F294" s="2130">
        <v>400</v>
      </c>
      <c r="G294" s="2102">
        <f t="shared" ref="G294:G296" si="5">F294*E294</f>
        <v>400</v>
      </c>
      <c r="H294" s="2100"/>
      <c r="I294" s="2383"/>
    </row>
    <row r="295" spans="1:9" x14ac:dyDescent="0.2">
      <c r="A295" s="2094"/>
      <c r="B295" s="2127"/>
      <c r="C295" s="2128" t="s">
        <v>558</v>
      </c>
      <c r="D295" s="2129" t="s">
        <v>36</v>
      </c>
      <c r="E295" s="2100">
        <v>3</v>
      </c>
      <c r="F295" s="2130">
        <v>150</v>
      </c>
      <c r="G295" s="2102">
        <f t="shared" si="5"/>
        <v>450</v>
      </c>
      <c r="H295" s="2100"/>
      <c r="I295" s="2383"/>
    </row>
    <row r="296" spans="1:9" x14ac:dyDescent="0.2">
      <c r="A296" s="2094"/>
      <c r="B296" s="2127" t="s">
        <v>677</v>
      </c>
      <c r="C296" s="2128" t="s">
        <v>557</v>
      </c>
      <c r="D296" s="2129" t="s">
        <v>15</v>
      </c>
      <c r="E296" s="2100">
        <v>0</v>
      </c>
      <c r="F296" s="2130">
        <v>0</v>
      </c>
      <c r="G296" s="2102">
        <f t="shared" si="5"/>
        <v>0</v>
      </c>
      <c r="H296" s="2100">
        <f>SUM(G294:G296)</f>
        <v>850</v>
      </c>
      <c r="I296" s="2382"/>
    </row>
    <row r="297" spans="1:9" x14ac:dyDescent="0.2">
      <c r="A297" s="1026" t="s">
        <v>952</v>
      </c>
      <c r="B297" s="1239" t="s">
        <v>678</v>
      </c>
      <c r="C297" s="1240" t="s">
        <v>979</v>
      </c>
      <c r="D297" s="1035" t="s">
        <v>16</v>
      </c>
      <c r="E297" s="1032">
        <v>1</v>
      </c>
      <c r="F297" s="1036">
        <v>400</v>
      </c>
      <c r="G297" s="1034">
        <f t="shared" ref="G297:G299" si="6">F297*E297</f>
        <v>400</v>
      </c>
      <c r="H297" s="1032"/>
      <c r="I297" s="2383"/>
    </row>
    <row r="298" spans="1:9" x14ac:dyDescent="0.2">
      <c r="A298" s="1026"/>
      <c r="B298" s="1239"/>
      <c r="C298" s="1240" t="s">
        <v>558</v>
      </c>
      <c r="D298" s="1035" t="s">
        <v>36</v>
      </c>
      <c r="E298" s="1032">
        <v>3</v>
      </c>
      <c r="F298" s="1036">
        <v>150</v>
      </c>
      <c r="G298" s="1034">
        <f t="shared" si="6"/>
        <v>450</v>
      </c>
      <c r="H298" s="1032"/>
      <c r="I298" s="2383"/>
    </row>
    <row r="299" spans="1:9" x14ac:dyDescent="0.2">
      <c r="A299" s="1026"/>
      <c r="B299" s="1239" t="s">
        <v>677</v>
      </c>
      <c r="C299" s="1240" t="s">
        <v>557</v>
      </c>
      <c r="D299" s="1035" t="s">
        <v>15</v>
      </c>
      <c r="E299" s="1032">
        <v>1</v>
      </c>
      <c r="F299" s="1036">
        <v>500</v>
      </c>
      <c r="G299" s="1034">
        <f t="shared" si="6"/>
        <v>500</v>
      </c>
      <c r="H299" s="1032">
        <f>SUM(G297:G299)</f>
        <v>1350</v>
      </c>
      <c r="I299" s="2382"/>
    </row>
    <row r="300" spans="1:9" s="72" customFormat="1" x14ac:dyDescent="0.2">
      <c r="A300" s="78" t="s">
        <v>9</v>
      </c>
      <c r="B300" s="12"/>
      <c r="C300" s="232"/>
      <c r="D300" s="12"/>
      <c r="E300" s="27"/>
      <c r="F300" s="27"/>
      <c r="G300" s="27"/>
      <c r="H300" s="28">
        <f>SUM(H223:H299)</f>
        <v>44995</v>
      </c>
      <c r="I300" s="2492"/>
    </row>
    <row r="301" spans="1:9" x14ac:dyDescent="0.2">
      <c r="A301" s="1594" t="s">
        <v>27</v>
      </c>
      <c r="B301" s="1595"/>
      <c r="C301" s="1596"/>
      <c r="D301" s="1595"/>
      <c r="E301" s="1597"/>
      <c r="F301" s="1597"/>
      <c r="G301" s="1597">
        <v>0</v>
      </c>
      <c r="H301" s="1598">
        <v>0</v>
      </c>
    </row>
    <row r="302" spans="1:9" s="159" customFormat="1" x14ac:dyDescent="0.2">
      <c r="A302" s="160"/>
      <c r="B302" s="161"/>
      <c r="C302" s="235"/>
      <c r="D302" s="161"/>
      <c r="E302" s="162"/>
      <c r="F302" s="163"/>
      <c r="G302" s="162">
        <v>0</v>
      </c>
      <c r="H302" s="163">
        <f>SUM(G301:G302)</f>
        <v>0</v>
      </c>
      <c r="I302" s="2072"/>
    </row>
    <row r="303" spans="1:9" x14ac:dyDescent="0.2">
      <c r="A303" s="152" t="s">
        <v>10</v>
      </c>
      <c r="B303" s="153"/>
      <c r="C303" s="247"/>
      <c r="D303" s="153"/>
      <c r="E303" s="154"/>
      <c r="F303" s="154"/>
      <c r="G303" s="154"/>
      <c r="H303" s="155">
        <v>0</v>
      </c>
    </row>
    <row r="304" spans="1:9" x14ac:dyDescent="0.2">
      <c r="A304" s="76" t="s">
        <v>76</v>
      </c>
      <c r="B304" s="6"/>
      <c r="C304" s="231"/>
      <c r="D304" s="6"/>
      <c r="E304" s="21"/>
      <c r="F304" s="21"/>
      <c r="G304" s="21"/>
      <c r="H304" s="22">
        <f>SUM(G304:G304)</f>
        <v>0</v>
      </c>
    </row>
    <row r="305" spans="1:9" s="67" customFormat="1" x14ac:dyDescent="0.2">
      <c r="A305" s="1654" t="s">
        <v>411</v>
      </c>
      <c r="B305" s="953" t="s">
        <v>114</v>
      </c>
      <c r="C305" s="1360" t="s">
        <v>675</v>
      </c>
      <c r="D305" s="953" t="s">
        <v>49</v>
      </c>
      <c r="E305" s="931">
        <v>1</v>
      </c>
      <c r="F305" s="958">
        <v>4000</v>
      </c>
      <c r="G305" s="958">
        <f>F305</f>
        <v>4000</v>
      </c>
      <c r="H305" s="1218"/>
      <c r="I305" s="2488"/>
    </row>
    <row r="306" spans="1:9" s="67" customFormat="1" x14ac:dyDescent="0.2">
      <c r="A306" s="1654"/>
      <c r="B306" s="924"/>
      <c r="C306" s="1360" t="s">
        <v>674</v>
      </c>
      <c r="D306" s="924"/>
      <c r="E306" s="931"/>
      <c r="F306" s="929"/>
      <c r="G306" s="929"/>
      <c r="H306" s="1218"/>
      <c r="I306" s="2488"/>
    </row>
    <row r="307" spans="1:9" s="67" customFormat="1" x14ac:dyDescent="0.2">
      <c r="A307" s="1654"/>
      <c r="B307" s="924"/>
      <c r="C307" s="1360" t="s">
        <v>676</v>
      </c>
      <c r="D307" s="924"/>
      <c r="E307" s="931"/>
      <c r="F307" s="929"/>
      <c r="G307" s="929"/>
      <c r="H307" s="1218">
        <f>SUM(G305:G307)</f>
        <v>4000</v>
      </c>
      <c r="I307" s="2488"/>
    </row>
    <row r="308" spans="1:9" x14ac:dyDescent="0.2">
      <c r="A308" s="999" t="s">
        <v>414</v>
      </c>
      <c r="B308" s="1935" t="s">
        <v>59</v>
      </c>
      <c r="C308" s="1931" t="s">
        <v>673</v>
      </c>
      <c r="D308" s="1935" t="s">
        <v>15</v>
      </c>
      <c r="E308" s="1932">
        <v>1</v>
      </c>
      <c r="F308" s="1005">
        <v>5000</v>
      </c>
      <c r="G308" s="1005">
        <f>SUM(F308)</f>
        <v>5000</v>
      </c>
      <c r="H308" s="1933"/>
      <c r="I308" s="2072"/>
    </row>
    <row r="309" spans="1:9" x14ac:dyDescent="0.2">
      <c r="A309" s="1006"/>
      <c r="B309" s="1007" t="s">
        <v>671</v>
      </c>
      <c r="C309" s="1008" t="s">
        <v>672</v>
      </c>
      <c r="D309" s="1007" t="s">
        <v>49</v>
      </c>
      <c r="E309" s="1009">
        <v>3</v>
      </c>
      <c r="F309" s="1010">
        <v>500</v>
      </c>
      <c r="G309" s="1010">
        <f>F309*E309</f>
        <v>1500</v>
      </c>
      <c r="H309" s="1936">
        <f>SUM(G308:G309)</f>
        <v>6500</v>
      </c>
      <c r="I309" s="2072"/>
    </row>
    <row r="310" spans="1:9" x14ac:dyDescent="0.2">
      <c r="A310" s="1433" t="s">
        <v>417</v>
      </c>
      <c r="B310" s="1434" t="s">
        <v>59</v>
      </c>
      <c r="C310" s="1435" t="s">
        <v>673</v>
      </c>
      <c r="D310" s="1434" t="s">
        <v>15</v>
      </c>
      <c r="E310" s="1436">
        <v>1</v>
      </c>
      <c r="F310" s="1437">
        <v>5000</v>
      </c>
      <c r="G310" s="1437">
        <f>SUM(F310)</f>
        <v>5000</v>
      </c>
      <c r="H310" s="1934"/>
      <c r="I310" s="2072"/>
    </row>
    <row r="311" spans="1:9" x14ac:dyDescent="0.2">
      <c r="A311" s="1937"/>
      <c r="B311" s="1938" t="s">
        <v>671</v>
      </c>
      <c r="C311" s="1939" t="s">
        <v>672</v>
      </c>
      <c r="D311" s="1938" t="s">
        <v>49</v>
      </c>
      <c r="E311" s="1940">
        <v>3</v>
      </c>
      <c r="F311" s="1941">
        <v>500</v>
      </c>
      <c r="G311" s="1941">
        <f>F311*E311</f>
        <v>1500</v>
      </c>
      <c r="H311" s="1942">
        <f>SUM(G310:G311)</f>
        <v>6500</v>
      </c>
      <c r="I311" s="2072"/>
    </row>
    <row r="312" spans="1:9" x14ac:dyDescent="0.2">
      <c r="A312" s="1097" t="s">
        <v>420</v>
      </c>
      <c r="B312" s="1098" t="s">
        <v>59</v>
      </c>
      <c r="C312" s="1099" t="s">
        <v>673</v>
      </c>
      <c r="D312" s="1098" t="s">
        <v>15</v>
      </c>
      <c r="E312" s="1100">
        <v>1</v>
      </c>
      <c r="F312" s="1101">
        <v>5000</v>
      </c>
      <c r="G312" s="1101">
        <f>SUM(F312)</f>
        <v>5000</v>
      </c>
      <c r="H312" s="1252"/>
      <c r="I312" s="2072"/>
    </row>
    <row r="313" spans="1:9" x14ac:dyDescent="0.2">
      <c r="A313" s="1102"/>
      <c r="B313" s="1103" t="s">
        <v>671</v>
      </c>
      <c r="C313" s="1104" t="s">
        <v>672</v>
      </c>
      <c r="D313" s="1103" t="s">
        <v>49</v>
      </c>
      <c r="E313" s="1105">
        <v>3</v>
      </c>
      <c r="F313" s="1106">
        <v>500</v>
      </c>
      <c r="G313" s="1106">
        <f>F313*E313</f>
        <v>1500</v>
      </c>
      <c r="H313" s="1943">
        <f>SUM(G312:G313)</f>
        <v>6500</v>
      </c>
      <c r="I313" s="2072"/>
    </row>
    <row r="314" spans="1:9" x14ac:dyDescent="0.2">
      <c r="A314" s="1011" t="s">
        <v>415</v>
      </c>
      <c r="B314" s="1012" t="s">
        <v>59</v>
      </c>
      <c r="C314" s="1015" t="s">
        <v>673</v>
      </c>
      <c r="D314" s="1012" t="s">
        <v>15</v>
      </c>
      <c r="E314" s="1016">
        <v>1</v>
      </c>
      <c r="F314" s="1014">
        <v>5000</v>
      </c>
      <c r="G314" s="1014">
        <f>F314*E314</f>
        <v>5000</v>
      </c>
      <c r="H314" s="1234"/>
      <c r="I314" s="2475"/>
    </row>
    <row r="315" spans="1:9" x14ac:dyDescent="0.2">
      <c r="A315" s="1011"/>
      <c r="B315" s="2370" t="s">
        <v>998</v>
      </c>
      <c r="C315" s="1015" t="s">
        <v>999</v>
      </c>
      <c r="D315" s="2370" t="s">
        <v>15</v>
      </c>
      <c r="E315" s="1016">
        <v>2</v>
      </c>
      <c r="F315" s="1014">
        <v>800</v>
      </c>
      <c r="G315" s="1014">
        <v>800</v>
      </c>
      <c r="H315" s="1234"/>
      <c r="I315" s="2475"/>
    </row>
    <row r="316" spans="1:9" x14ac:dyDescent="0.2">
      <c r="A316" s="1068"/>
      <c r="B316" s="1069" t="s">
        <v>671</v>
      </c>
      <c r="C316" s="1070" t="s">
        <v>672</v>
      </c>
      <c r="D316" s="1069" t="s">
        <v>49</v>
      </c>
      <c r="E316" s="1071">
        <v>3</v>
      </c>
      <c r="F316" s="1072">
        <v>500</v>
      </c>
      <c r="G316" s="1072">
        <f>F316*E316</f>
        <v>1500</v>
      </c>
      <c r="H316" s="2369">
        <f>SUM(G314:G316)</f>
        <v>7300</v>
      </c>
      <c r="I316" s="2475"/>
    </row>
    <row r="317" spans="1:9" x14ac:dyDescent="0.2">
      <c r="A317" s="548" t="s">
        <v>422</v>
      </c>
      <c r="B317" s="549" t="s">
        <v>59</v>
      </c>
      <c r="C317" s="556" t="s">
        <v>673</v>
      </c>
      <c r="D317" s="549" t="s">
        <v>15</v>
      </c>
      <c r="E317" s="554">
        <v>1</v>
      </c>
      <c r="F317" s="553">
        <v>5000</v>
      </c>
      <c r="G317" s="553">
        <f>F317</f>
        <v>5000</v>
      </c>
      <c r="H317" s="1205"/>
      <c r="I317" s="2072"/>
    </row>
    <row r="318" spans="1:9" x14ac:dyDescent="0.2">
      <c r="A318" s="874"/>
      <c r="B318" s="865" t="s">
        <v>671</v>
      </c>
      <c r="C318" s="1438" t="s">
        <v>672</v>
      </c>
      <c r="D318" s="865" t="s">
        <v>49</v>
      </c>
      <c r="E318" s="866">
        <v>3</v>
      </c>
      <c r="F318" s="875">
        <v>500</v>
      </c>
      <c r="G318" s="553">
        <f>F318*E318</f>
        <v>1500</v>
      </c>
      <c r="H318" s="1817">
        <f>SUM(G317:G318)</f>
        <v>6500</v>
      </c>
      <c r="I318" s="2072"/>
    </row>
    <row r="319" spans="1:9" x14ac:dyDescent="0.2">
      <c r="A319" s="1026" t="s">
        <v>952</v>
      </c>
      <c r="B319" s="2193" t="s">
        <v>59</v>
      </c>
      <c r="C319" s="2194" t="s">
        <v>673</v>
      </c>
      <c r="D319" s="2193" t="s">
        <v>15</v>
      </c>
      <c r="E319" s="2195">
        <v>1</v>
      </c>
      <c r="F319" s="2196">
        <v>5000</v>
      </c>
      <c r="G319" s="2203">
        <f>F319</f>
        <v>5000</v>
      </c>
      <c r="H319" s="2197"/>
      <c r="I319" s="2072"/>
    </row>
    <row r="320" spans="1:9" x14ac:dyDescent="0.2">
      <c r="A320" s="1037"/>
      <c r="B320" s="2198" t="s">
        <v>671</v>
      </c>
      <c r="C320" s="2199" t="s">
        <v>672</v>
      </c>
      <c r="D320" s="2198" t="s">
        <v>49</v>
      </c>
      <c r="E320" s="2200">
        <v>3</v>
      </c>
      <c r="F320" s="2201">
        <v>500</v>
      </c>
      <c r="G320" s="2201">
        <f>F320*E320</f>
        <v>1500</v>
      </c>
      <c r="H320" s="2202">
        <f>SUM(G319:G320)</f>
        <v>6500</v>
      </c>
      <c r="I320" s="2072"/>
    </row>
    <row r="321" spans="1:9" x14ac:dyDescent="0.2">
      <c r="A321" s="836" t="s">
        <v>407</v>
      </c>
      <c r="B321" s="845" t="s">
        <v>59</v>
      </c>
      <c r="C321" s="844" t="s">
        <v>673</v>
      </c>
      <c r="D321" s="845" t="s">
        <v>15</v>
      </c>
      <c r="E321" s="846">
        <v>1</v>
      </c>
      <c r="F321" s="843">
        <v>5000</v>
      </c>
      <c r="G321" s="843">
        <f>F321</f>
        <v>5000</v>
      </c>
      <c r="H321" s="1201"/>
      <c r="I321" s="2072"/>
    </row>
    <row r="322" spans="1:9" x14ac:dyDescent="0.2">
      <c r="A322" s="857"/>
      <c r="B322" s="851" t="s">
        <v>671</v>
      </c>
      <c r="C322" s="1483" t="s">
        <v>672</v>
      </c>
      <c r="D322" s="851" t="s">
        <v>49</v>
      </c>
      <c r="E322" s="852">
        <v>3</v>
      </c>
      <c r="F322" s="859">
        <v>500</v>
      </c>
      <c r="G322" s="843">
        <f>F322*E322</f>
        <v>1500</v>
      </c>
      <c r="H322" s="1885">
        <f>SUM(G321:G322)</f>
        <v>6500</v>
      </c>
      <c r="I322" s="2072"/>
    </row>
    <row r="323" spans="1:9" x14ac:dyDescent="0.2">
      <c r="A323" s="78" t="s">
        <v>211</v>
      </c>
      <c r="B323" s="50"/>
      <c r="C323" s="232"/>
      <c r="D323" s="50"/>
      <c r="E323" s="27"/>
      <c r="F323" s="51"/>
      <c r="G323" s="27"/>
      <c r="H323" s="51">
        <f>SUM(H305:H322)</f>
        <v>50300</v>
      </c>
      <c r="I323" s="2493"/>
    </row>
    <row r="324" spans="1:9" x14ac:dyDescent="0.2">
      <c r="A324" s="79" t="s">
        <v>13</v>
      </c>
      <c r="B324" s="18"/>
      <c r="C324" s="236"/>
      <c r="D324" s="18"/>
      <c r="E324" s="33"/>
      <c r="F324" s="33"/>
      <c r="G324" s="33"/>
      <c r="H324" s="34">
        <f>WP5_SEC1_subtotal+WP5_SEC2_subtotal+WP5_SEC3_subtotal+WP5_SEC4_subtotal+WP5_SEC5_subtotal</f>
        <v>540095</v>
      </c>
    </row>
    <row r="325" spans="1:9" ht="14.25" x14ac:dyDescent="0.2">
      <c r="A325" s="140" t="s">
        <v>87</v>
      </c>
      <c r="B325" s="141" t="s">
        <v>122</v>
      </c>
      <c r="C325" s="237"/>
      <c r="D325" s="141"/>
      <c r="E325" s="142"/>
      <c r="F325" s="142"/>
      <c r="G325" s="142"/>
      <c r="H325" s="186">
        <f>H211*0.6</f>
        <v>244440</v>
      </c>
      <c r="I325" s="2474"/>
    </row>
    <row r="326" spans="1:9" x14ac:dyDescent="0.2">
      <c r="A326" s="77"/>
      <c r="B326" s="3"/>
      <c r="C326" s="248"/>
      <c r="D326" s="3"/>
      <c r="E326" s="23"/>
      <c r="F326" s="23"/>
      <c r="G326" s="23"/>
      <c r="H326" s="26"/>
    </row>
    <row r="327" spans="1:9" ht="15.75" x14ac:dyDescent="0.25">
      <c r="A327" s="79" t="s">
        <v>11</v>
      </c>
      <c r="B327" s="10"/>
      <c r="C327" s="236"/>
      <c r="D327" s="10"/>
      <c r="E327" s="31"/>
      <c r="F327" s="31"/>
      <c r="G327" s="31"/>
      <c r="H327" s="32">
        <f>H325+H324</f>
        <v>784535</v>
      </c>
    </row>
  </sheetData>
  <sheetProtection password="A72F" sheet="1" objects="1" scenarios="1"/>
  <phoneticPr fontId="0" type="noConversion"/>
  <dataValidations count="99">
    <dataValidation type="list" allowBlank="1" showInputMessage="1" showErrorMessage="1" error="This name is not cecognized" sqref="A1 A306 A52 A298 A295 A292 A289 A286 A283 A280 A277 A274 A271 A268 A265 A262 A259 A256 A253 A250 A247 A244 A241 A238 A144:A147 A67:A74 A131:A137 A122:A127 A226:A227 A113 A61 A205:A209 A201:A202 A194:A198 A187:A191 A184 A180:A181 A173:A177 A170 A167 A160:A163 A87:A101 A309 A311 A313 A315:A316 A318 A320 A322">
      <formula1>partners_list</formula1>
    </dataValidation>
    <dataValidation type="list" allowBlank="1" showInputMessage="1" showErrorMessage="1" error="This name is not cecognized" sqref="B16:B33">
      <formula1>P12_employees</formula1>
    </dataValidation>
    <dataValidation type="list" allowBlank="1" showInputMessage="1" showErrorMessage="1" error="This name is not cecognized" sqref="B51:B56">
      <formula1>P3_employees</formula1>
    </dataValidation>
    <dataValidation type="list" allowBlank="1" showInputMessage="1" showErrorMessage="1" error="This name is not cecognized" sqref="B121:B129">
      <formula1>P11_employees</formula1>
    </dataValidation>
    <dataValidation type="list" allowBlank="1" showInputMessage="1" showErrorMessage="1" error="This name is not cecognized" sqref="B130:B139">
      <formula1>P13_employees</formula1>
    </dataValidation>
    <dataValidation type="list" allowBlank="1" showInputMessage="1" showErrorMessage="1" error="This name is not cecognized" sqref="B143:B149">
      <formula1>P15_employees</formula1>
    </dataValidation>
    <dataValidation type="list" allowBlank="1" showInputMessage="1" showErrorMessage="1" error="This name is not cecognized" sqref="B159:B165">
      <formula1>P18_employees</formula1>
    </dataValidation>
    <dataValidation type="list" allowBlank="1" showInputMessage="1" showErrorMessage="1" error="This name is not cecognized" sqref="B172:B178">
      <formula1>P21_employees</formula1>
    </dataValidation>
    <dataValidation type="list" allowBlank="1" showInputMessage="1" showErrorMessage="1" error="This name is not cecognized" sqref="B186:B192">
      <formula1>P24_employees</formula1>
    </dataValidation>
    <dataValidation type="list" allowBlank="1" showInputMessage="1" showErrorMessage="1" error="This name is not cecognized" sqref="B77:B85">
      <formula1>P7_employees</formula1>
    </dataValidation>
    <dataValidation type="list" allowBlank="1" showInputMessage="1" showErrorMessage="1" error="This name is not cecognized" sqref="B86:B102">
      <formula1>P8_employees</formula1>
    </dataValidation>
    <dataValidation type="list" allowBlank="1" showInputMessage="1" showErrorMessage="1" error="This name is not cecognized" sqref="B6:B15">
      <formula1>CO_employees</formula1>
    </dataValidation>
    <dataValidation type="list" allowBlank="1" showInputMessage="1" showErrorMessage="1" error="This name is not cecognized" sqref="B34:B50">
      <formula1>P2_employees</formula1>
    </dataValidation>
    <dataValidation type="list" allowBlank="1" showInputMessage="1" showErrorMessage="1" error="This name is not cecognized" sqref="B57:B59">
      <formula1>P4_employees</formula1>
    </dataValidation>
    <dataValidation type="list" allowBlank="1" showInputMessage="1" showErrorMessage="1" error="This name is not cecognized" sqref="B60:B65">
      <formula1>P5_employees</formula1>
    </dataValidation>
    <dataValidation type="list" allowBlank="1" showInputMessage="1" showErrorMessage="1" error="This name is not cecognized" sqref="B66:B76">
      <formula1>P6_employees</formula1>
    </dataValidation>
    <dataValidation type="list" allowBlank="1" showInputMessage="1" showErrorMessage="1" error="This name is not cecognized" sqref="B103:B111">
      <formula1>P9_employees</formula1>
    </dataValidation>
    <dataValidation type="list" allowBlank="1" showInputMessage="1" showErrorMessage="1" error="This name is not cecognized" sqref="B112:B120">
      <formula1>P10_employees</formula1>
    </dataValidation>
    <dataValidation type="list" allowBlank="1" showInputMessage="1" showErrorMessage="1" error="This name is not cecognized" sqref="B183:B185">
      <formula1>P23_employees</formula1>
    </dataValidation>
    <dataValidation type="list" allowBlank="1" showInputMessage="1" showErrorMessage="1" error="This name is not cecognized" sqref="B169:B171">
      <formula1>P20_employees</formula1>
    </dataValidation>
    <dataValidation type="list" allowBlank="1" showInputMessage="1" showErrorMessage="1" error="This name is not cecognized" sqref="B166:B168">
      <formula1>P19_employees</formula1>
    </dataValidation>
    <dataValidation type="list" allowBlank="1" showInputMessage="1" showErrorMessage="1" error="This name is not cecognized" sqref="B156:B158">
      <formula1>P17_employees</formula1>
    </dataValidation>
    <dataValidation type="list" allowBlank="1" showInputMessage="1" showErrorMessage="1" error="This name is not cecognized" sqref="B140:B142">
      <formula1>P14_employees</formula1>
    </dataValidation>
    <dataValidation type="list" allowBlank="1" showInputMessage="1" showErrorMessage="1" error="This name is not cecognized" sqref="B179:B182">
      <formula1>P22_employees</formula1>
    </dataValidation>
    <dataValidation type="list" allowBlank="1" showInputMessage="1" showErrorMessage="1" error="This name is not cecognized" sqref="B204:B210">
      <formula1>P27_employees</formula1>
    </dataValidation>
    <dataValidation type="list" allowBlank="1" showInputMessage="1" showErrorMessage="1" error="This name is not cecognized" sqref="B200:B203">
      <formula1>P26_employees</formula1>
    </dataValidation>
    <dataValidation type="list" allowBlank="1" showInputMessage="1" showErrorMessage="1" error="This name is not cecognized" sqref="B193:B199">
      <formula1>P25_employees</formula1>
    </dataValidation>
    <dataValidation type="list" allowBlank="1" showInputMessage="1" showErrorMessage="1" error="This name is not cecognized" sqref="B150:B155">
      <formula1>P16_employees</formula1>
    </dataValidation>
    <dataValidation type="list" allowBlank="1" showInputMessage="1" showErrorMessage="1" error="This name is not cecognized" sqref="A6">
      <formula1>partners_list</formula1>
    </dataValidation>
    <dataValidation type="list" allowBlank="1" showInputMessage="1" showErrorMessage="1" error="This name is not cecognized" sqref="A16">
      <formula1>partners_list</formula1>
    </dataValidation>
    <dataValidation type="list" allowBlank="1" showInputMessage="1" showErrorMessage="1" error="This name is not cecognized" sqref="A34">
      <formula1>partners_list</formula1>
    </dataValidation>
    <dataValidation type="list" allowBlank="1" showInputMessage="1" showErrorMessage="1" error="This name is not cecognized" sqref="A51">
      <formula1>partners_list</formula1>
    </dataValidation>
    <dataValidation type="list" allowBlank="1" showInputMessage="1" showErrorMessage="1" error="This name is not cecognized" sqref="A57">
      <formula1>partners_list</formula1>
    </dataValidation>
    <dataValidation type="list" allowBlank="1" showInputMessage="1" showErrorMessage="1" error="This name is not cecognized" sqref="A60">
      <formula1>partners_list</formula1>
    </dataValidation>
    <dataValidation type="list" allowBlank="1" showInputMessage="1" showErrorMessage="1" error="This name is not cecognized" sqref="A66">
      <formula1>partners_list</formula1>
    </dataValidation>
    <dataValidation type="list" allowBlank="1" showInputMessage="1" showErrorMessage="1" error="This name is not cecognized" sqref="A77">
      <formula1>partners_list</formula1>
    </dataValidation>
    <dataValidation type="list" allowBlank="1" showInputMessage="1" showErrorMessage="1" error="This name is not cecognized" sqref="A86">
      <formula1>partners_list</formula1>
    </dataValidation>
    <dataValidation type="list" allowBlank="1" showInputMessage="1" showErrorMessage="1" error="This name is not cecognized" sqref="A103">
      <formula1>partners_list</formula1>
    </dataValidation>
    <dataValidation type="list" allowBlank="1" showInputMessage="1" showErrorMessage="1" error="This name is not cecognized" sqref="A112">
      <formula1>partners_list</formula1>
    </dataValidation>
    <dataValidation type="list" allowBlank="1" showInputMessage="1" showErrorMessage="1" error="This name is not cecognized" sqref="A121">
      <formula1>partners_list</formula1>
    </dataValidation>
    <dataValidation type="list" allowBlank="1" showInputMessage="1" showErrorMessage="1" error="This name is not cecognized" sqref="A130">
      <formula1>partners_list</formula1>
    </dataValidation>
    <dataValidation type="list" allowBlank="1" showInputMessage="1" showErrorMessage="1" error="This name is not cecognized" sqref="A140">
      <formula1>partners_list</formula1>
    </dataValidation>
    <dataValidation type="list" allowBlank="1" showInputMessage="1" showErrorMessage="1" error="This name is not cecognized" sqref="A143">
      <formula1>partners_list</formula1>
    </dataValidation>
    <dataValidation type="list" allowBlank="1" showInputMessage="1" showErrorMessage="1" error="This name is not cecognized" sqref="A150">
      <formula1>partners_list</formula1>
    </dataValidation>
    <dataValidation type="list" allowBlank="1" showInputMessage="1" showErrorMessage="1" error="This name is not cecognized" sqref="A156">
      <formula1>partners_list</formula1>
    </dataValidation>
    <dataValidation type="list" allowBlank="1" showInputMessage="1" showErrorMessage="1" error="This name is not cecognized" sqref="A159">
      <formula1>partners_list</formula1>
    </dataValidation>
    <dataValidation type="list" allowBlank="1" showInputMessage="1" showErrorMessage="1" error="This name is not cecognized" sqref="A166">
      <formula1>partners_list</formula1>
    </dataValidation>
    <dataValidation type="list" allowBlank="1" showInputMessage="1" showErrorMessage="1" error="This name is not cecognized" sqref="A169">
      <formula1>partners_list</formula1>
    </dataValidation>
    <dataValidation type="list" allowBlank="1" showInputMessage="1" showErrorMessage="1" error="This name is not cecognized" sqref="A172">
      <formula1>partners_list</formula1>
    </dataValidation>
    <dataValidation type="list" allowBlank="1" showInputMessage="1" showErrorMessage="1" error="This name is not cecognized" sqref="A179">
      <formula1>partners_list</formula1>
    </dataValidation>
    <dataValidation type="list" allowBlank="1" showInputMessage="1" showErrorMessage="1" error="This name is not cecognized" sqref="A183">
      <formula1>partners_list</formula1>
    </dataValidation>
    <dataValidation type="list" allowBlank="1" showInputMessage="1" showErrorMessage="1" error="This name is not cecognized" sqref="A186">
      <formula1>partners_list</formula1>
    </dataValidation>
    <dataValidation type="list" allowBlank="1" showInputMessage="1" showErrorMessage="1" error="This name is not cecognized" sqref="A193">
      <formula1>partners_list</formula1>
    </dataValidation>
    <dataValidation type="list" allowBlank="1" showInputMessage="1" showErrorMessage="1" error="This name is not cecognized" sqref="A200">
      <formula1>partners_list</formula1>
    </dataValidation>
    <dataValidation type="list" allowBlank="1" showInputMessage="1" showErrorMessage="1" error="This name is not cecognized" sqref="A204">
      <formula1>partners_list</formula1>
    </dataValidation>
    <dataValidation type="list" allowBlank="1" showInputMessage="1" showErrorMessage="1" error="This name is not cecognized" sqref="A213">
      <formula1>partners_list</formula1>
    </dataValidation>
    <dataValidation type="list" allowBlank="1" showInputMessage="1" showErrorMessage="1" error="This name is not cecognized" sqref="A214">
      <formula1>partners_list</formula1>
    </dataValidation>
    <dataValidation type="list" allowBlank="1" showInputMessage="1" showErrorMessage="1" error="This name is not cecognized" sqref="A215">
      <formula1>partners_list</formula1>
    </dataValidation>
    <dataValidation type="list" allowBlank="1" showInputMessage="1" showErrorMessage="1" error="This name is not cecognized" sqref="A216">
      <formula1>partners_list</formula1>
    </dataValidation>
    <dataValidation type="list" allowBlank="1" showInputMessage="1" showErrorMessage="1" error="This name is not cecognized" sqref="A217">
      <formula1>partners_list</formula1>
    </dataValidation>
    <dataValidation type="list" allowBlank="1" showInputMessage="1" showErrorMessage="1" error="This name is not cecognized" sqref="A218">
      <formula1>partners_list</formula1>
    </dataValidation>
    <dataValidation type="list" allowBlank="1" showInputMessage="1" showErrorMessage="1" error="This name is not cecognized" sqref="A219">
      <formula1>partners_list</formula1>
    </dataValidation>
    <dataValidation type="list" allowBlank="1" showInputMessage="1" showErrorMessage="1" error="This name is not cecognized" sqref="A220">
      <formula1>partners_list</formula1>
    </dataValidation>
    <dataValidation type="list" allowBlank="1" showInputMessage="1" showErrorMessage="1" error="This name is not cecognized" sqref="A223">
      <formula1>partners_list</formula1>
    </dataValidation>
    <dataValidation type="list" allowBlank="1" showInputMessage="1" showErrorMessage="1" error="This name is not cecognized" sqref="A225">
      <formula1>partners_list</formula1>
    </dataValidation>
    <dataValidation type="list" allowBlank="1" showInputMessage="1" showErrorMessage="1" error="This name is not cecognized" sqref="A229">
      <formula1>partners_list</formula1>
    </dataValidation>
    <dataValidation type="list" allowBlank="1" showInputMessage="1" showErrorMessage="1" error="This name is not cecognized" sqref="A231">
      <formula1>partners_list</formula1>
    </dataValidation>
    <dataValidation type="list" allowBlank="1" showInputMessage="1" showErrorMessage="1" error="This name is not cecognized" sqref="A233">
      <formula1>partners_list</formula1>
    </dataValidation>
    <dataValidation type="list" allowBlank="1" showInputMessage="1" showErrorMessage="1" error="This name is not cecognized" sqref="A235">
      <formula1>partners_list</formula1>
    </dataValidation>
    <dataValidation type="list" allowBlank="1" showInputMessage="1" showErrorMessage="1" error="This name is not cecognized" sqref="A237">
      <formula1>partners_list</formula1>
    </dataValidation>
    <dataValidation type="list" allowBlank="1" showInputMessage="1" showErrorMessage="1" error="This name is not cecognized" sqref="A240">
      <formula1>partners_list</formula1>
    </dataValidation>
    <dataValidation type="list" allowBlank="1" showInputMessage="1" showErrorMessage="1" error="This name is not cecognized" sqref="A243">
      <formula1>partners_list</formula1>
    </dataValidation>
    <dataValidation type="list" allowBlank="1" showInputMessage="1" showErrorMessage="1" error="This name is not cecognized" sqref="A246">
      <formula1>partners_list</formula1>
    </dataValidation>
    <dataValidation type="list" allowBlank="1" showInputMessage="1" showErrorMessage="1" error="This name is not cecognized" sqref="A249">
      <formula1>partners_list</formula1>
    </dataValidation>
    <dataValidation type="list" allowBlank="1" showInputMessage="1" showErrorMessage="1" error="This name is not cecognized" sqref="A252">
      <formula1>partners_list</formula1>
    </dataValidation>
    <dataValidation type="list" allowBlank="1" showInputMessage="1" showErrorMessage="1" error="This name is not cecognized" sqref="A255">
      <formula1>partners_list</formula1>
    </dataValidation>
    <dataValidation type="list" allowBlank="1" showInputMessage="1" showErrorMessage="1" error="This name is not cecognized" sqref="A258">
      <formula1>partners_list</formula1>
    </dataValidation>
    <dataValidation type="list" allowBlank="1" showInputMessage="1" showErrorMessage="1" error="This name is not cecognized" sqref="A261">
      <formula1>partners_list</formula1>
    </dataValidation>
    <dataValidation type="list" allowBlank="1" showInputMessage="1" showErrorMessage="1" error="This name is not cecognized" sqref="A264">
      <formula1>partners_list</formula1>
    </dataValidation>
    <dataValidation type="list" allowBlank="1" showInputMessage="1" showErrorMessage="1" error="This name is not cecognized" sqref="A267">
      <formula1>partners_list</formula1>
    </dataValidation>
    <dataValidation type="list" allowBlank="1" showInputMessage="1" showErrorMessage="1" error="This name is not cecognized" sqref="A270">
      <formula1>partners_list</formula1>
    </dataValidation>
    <dataValidation type="list" allowBlank="1" showInputMessage="1" showErrorMessage="1" error="This name is not cecognized" sqref="A273">
      <formula1>partners_list</formula1>
    </dataValidation>
    <dataValidation type="list" allowBlank="1" showInputMessage="1" showErrorMessage="1" error="This name is not cecognized" sqref="A276">
      <formula1>partners_list</formula1>
    </dataValidation>
    <dataValidation type="list" allowBlank="1" showInputMessage="1" showErrorMessage="1" error="This name is not cecognized" sqref="A279">
      <formula1>partners_list</formula1>
    </dataValidation>
    <dataValidation type="list" allowBlank="1" showInputMessage="1" showErrorMessage="1" error="This name is not cecognized" sqref="A282">
      <formula1>partners_list</formula1>
    </dataValidation>
    <dataValidation type="list" allowBlank="1" showInputMessage="1" showErrorMessage="1" error="This name is not cecognized" sqref="A285">
      <formula1>partners_list</formula1>
    </dataValidation>
    <dataValidation type="list" allowBlank="1" showInputMessage="1" showErrorMessage="1" error="This name is not cecognized" sqref="A288">
      <formula1>partners_list</formula1>
    </dataValidation>
    <dataValidation type="list" allowBlank="1" showInputMessage="1" showErrorMessage="1" error="This name is not cecognized" sqref="A291">
      <formula1>partners_list</formula1>
    </dataValidation>
    <dataValidation type="list" allowBlank="1" showInputMessage="1" showErrorMessage="1" error="This name is not cecognized" sqref="A294">
      <formula1>partners_list</formula1>
    </dataValidation>
    <dataValidation type="list" allowBlank="1" showInputMessage="1" showErrorMessage="1" error="This name is not cecognized" sqref="A297">
      <formula1>partners_list</formula1>
    </dataValidation>
    <dataValidation type="list" allowBlank="1" showInputMessage="1" showErrorMessage="1" error="This name is not cecognized" sqref="A302">
      <formula1>partners_list</formula1>
    </dataValidation>
    <dataValidation type="list" allowBlank="1" showInputMessage="1" showErrorMessage="1" error="This name is not cecognized" sqref="A305">
      <formula1>partners_list</formula1>
    </dataValidation>
    <dataValidation type="list" allowBlank="1" showInputMessage="1" showErrorMessage="1" error="This name is not cecognized" sqref="A308">
      <formula1>partners_list</formula1>
    </dataValidation>
    <dataValidation type="list" allowBlank="1" showInputMessage="1" showErrorMessage="1" error="This name is not cecognized" sqref="A310">
      <formula1>partners_list</formula1>
    </dataValidation>
    <dataValidation type="list" allowBlank="1" showInputMessage="1" showErrorMessage="1" error="This name is not cecognized" sqref="A312">
      <formula1>partners_list</formula1>
    </dataValidation>
    <dataValidation type="list" allowBlank="1" showInputMessage="1" showErrorMessage="1" error="This name is not cecognized" sqref="A314">
      <formula1>partners_list</formula1>
    </dataValidation>
    <dataValidation type="list" allowBlank="1" showInputMessage="1" showErrorMessage="1" error="This name is not cecognized" sqref="A317">
      <formula1>partners_list</formula1>
    </dataValidation>
    <dataValidation type="list" allowBlank="1" showInputMessage="1" showErrorMessage="1" error="This name is not cecognized" sqref="A319">
      <formula1>partners_list</formula1>
    </dataValidation>
    <dataValidation type="list" allowBlank="1" showInputMessage="1" showErrorMessage="1" error="This name is not cecognized" sqref="A321">
      <formula1>partners_list</formula1>
    </dataValidation>
  </dataValidations>
  <pageMargins left="0.43307086614173229" right="0.59055118110236227" top="0.55118110236220474" bottom="0.43307086614173229" header="0.51181102362204722" footer="0.43307086614173229"/>
  <pageSetup scale="65" fitToHeight="0" orientation="landscape" r:id="rId1"/>
  <headerFooter alignWithMargins="0"/>
  <rowBreaks count="3" manualBreakCount="3">
    <brk id="50" max="7" man="1"/>
    <brk id="221" max="7" man="1"/>
    <brk id="300"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86" r:id="rId4" name="Button 70">
              <controlPr defaultSize="0" print="0" autoFill="0" autoPict="0" macro="[0]!btnAddPartnerToSection_Click">
                <anchor moveWithCells="1" sizeWithCells="1">
                  <from>
                    <xdr:col>4</xdr:col>
                    <xdr:colOff>0</xdr:colOff>
                    <xdr:row>0</xdr:row>
                    <xdr:rowOff>95250</xdr:rowOff>
                  </from>
                  <to>
                    <xdr:col>6</xdr:col>
                    <xdr:colOff>228600</xdr:colOff>
                    <xdr:row>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17</vt:i4>
      </vt:variant>
      <vt:variant>
        <vt:lpstr>Įvardinti diapazonai</vt:lpstr>
      </vt:variant>
      <vt:variant>
        <vt:i4>559</vt:i4>
      </vt:variant>
    </vt:vector>
  </HeadingPairs>
  <TitlesOfParts>
    <vt:vector size="576" baseType="lpstr">
      <vt:lpstr>Params</vt:lpstr>
      <vt:lpstr>errors</vt:lpstr>
      <vt:lpstr>gen_params</vt:lpstr>
      <vt:lpstr>salaries</vt:lpstr>
      <vt:lpstr>WP1</vt:lpstr>
      <vt:lpstr>WP2</vt:lpstr>
      <vt:lpstr>WP3</vt:lpstr>
      <vt:lpstr>WP4</vt:lpstr>
      <vt:lpstr>WP5</vt:lpstr>
      <vt:lpstr>WP6</vt:lpstr>
      <vt:lpstr>WP7</vt:lpstr>
      <vt:lpstr>WP8</vt:lpstr>
      <vt:lpstr>Summary 1</vt:lpstr>
      <vt:lpstr>Summary 2</vt:lpstr>
      <vt:lpstr>Summary 3</vt:lpstr>
      <vt:lpstr>Summary 4</vt:lpstr>
      <vt:lpstr>WPs</vt:lpstr>
      <vt:lpstr>CO_employees</vt:lpstr>
      <vt:lpstr>gen_parm_partners</vt:lpstr>
      <vt:lpstr>P10_employees</vt:lpstr>
      <vt:lpstr>P11_employees</vt:lpstr>
      <vt:lpstr>P12_employees</vt:lpstr>
      <vt:lpstr>P13_employees</vt:lpstr>
      <vt:lpstr>P14_employees</vt:lpstr>
      <vt:lpstr>P15_employees</vt:lpstr>
      <vt:lpstr>P16_employees</vt:lpstr>
      <vt:lpstr>P17_employees</vt:lpstr>
      <vt:lpstr>P18_employees</vt:lpstr>
      <vt:lpstr>P19_employees</vt:lpstr>
      <vt:lpstr>P2_employees</vt:lpstr>
      <vt:lpstr>P20_employees</vt:lpstr>
      <vt:lpstr>P21_employees</vt:lpstr>
      <vt:lpstr>P22_employees</vt:lpstr>
      <vt:lpstr>P23_employees</vt:lpstr>
      <vt:lpstr>P24_employees</vt:lpstr>
      <vt:lpstr>P25_employees</vt:lpstr>
      <vt:lpstr>P26_employees</vt:lpstr>
      <vt:lpstr>P27_employees</vt:lpstr>
      <vt:lpstr>P3_employees</vt:lpstr>
      <vt:lpstr>P4_employees</vt:lpstr>
      <vt:lpstr>P5_employees</vt:lpstr>
      <vt:lpstr>P6_employees</vt:lpstr>
      <vt:lpstr>P7_employees</vt:lpstr>
      <vt:lpstr>P8_employees</vt:lpstr>
      <vt:lpstr>P9_employees</vt:lpstr>
      <vt:lpstr>Params_WP_Count</vt:lpstr>
      <vt:lpstr>Params_WP_Sections</vt:lpstr>
      <vt:lpstr>partners_list</vt:lpstr>
      <vt:lpstr>'Summary 2'!Print_Area</vt:lpstr>
      <vt:lpstr>'WP1'!Print_Area</vt:lpstr>
      <vt:lpstr>'WP2'!Print_Area</vt:lpstr>
      <vt:lpstr>'WP3'!Print_Area</vt:lpstr>
      <vt:lpstr>'WP4'!Print_Area</vt:lpstr>
      <vt:lpstr>'WP5'!Print_Area</vt:lpstr>
      <vt:lpstr>'WP6'!Print_Area</vt:lpstr>
      <vt:lpstr>'WP7'!Print_Area</vt:lpstr>
      <vt:lpstr>'WP8'!Print_Area</vt:lpstr>
      <vt:lpstr>WP1_SEC1__total</vt:lpstr>
      <vt:lpstr>WP1_SEC1_CO_total</vt:lpstr>
      <vt:lpstr>WP1_SEC1_P10_total</vt:lpstr>
      <vt:lpstr>WP1_SEC1_P11_total</vt:lpstr>
      <vt:lpstr>WP1_SEC1_P12_total</vt:lpstr>
      <vt:lpstr>WP1_SEC1_P13_total</vt:lpstr>
      <vt:lpstr>WP1_SEC1_P14_total</vt:lpstr>
      <vt:lpstr>WP1_SEC1_P15_total</vt:lpstr>
      <vt:lpstr>WP1_SEC1_P16_total</vt:lpstr>
      <vt:lpstr>WP1_SEC1_P17_total</vt:lpstr>
      <vt:lpstr>WP1_SEC1_P18_total</vt:lpstr>
      <vt:lpstr>WP1_SEC1_P19_total</vt:lpstr>
      <vt:lpstr>WP1_SEC1_P2_total</vt:lpstr>
      <vt:lpstr>WP1_SEC1_P20_total</vt:lpstr>
      <vt:lpstr>WP1_SEC1_P21_total</vt:lpstr>
      <vt:lpstr>WP1_SEC1_P22_total</vt:lpstr>
      <vt:lpstr>WP1_SEC1_P23_total</vt:lpstr>
      <vt:lpstr>WP1_SEC1_P24_total</vt:lpstr>
      <vt:lpstr>WP1_SEC1_P25_total</vt:lpstr>
      <vt:lpstr>WP1_SEC1_P26_total</vt:lpstr>
      <vt:lpstr>WP1_SEC1_P27_total</vt:lpstr>
      <vt:lpstr>WP1_SEC1_P3_total</vt:lpstr>
      <vt:lpstr>WP1_SEC1_P4_total</vt:lpstr>
      <vt:lpstr>WP1_SEC1_P5_total</vt:lpstr>
      <vt:lpstr>WP1_SEC1_P6_total</vt:lpstr>
      <vt:lpstr>WP1_SEC1_P7_total</vt:lpstr>
      <vt:lpstr>WP1_SEC1_P8_total</vt:lpstr>
      <vt:lpstr>WP1_SEC1_P9_total</vt:lpstr>
      <vt:lpstr>WP1_SEC1_subtotal</vt:lpstr>
      <vt:lpstr>WP1_SEC2__total</vt:lpstr>
      <vt:lpstr>WP1_SEC2_subtotal</vt:lpstr>
      <vt:lpstr>WP1_SEC3__total</vt:lpstr>
      <vt:lpstr>WP1_SEC3_CO_total</vt:lpstr>
      <vt:lpstr>WP1_SEC3_P10_total</vt:lpstr>
      <vt:lpstr>WP1_SEC3_P11_total</vt:lpstr>
      <vt:lpstr>WP1_SEC3_P12_total</vt:lpstr>
      <vt:lpstr>WP1_SEC3_P13_total</vt:lpstr>
      <vt:lpstr>WP1_SEC3_P14_total</vt:lpstr>
      <vt:lpstr>WP1_SEC3_P15_total</vt:lpstr>
      <vt:lpstr>WP1_SEC3_P16_total</vt:lpstr>
      <vt:lpstr>WP1_SEC3_P17_total</vt:lpstr>
      <vt:lpstr>WP1_SEC3_P18_total</vt:lpstr>
      <vt:lpstr>WP1_SEC3_P19_total</vt:lpstr>
      <vt:lpstr>WP1_SEC3_P2_total</vt:lpstr>
      <vt:lpstr>WP1_SEC3_P20_total</vt:lpstr>
      <vt:lpstr>WP1_SEC3_P21_total</vt:lpstr>
      <vt:lpstr>WP1_SEC3_P22_total</vt:lpstr>
      <vt:lpstr>WP1_SEC3_P23_total</vt:lpstr>
      <vt:lpstr>WP1_SEC3_P24_total</vt:lpstr>
      <vt:lpstr>WP1_SEC3_P25_total</vt:lpstr>
      <vt:lpstr>WP1_SEC3_P26_total</vt:lpstr>
      <vt:lpstr>WP1_SEC3_P27_total</vt:lpstr>
      <vt:lpstr>WP1_SEC3_P3_total</vt:lpstr>
      <vt:lpstr>WP1_SEC3_P4_total</vt:lpstr>
      <vt:lpstr>WP1_SEC3_P5_total</vt:lpstr>
      <vt:lpstr>WP1_SEC3_P6_total</vt:lpstr>
      <vt:lpstr>WP1_SEC3_P7_total</vt:lpstr>
      <vt:lpstr>WP1_SEC3_P8_total</vt:lpstr>
      <vt:lpstr>WP1_SEC3_P9_total</vt:lpstr>
      <vt:lpstr>WP1_SEC3_subtotal</vt:lpstr>
      <vt:lpstr>WP1_SEC4__total</vt:lpstr>
      <vt:lpstr>WP1_SEC4_subtotal</vt:lpstr>
      <vt:lpstr>WP1_SEC5__total</vt:lpstr>
      <vt:lpstr>WP1_SEC5_CO_total</vt:lpstr>
      <vt:lpstr>WP1_SEC5_P5_total</vt:lpstr>
      <vt:lpstr>WP1_SEC5_P6_total</vt:lpstr>
      <vt:lpstr>WP1_SEC5_subtotal</vt:lpstr>
      <vt:lpstr>WP2_SEC1__total</vt:lpstr>
      <vt:lpstr>WP2_SEC1_CO_total</vt:lpstr>
      <vt:lpstr>WP2_SEC1_P10_total</vt:lpstr>
      <vt:lpstr>WP2_SEC1_P11_total</vt:lpstr>
      <vt:lpstr>WP2_SEC1_P12_total</vt:lpstr>
      <vt:lpstr>WP2_SEC1_P13_total</vt:lpstr>
      <vt:lpstr>WP2_SEC1_P14_total</vt:lpstr>
      <vt:lpstr>WP2_SEC1_P15_total</vt:lpstr>
      <vt:lpstr>WP2_SEC1_P16_total</vt:lpstr>
      <vt:lpstr>WP2_SEC1_P17_total</vt:lpstr>
      <vt:lpstr>WP2_SEC1_P18_total</vt:lpstr>
      <vt:lpstr>WP2_SEC1_P19_total</vt:lpstr>
      <vt:lpstr>WP2_SEC1_P2_total</vt:lpstr>
      <vt:lpstr>WP2_SEC1_P20_total</vt:lpstr>
      <vt:lpstr>WP2_SEC1_P21_total</vt:lpstr>
      <vt:lpstr>WP2_SEC1_P22_total</vt:lpstr>
      <vt:lpstr>WP2_SEC1_P23_total</vt:lpstr>
      <vt:lpstr>WP2_SEC1_P24_total</vt:lpstr>
      <vt:lpstr>WP2_SEC1_P25_total</vt:lpstr>
      <vt:lpstr>WP2_SEC1_P26_total</vt:lpstr>
      <vt:lpstr>WP2_SEC1_P27_total</vt:lpstr>
      <vt:lpstr>WP2_SEC1_P3_total</vt:lpstr>
      <vt:lpstr>WP2_SEC1_P4_total</vt:lpstr>
      <vt:lpstr>WP2_SEC1_P5_total</vt:lpstr>
      <vt:lpstr>WP2_SEC1_P6_total</vt:lpstr>
      <vt:lpstr>WP2_SEC1_P7_total</vt:lpstr>
      <vt:lpstr>WP2_SEC1_P8_total</vt:lpstr>
      <vt:lpstr>WP2_SEC1_P9_total</vt:lpstr>
      <vt:lpstr>WP2_SEC1_subtotal</vt:lpstr>
      <vt:lpstr>WP2_SEC2__total</vt:lpstr>
      <vt:lpstr>WP2_SEC2_P10_total</vt:lpstr>
      <vt:lpstr>WP2_SEC2_P11_total</vt:lpstr>
      <vt:lpstr>WP2_SEC2_P13_total</vt:lpstr>
      <vt:lpstr>WP2_SEC2_P19_total</vt:lpstr>
      <vt:lpstr>WP2_SEC2_P5_total</vt:lpstr>
      <vt:lpstr>WP2_SEC2_P7_total</vt:lpstr>
      <vt:lpstr>WP2_SEC2_P8_total</vt:lpstr>
      <vt:lpstr>WP2_SEC2_P9_total</vt:lpstr>
      <vt:lpstr>WP2_SEC2_subtotal</vt:lpstr>
      <vt:lpstr>WP2_SEC3__total</vt:lpstr>
      <vt:lpstr>WP2_SEC3_CO_total</vt:lpstr>
      <vt:lpstr>WP2_SEC3_P10_total</vt:lpstr>
      <vt:lpstr>WP2_SEC3_P11_total</vt:lpstr>
      <vt:lpstr>WP2_SEC3_P12_total</vt:lpstr>
      <vt:lpstr>WP2_SEC3_P13_total</vt:lpstr>
      <vt:lpstr>WP2_SEC3_P14_total</vt:lpstr>
      <vt:lpstr>WP2_SEC3_P15_total</vt:lpstr>
      <vt:lpstr>WP2_SEC3_P16_total</vt:lpstr>
      <vt:lpstr>WP2_SEC3_P17_total</vt:lpstr>
      <vt:lpstr>WP2_SEC3_P18_total</vt:lpstr>
      <vt:lpstr>WP2_SEC3_P19_total</vt:lpstr>
      <vt:lpstr>WP2_SEC3_P2_total</vt:lpstr>
      <vt:lpstr>WP2_SEC3_P20_total</vt:lpstr>
      <vt:lpstr>WP2_SEC3_P21_total</vt:lpstr>
      <vt:lpstr>WP2_SEC3_P22_total</vt:lpstr>
      <vt:lpstr>WP2_SEC3_P23_total</vt:lpstr>
      <vt:lpstr>WP2_SEC3_P24_total</vt:lpstr>
      <vt:lpstr>WP2_SEC3_P25_total</vt:lpstr>
      <vt:lpstr>WP2_SEC3_P26_total</vt:lpstr>
      <vt:lpstr>WP2_SEC3_P27_total</vt:lpstr>
      <vt:lpstr>WP2_SEC3_P3_total</vt:lpstr>
      <vt:lpstr>WP2_SEC3_P4_total</vt:lpstr>
      <vt:lpstr>WP2_SEC3_P5_total</vt:lpstr>
      <vt:lpstr>WP2_SEC3_P6_total</vt:lpstr>
      <vt:lpstr>WP2_SEC3_P7_total</vt:lpstr>
      <vt:lpstr>WP2_SEC3_P8_total</vt:lpstr>
      <vt:lpstr>WP2_SEC3_P9_total</vt:lpstr>
      <vt:lpstr>WP2_SEC3_subtotal</vt:lpstr>
      <vt:lpstr>WP2_SEC4__total</vt:lpstr>
      <vt:lpstr>WP2_SEC4_subtotal</vt:lpstr>
      <vt:lpstr>WP2_SEC5__total</vt:lpstr>
      <vt:lpstr>WP2_SEC5_P10_total</vt:lpstr>
      <vt:lpstr>WP2_SEC5_P11_total</vt:lpstr>
      <vt:lpstr>WP2_SEC5_P13_total</vt:lpstr>
      <vt:lpstr>WP2_SEC5_P16_total</vt:lpstr>
      <vt:lpstr>WP2_SEC5_P19_total</vt:lpstr>
      <vt:lpstr>WP2_SEC5_P5_total</vt:lpstr>
      <vt:lpstr>WP2_SEC5_P7_total</vt:lpstr>
      <vt:lpstr>WP2_SEC5_P8_total</vt:lpstr>
      <vt:lpstr>WP2_SEC5_P9_total</vt:lpstr>
      <vt:lpstr>WP2_SEC5_subtotal</vt:lpstr>
      <vt:lpstr>WP3_SEC1__total</vt:lpstr>
      <vt:lpstr>WP3_SEC1_CO_total</vt:lpstr>
      <vt:lpstr>WP3_SEC1_P10_total</vt:lpstr>
      <vt:lpstr>WP3_SEC1_P11_total</vt:lpstr>
      <vt:lpstr>WP3_SEC1_P12_total</vt:lpstr>
      <vt:lpstr>WP3_SEC1_P13_total</vt:lpstr>
      <vt:lpstr>WP3_SEC1_P14_total</vt:lpstr>
      <vt:lpstr>WP3_SEC1_P15_total</vt:lpstr>
      <vt:lpstr>WP3_SEC1_P16_total</vt:lpstr>
      <vt:lpstr>WP3_SEC1_P17_total</vt:lpstr>
      <vt:lpstr>WP3_SEC1_P18_total</vt:lpstr>
      <vt:lpstr>WP3_SEC1_P19_total</vt:lpstr>
      <vt:lpstr>WP3_SEC1_P2_total</vt:lpstr>
      <vt:lpstr>WP3_SEC1_P20_total</vt:lpstr>
      <vt:lpstr>WP3_SEC1_P21_total</vt:lpstr>
      <vt:lpstr>WP3_SEC1_P22_total</vt:lpstr>
      <vt:lpstr>WP3_SEC1_P23_total</vt:lpstr>
      <vt:lpstr>WP3_SEC1_P24_total</vt:lpstr>
      <vt:lpstr>WP3_SEC1_P25_total</vt:lpstr>
      <vt:lpstr>WP3_SEC1_P26_total</vt:lpstr>
      <vt:lpstr>WP3_SEC1_P27_total</vt:lpstr>
      <vt:lpstr>WP3_SEC1_P3_total</vt:lpstr>
      <vt:lpstr>WP3_SEC1_P4_total</vt:lpstr>
      <vt:lpstr>WP3_SEC1_P5_total</vt:lpstr>
      <vt:lpstr>WP3_SEC1_P6_total</vt:lpstr>
      <vt:lpstr>WP3_SEC1_P7_total</vt:lpstr>
      <vt:lpstr>WP3_SEC1_P8_total</vt:lpstr>
      <vt:lpstr>WP3_SEC1_P9_total</vt:lpstr>
      <vt:lpstr>WP3_SEC1_subtotal</vt:lpstr>
      <vt:lpstr>WP3_SEC2__total</vt:lpstr>
      <vt:lpstr>WP3_SEC2_P4_total</vt:lpstr>
      <vt:lpstr>WP3_SEC2_subtotal</vt:lpstr>
      <vt:lpstr>WP3_SEC3__total</vt:lpstr>
      <vt:lpstr>WP3_SEC3_CO_total</vt:lpstr>
      <vt:lpstr>WP3_SEC3_P10_total</vt:lpstr>
      <vt:lpstr>WP3_SEC3_P11_total</vt:lpstr>
      <vt:lpstr>WP3_SEC3_P12_total</vt:lpstr>
      <vt:lpstr>WP3_SEC3_P13_total</vt:lpstr>
      <vt:lpstr>WP3_SEC3_P14_total</vt:lpstr>
      <vt:lpstr>WP3_SEC3_P15_total</vt:lpstr>
      <vt:lpstr>WP3_SEC3_P16_total</vt:lpstr>
      <vt:lpstr>WP3_SEC3_P17_total</vt:lpstr>
      <vt:lpstr>WP3_SEC3_P18_total</vt:lpstr>
      <vt:lpstr>WP3_SEC3_P19_total</vt:lpstr>
      <vt:lpstr>WP3_SEC3_P2_total</vt:lpstr>
      <vt:lpstr>WP3_SEC3_P20_total</vt:lpstr>
      <vt:lpstr>WP3_SEC3_P21_total</vt:lpstr>
      <vt:lpstr>WP3_SEC3_P22_total</vt:lpstr>
      <vt:lpstr>WP3_SEC3_P23_total</vt:lpstr>
      <vt:lpstr>WP3_SEC3_P24_total</vt:lpstr>
      <vt:lpstr>WP3_SEC3_P25_total</vt:lpstr>
      <vt:lpstr>WP3_SEC3_P26_total</vt:lpstr>
      <vt:lpstr>WP3_SEC3_P27_total</vt:lpstr>
      <vt:lpstr>WP3_SEC3_P3_total</vt:lpstr>
      <vt:lpstr>WP3_SEC3_P4_total</vt:lpstr>
      <vt:lpstr>WP3_SEC3_P5_total</vt:lpstr>
      <vt:lpstr>WP3_SEC3_P6_total</vt:lpstr>
      <vt:lpstr>WP3_SEC3_P7_total</vt:lpstr>
      <vt:lpstr>WP3_SEC3_P8_total</vt:lpstr>
      <vt:lpstr>WP3_SEC3_P9_total</vt:lpstr>
      <vt:lpstr>WP3_SEC3_subtotal</vt:lpstr>
      <vt:lpstr>WP3_SEC4__total</vt:lpstr>
      <vt:lpstr>WP3_SEC4_subtotal</vt:lpstr>
      <vt:lpstr>WP3_SEC5__total</vt:lpstr>
      <vt:lpstr>WP3_SEC5_P11_total</vt:lpstr>
      <vt:lpstr>WP3_SEC5_P12_total</vt:lpstr>
      <vt:lpstr>WP3_SEC5_P13_total</vt:lpstr>
      <vt:lpstr>WP3_SEC5_P14_total</vt:lpstr>
      <vt:lpstr>WP3_SEC5_P15_total</vt:lpstr>
      <vt:lpstr>WP3_SEC5_P22_total</vt:lpstr>
      <vt:lpstr>WP3_SEC5_P26_total</vt:lpstr>
      <vt:lpstr>WP3_SEC5_P3_total</vt:lpstr>
      <vt:lpstr>WP3_SEC5_P4_total</vt:lpstr>
      <vt:lpstr>WP3_SEC5_P5_total</vt:lpstr>
      <vt:lpstr>WP3_SEC5_P6_total</vt:lpstr>
      <vt:lpstr>WP3_SEC5_P8_total</vt:lpstr>
      <vt:lpstr>WP3_SEC5_subtotal</vt:lpstr>
      <vt:lpstr>WP4_SEC1__total</vt:lpstr>
      <vt:lpstr>WP4_SEC1_CO_total</vt:lpstr>
      <vt:lpstr>WP4_SEC1_P10_total</vt:lpstr>
      <vt:lpstr>WP4_SEC1_P11_total</vt:lpstr>
      <vt:lpstr>WP4_SEC1_P12_total</vt:lpstr>
      <vt:lpstr>WP4_SEC1_P13_total</vt:lpstr>
      <vt:lpstr>WP4_SEC1_P14_total</vt:lpstr>
      <vt:lpstr>WP4_SEC1_P15_total</vt:lpstr>
      <vt:lpstr>WP4_SEC1_P16_total</vt:lpstr>
      <vt:lpstr>WP4_SEC1_P17_total</vt:lpstr>
      <vt:lpstr>WP4_SEC1_P18_total</vt:lpstr>
      <vt:lpstr>WP4_SEC1_P19_total</vt:lpstr>
      <vt:lpstr>WP4_SEC1_P2_total</vt:lpstr>
      <vt:lpstr>WP4_SEC1_P20_total</vt:lpstr>
      <vt:lpstr>WP4_SEC1_P21_total</vt:lpstr>
      <vt:lpstr>WP4_SEC1_P22_total</vt:lpstr>
      <vt:lpstr>WP4_SEC1_P23_total</vt:lpstr>
      <vt:lpstr>WP4_SEC1_P24_total</vt:lpstr>
      <vt:lpstr>WP4_SEC1_P25_total</vt:lpstr>
      <vt:lpstr>WP4_SEC1_P26_total</vt:lpstr>
      <vt:lpstr>WP4_SEC1_P27_total</vt:lpstr>
      <vt:lpstr>WP4_SEC1_P3_total</vt:lpstr>
      <vt:lpstr>WP4_SEC1_P4_total</vt:lpstr>
      <vt:lpstr>WP4_SEC1_P5_total</vt:lpstr>
      <vt:lpstr>WP4_SEC1_P6_total</vt:lpstr>
      <vt:lpstr>WP4_SEC1_P7_total</vt:lpstr>
      <vt:lpstr>WP4_SEC1_P8_total</vt:lpstr>
      <vt:lpstr>WP4_SEC1_P9_total</vt:lpstr>
      <vt:lpstr>WP4_SEC1_subtotal</vt:lpstr>
      <vt:lpstr>WP4_SEC2__total</vt:lpstr>
      <vt:lpstr>WP4_SEC2_P14_total</vt:lpstr>
      <vt:lpstr>WP4_SEC2_P16_total</vt:lpstr>
      <vt:lpstr>WP4_SEC2_P17_total</vt:lpstr>
      <vt:lpstr>WP4_SEC2_P19_total</vt:lpstr>
      <vt:lpstr>WP4_SEC2_P20_total</vt:lpstr>
      <vt:lpstr>WP4_SEC2_P23_total</vt:lpstr>
      <vt:lpstr>WP4_SEC2_P8_total</vt:lpstr>
      <vt:lpstr>WP4_SEC2_subtotal</vt:lpstr>
      <vt:lpstr>WP4_SEC3__total</vt:lpstr>
      <vt:lpstr>WP4_SEC3_CO_total</vt:lpstr>
      <vt:lpstr>WP4_SEC3_P10_total</vt:lpstr>
      <vt:lpstr>WP4_SEC3_P11_total</vt:lpstr>
      <vt:lpstr>WP4_SEC3_P12_total</vt:lpstr>
      <vt:lpstr>WP4_SEC3_P13_total</vt:lpstr>
      <vt:lpstr>WP4_SEC3_P14_total</vt:lpstr>
      <vt:lpstr>WP4_SEC3_P15_total</vt:lpstr>
      <vt:lpstr>WP4_SEC3_P16_total</vt:lpstr>
      <vt:lpstr>WP4_SEC3_P17_total</vt:lpstr>
      <vt:lpstr>WP4_SEC3_P18_total</vt:lpstr>
      <vt:lpstr>WP4_SEC3_P19_total</vt:lpstr>
      <vt:lpstr>WP4_SEC3_P2_total</vt:lpstr>
      <vt:lpstr>WP4_SEC3_P20_total</vt:lpstr>
      <vt:lpstr>WP4_SEC3_P21_total</vt:lpstr>
      <vt:lpstr>WP4_SEC3_P22_total</vt:lpstr>
      <vt:lpstr>WP4_SEC3_P23_total</vt:lpstr>
      <vt:lpstr>WP4_SEC3_P24_total</vt:lpstr>
      <vt:lpstr>WP4_SEC3_P25_total</vt:lpstr>
      <vt:lpstr>WP4_SEC3_P27_total</vt:lpstr>
      <vt:lpstr>WP4_SEC3_P3_total</vt:lpstr>
      <vt:lpstr>WP4_SEC3_P4_total</vt:lpstr>
      <vt:lpstr>WP4_SEC3_P5_total</vt:lpstr>
      <vt:lpstr>WP4_SEC3_P6_total</vt:lpstr>
      <vt:lpstr>WP4_SEC3_P7_total</vt:lpstr>
      <vt:lpstr>WP4_SEC3_P8_total</vt:lpstr>
      <vt:lpstr>WP4_SEC3_P9_total</vt:lpstr>
      <vt:lpstr>WP4_SEC3_subtotal</vt:lpstr>
      <vt:lpstr>WP4_SEC4__total</vt:lpstr>
      <vt:lpstr>WP4_SEC4_subtotal</vt:lpstr>
      <vt:lpstr>WP4_SEC5__total</vt:lpstr>
      <vt:lpstr>WP4_SEC5_P14_total</vt:lpstr>
      <vt:lpstr>WP4_SEC5_P16_total</vt:lpstr>
      <vt:lpstr>WP4_SEC5_P17_total</vt:lpstr>
      <vt:lpstr>WP4_SEC5_P19_total</vt:lpstr>
      <vt:lpstr>WP4_SEC5_P2_total</vt:lpstr>
      <vt:lpstr>WP4_SEC5_P20_total</vt:lpstr>
      <vt:lpstr>WP4_SEC5_P23_total</vt:lpstr>
      <vt:lpstr>WP4_SEC5_P3_total</vt:lpstr>
      <vt:lpstr>WP4_SEC5_P6_total</vt:lpstr>
      <vt:lpstr>WP4_SEC5_P8_total</vt:lpstr>
      <vt:lpstr>WP4_SEC5_subtotal</vt:lpstr>
      <vt:lpstr>WP5_SEC1__total</vt:lpstr>
      <vt:lpstr>WP5_SEC1_CO_total</vt:lpstr>
      <vt:lpstr>WP5_SEC1_P10_total</vt:lpstr>
      <vt:lpstr>WP5_SEC1_P11_total</vt:lpstr>
      <vt:lpstr>WP5_SEC1_P12_total</vt:lpstr>
      <vt:lpstr>WP5_SEC1_P13_total</vt:lpstr>
      <vt:lpstr>WP5_SEC1_P14_total</vt:lpstr>
      <vt:lpstr>WP5_SEC1_P15_total</vt:lpstr>
      <vt:lpstr>WP5_SEC1_P16_total</vt:lpstr>
      <vt:lpstr>WP5_SEC1_P17_total</vt:lpstr>
      <vt:lpstr>WP5_SEC1_P18_total</vt:lpstr>
      <vt:lpstr>WP5_SEC1_P19_total</vt:lpstr>
      <vt:lpstr>WP5_SEC1_P2_total</vt:lpstr>
      <vt:lpstr>WP5_SEC1_P20_total</vt:lpstr>
      <vt:lpstr>WP5_SEC1_P21_total</vt:lpstr>
      <vt:lpstr>WP5_SEC1_P22_total</vt:lpstr>
      <vt:lpstr>WP5_SEC1_P23_total</vt:lpstr>
      <vt:lpstr>WP5_SEC1_P24_total</vt:lpstr>
      <vt:lpstr>WP5_SEC1_P25_total</vt:lpstr>
      <vt:lpstr>WP5_SEC1_P26_total</vt:lpstr>
      <vt:lpstr>WP5_SEC1_P27_total</vt:lpstr>
      <vt:lpstr>WP5_SEC1_P3_total</vt:lpstr>
      <vt:lpstr>WP5_SEC1_P4_total</vt:lpstr>
      <vt:lpstr>WP5_SEC1_P5_total</vt:lpstr>
      <vt:lpstr>WP5_SEC1_P6_total</vt:lpstr>
      <vt:lpstr>WP5_SEC1_P7_total</vt:lpstr>
      <vt:lpstr>WP5_SEC1_P8_total</vt:lpstr>
      <vt:lpstr>WP5_SEC1_P9_total</vt:lpstr>
      <vt:lpstr>WP5_SEC1_subtotal</vt:lpstr>
      <vt:lpstr>WP5_SEC2__total</vt:lpstr>
      <vt:lpstr>WP5_SEC2_P10_total</vt:lpstr>
      <vt:lpstr>WP5_SEC2_P11_total</vt:lpstr>
      <vt:lpstr>WP5_SEC2_P15_total</vt:lpstr>
      <vt:lpstr>WP5_SEC2_P16_total</vt:lpstr>
      <vt:lpstr>WP5_SEC2_P18_total</vt:lpstr>
      <vt:lpstr>WP5_SEC2_P21_total</vt:lpstr>
      <vt:lpstr>WP5_SEC2_P22_total</vt:lpstr>
      <vt:lpstr>WP5_SEC2_P24_total</vt:lpstr>
      <vt:lpstr>WP5_SEC2_P25_total</vt:lpstr>
      <vt:lpstr>WP5_SEC2_P27_total</vt:lpstr>
      <vt:lpstr>WP5_SEC2_P3_total</vt:lpstr>
      <vt:lpstr>WP5_SEC2_P6_total</vt:lpstr>
      <vt:lpstr>WP5_SEC2_P8_total</vt:lpstr>
      <vt:lpstr>WP5_SEC2_subtotal</vt:lpstr>
      <vt:lpstr>WP5_SEC3__total</vt:lpstr>
      <vt:lpstr>WP5_SEC3_CO_total</vt:lpstr>
      <vt:lpstr>WP5_SEC3_P10_total</vt:lpstr>
      <vt:lpstr>WP5_SEC3_P11_total</vt:lpstr>
      <vt:lpstr>WP5_SEC3_P12_total</vt:lpstr>
      <vt:lpstr>WP5_SEC3_P13_total</vt:lpstr>
      <vt:lpstr>WP5_SEC3_P14_total</vt:lpstr>
      <vt:lpstr>WP5_SEC3_P15_total</vt:lpstr>
      <vt:lpstr>WP5_SEC3_P16_total</vt:lpstr>
      <vt:lpstr>WP5_SEC3_P17_total</vt:lpstr>
      <vt:lpstr>WP5_SEC3_P18_total</vt:lpstr>
      <vt:lpstr>WP5_SEC3_P19_total</vt:lpstr>
      <vt:lpstr>WP5_SEC3_P2_total</vt:lpstr>
      <vt:lpstr>WP5_SEC3_P20_total</vt:lpstr>
      <vt:lpstr>WP5_SEC3_P21_total</vt:lpstr>
      <vt:lpstr>WP5_SEC3_P22_total</vt:lpstr>
      <vt:lpstr>WP5_SEC3_P23_total</vt:lpstr>
      <vt:lpstr>WP5_SEC3_P24_total</vt:lpstr>
      <vt:lpstr>WP5_SEC3_P25_total</vt:lpstr>
      <vt:lpstr>WP5_SEC3_P26_total</vt:lpstr>
      <vt:lpstr>WP5_SEC3_P27_total</vt:lpstr>
      <vt:lpstr>WP5_SEC3_P3_total</vt:lpstr>
      <vt:lpstr>WP5_SEC3_P4_total</vt:lpstr>
      <vt:lpstr>WP5_SEC3_P5_total</vt:lpstr>
      <vt:lpstr>WP5_SEC3_P6_total</vt:lpstr>
      <vt:lpstr>WP5_SEC3_P7_total</vt:lpstr>
      <vt:lpstr>WP5_SEC3_P8_total</vt:lpstr>
      <vt:lpstr>WP5_SEC3_P9_total</vt:lpstr>
      <vt:lpstr>WP5_SEC3_subtotal</vt:lpstr>
      <vt:lpstr>WP5_SEC4__total</vt:lpstr>
      <vt:lpstr>WP5_SEC4_subtotal</vt:lpstr>
      <vt:lpstr>WP5_SEC5__total</vt:lpstr>
      <vt:lpstr>WP5_SEC5_P12_total</vt:lpstr>
      <vt:lpstr>WP5_SEC5_P15_total</vt:lpstr>
      <vt:lpstr>WP5_SEC5_P16_total</vt:lpstr>
      <vt:lpstr>WP5_SEC5_P18_total</vt:lpstr>
      <vt:lpstr>WP5_SEC5_P21_total</vt:lpstr>
      <vt:lpstr>WP5_SEC5_P22_total</vt:lpstr>
      <vt:lpstr>WP5_SEC5_P24_total</vt:lpstr>
      <vt:lpstr>WP5_SEC5_P25_total</vt:lpstr>
      <vt:lpstr>WP5_SEC5_P27_total</vt:lpstr>
      <vt:lpstr>WP5_SEC5_P8_total</vt:lpstr>
      <vt:lpstr>WP5_SEC5_subtotal</vt:lpstr>
      <vt:lpstr>WP6_SEC1__total</vt:lpstr>
      <vt:lpstr>WP6_SEC1_CO_total</vt:lpstr>
      <vt:lpstr>WP6_SEC1_P10_total</vt:lpstr>
      <vt:lpstr>WP6_SEC1_P11_total</vt:lpstr>
      <vt:lpstr>WP6_SEC1_P12_total</vt:lpstr>
      <vt:lpstr>WP6_SEC1_P13_total</vt:lpstr>
      <vt:lpstr>WP6_SEC1_P14_total</vt:lpstr>
      <vt:lpstr>WP6_SEC1_P15_total</vt:lpstr>
      <vt:lpstr>WP6_SEC1_P16_total</vt:lpstr>
      <vt:lpstr>WP6_SEC1_P17_total</vt:lpstr>
      <vt:lpstr>WP6_SEC1_P18_total</vt:lpstr>
      <vt:lpstr>WP6_SEC1_P19_total</vt:lpstr>
      <vt:lpstr>WP6_SEC1_P2_total</vt:lpstr>
      <vt:lpstr>WP6_SEC1_P20_total</vt:lpstr>
      <vt:lpstr>WP6_SEC1_P21_total</vt:lpstr>
      <vt:lpstr>WP6_SEC1_P22_total</vt:lpstr>
      <vt:lpstr>WP6_SEC1_P23_total</vt:lpstr>
      <vt:lpstr>WP6_SEC1_P24_total</vt:lpstr>
      <vt:lpstr>WP6_SEC1_P25_total</vt:lpstr>
      <vt:lpstr>WP6_SEC1_P26_total</vt:lpstr>
      <vt:lpstr>WP6_SEC1_P27_total</vt:lpstr>
      <vt:lpstr>WP6_SEC1_P3_total</vt:lpstr>
      <vt:lpstr>WP6_SEC1_P4_total</vt:lpstr>
      <vt:lpstr>WP6_SEC1_P5_total</vt:lpstr>
      <vt:lpstr>WP6_SEC1_P6_total</vt:lpstr>
      <vt:lpstr>WP6_SEC1_P7_total</vt:lpstr>
      <vt:lpstr>WP6_SEC1_P8_total</vt:lpstr>
      <vt:lpstr>WP6_SEC1_P9_total</vt:lpstr>
      <vt:lpstr>WP6_SEC1_subtotal</vt:lpstr>
      <vt:lpstr>WP6_SEC2__total</vt:lpstr>
      <vt:lpstr>WP6_SEC2_P6_total</vt:lpstr>
      <vt:lpstr>WP6_SEC2_subtotal</vt:lpstr>
      <vt:lpstr>WP6_SEC3__total</vt:lpstr>
      <vt:lpstr>WP6_SEC3_CO_total</vt:lpstr>
      <vt:lpstr>WP6_SEC3_P10_total</vt:lpstr>
      <vt:lpstr>WP6_SEC3_P11_total</vt:lpstr>
      <vt:lpstr>WP6_SEC3_P12_total</vt:lpstr>
      <vt:lpstr>WP6_SEC3_P13_total</vt:lpstr>
      <vt:lpstr>WP6_SEC3_P14_total</vt:lpstr>
      <vt:lpstr>WP6_SEC3_P15_total</vt:lpstr>
      <vt:lpstr>WP6_SEC3_P16_total</vt:lpstr>
      <vt:lpstr>WP6_SEC3_P17_total</vt:lpstr>
      <vt:lpstr>WP6_SEC3_P18_total</vt:lpstr>
      <vt:lpstr>WP6_SEC3_P19_total</vt:lpstr>
      <vt:lpstr>WP6_SEC3_P2_total</vt:lpstr>
      <vt:lpstr>WP6_SEC3_P20_total</vt:lpstr>
      <vt:lpstr>WP6_SEC3_P21_total</vt:lpstr>
      <vt:lpstr>WP6_SEC3_P22_total</vt:lpstr>
      <vt:lpstr>WP6_SEC3_P23_total</vt:lpstr>
      <vt:lpstr>WP6_SEC3_P24_total</vt:lpstr>
      <vt:lpstr>WP6_SEC3_P25_total</vt:lpstr>
      <vt:lpstr>WP6_SEC3_P26_total</vt:lpstr>
      <vt:lpstr>WP6_SEC3_P27_total</vt:lpstr>
      <vt:lpstr>WP6_SEC3_P3_total</vt:lpstr>
      <vt:lpstr>WP6_SEC3_P4_total</vt:lpstr>
      <vt:lpstr>WP6_SEC3_P5_total</vt:lpstr>
      <vt:lpstr>WP6_SEC3_P6_total</vt:lpstr>
      <vt:lpstr>WP6_SEC3_P7_total</vt:lpstr>
      <vt:lpstr>WP6_SEC3_P8_total</vt:lpstr>
      <vt:lpstr>WP6_SEC3_P9_total</vt:lpstr>
      <vt:lpstr>WP6_SEC3_subtotal</vt:lpstr>
      <vt:lpstr>WP6_SEC4__total</vt:lpstr>
      <vt:lpstr>WP6_SEC4_subtotal</vt:lpstr>
      <vt:lpstr>WP6_SEC5__total</vt:lpstr>
      <vt:lpstr>WP6_SEC5_CO_total</vt:lpstr>
      <vt:lpstr>WP6_SEC5_P10_total</vt:lpstr>
      <vt:lpstr>WP6_SEC5_P16_total</vt:lpstr>
      <vt:lpstr>WP6_SEC5_subtotal</vt:lpstr>
      <vt:lpstr>WP7_SEC1__total</vt:lpstr>
      <vt:lpstr>WP7_SEC1_CO_total</vt:lpstr>
      <vt:lpstr>WP7_SEC1_P10_total</vt:lpstr>
      <vt:lpstr>WP7_SEC1_P11_total</vt:lpstr>
      <vt:lpstr>WP7_SEC1_P12_total</vt:lpstr>
      <vt:lpstr>WP7_SEC1_P13_total</vt:lpstr>
      <vt:lpstr>WP7_SEC1_P2_total</vt:lpstr>
      <vt:lpstr>WP7_SEC1_P3_total</vt:lpstr>
      <vt:lpstr>WP7_SEC1_P4_total</vt:lpstr>
      <vt:lpstr>WP7_SEC1_P5_total</vt:lpstr>
      <vt:lpstr>WP7_SEC1_P6_total</vt:lpstr>
      <vt:lpstr>WP7_SEC1_P7_total</vt:lpstr>
      <vt:lpstr>WP7_SEC1_P8_total</vt:lpstr>
      <vt:lpstr>WP7_SEC1_P9_total</vt:lpstr>
      <vt:lpstr>WP7_SEC1_subtotal</vt:lpstr>
      <vt:lpstr>WP7_SEC2__total</vt:lpstr>
      <vt:lpstr>WP7_SEC2_CO_total</vt:lpstr>
      <vt:lpstr>WP7_SEC2_subtotal</vt:lpstr>
      <vt:lpstr>WP7_SEC3__total</vt:lpstr>
      <vt:lpstr>WP7_SEC3_CO_total</vt:lpstr>
      <vt:lpstr>WP7_SEC3_P10_total</vt:lpstr>
      <vt:lpstr>WP7_SEC3_P11_total</vt:lpstr>
      <vt:lpstr>WP7_SEC3_P12_total</vt:lpstr>
      <vt:lpstr>WP7_SEC3_P13_total</vt:lpstr>
      <vt:lpstr>WP7_SEC3_P2_total</vt:lpstr>
      <vt:lpstr>WP7_SEC3_P3_total</vt:lpstr>
      <vt:lpstr>WP7_SEC3_P4_total</vt:lpstr>
      <vt:lpstr>WP7_SEC3_P5_total</vt:lpstr>
      <vt:lpstr>WP7_SEC3_P6_total</vt:lpstr>
      <vt:lpstr>WP7_SEC3_P7_total</vt:lpstr>
      <vt:lpstr>WP7_SEC3_P8_total</vt:lpstr>
      <vt:lpstr>WP7_SEC3_P9_total</vt:lpstr>
      <vt:lpstr>WP7_SEC3_subtotal</vt:lpstr>
      <vt:lpstr>WP7_SEC4__total</vt:lpstr>
      <vt:lpstr>WP7_SEC4_subtotal</vt:lpstr>
      <vt:lpstr>WP7_SEC5__total</vt:lpstr>
      <vt:lpstr>WP7_SEC5_CO_total</vt:lpstr>
      <vt:lpstr>WP7_SEC5_P10_total</vt:lpstr>
      <vt:lpstr>WP7_SEC5_P11_total</vt:lpstr>
      <vt:lpstr>WP7_SEC5_P12_total</vt:lpstr>
      <vt:lpstr>WP7_SEC5_P13_total</vt:lpstr>
      <vt:lpstr>WP7_SEC5_P2_total</vt:lpstr>
      <vt:lpstr>WP7_SEC5_P5_total</vt:lpstr>
      <vt:lpstr>WP7_SEC5_P7_total</vt:lpstr>
      <vt:lpstr>WP7_SEC5_P8_total</vt:lpstr>
      <vt:lpstr>WP7_SEC5_P9_total</vt:lpstr>
      <vt:lpstr>WP7_SEC5_subtotal</vt:lpstr>
      <vt:lpstr>WP8_SEC1__total</vt:lpstr>
      <vt:lpstr>WP8_SEC1_CO_total</vt:lpstr>
      <vt:lpstr>WP8_SEC1_subtotal</vt:lpstr>
      <vt:lpstr>WP8_SEC2__total</vt:lpstr>
      <vt:lpstr>WP8_SEC2_subtotal</vt:lpstr>
      <vt:lpstr>WP8_SEC3__total</vt:lpstr>
      <vt:lpstr>WP8_SEC3_CO_total</vt:lpstr>
      <vt:lpstr>WP8_SEC3_subtotal</vt:lpstr>
      <vt:lpstr>WP8_SEC4__total</vt:lpstr>
      <vt:lpstr>WP8_SEC4_subtotal</vt:lpstr>
      <vt:lpstr>WP8_SEC5__total</vt:lpstr>
      <vt:lpstr>WP8_SEC5_subtotal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Heidrun Fammler</dc:creator>
  <cp:lastModifiedBy>Skaidre Raudyte</cp:lastModifiedBy>
  <cp:lastPrinted>2012-05-07T17:55:15Z</cp:lastPrinted>
  <dcterms:created xsi:type="dcterms:W3CDTF">2006-07-18T09:33:12Z</dcterms:created>
  <dcterms:modified xsi:type="dcterms:W3CDTF">2012-05-14T09:00:07Z</dcterms:modified>
</cp:coreProperties>
</file>