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9200" windowHeight="11640" tabRatio="656" activeTab="0"/>
  </bookViews>
  <sheets>
    <sheet name="1 lentelė" sheetId="1" r:id="rId1"/>
    <sheet name="bendras lėšų poreikis" sheetId="2" r:id="rId2"/>
    <sheet name="vertinimo kriterijai" sheetId="3" r:id="rId3"/>
    <sheet name="Aiškinamoji lentelė" sheetId="4" r:id="rId4"/>
  </sheets>
  <definedNames>
    <definedName name="_xlnm.Print_Area" localSheetId="0">'1 lentelė'!$A$1:$V$159</definedName>
    <definedName name="_xlnm.Print_Titles" localSheetId="0">'1 lentelė'!$5:$7</definedName>
  </definedNames>
  <calcPr fullCalcOnLoad="1"/>
</workbook>
</file>

<file path=xl/sharedStrings.xml><?xml version="1.0" encoding="utf-8"?>
<sst xmlns="http://schemas.openxmlformats.org/spreadsheetml/2006/main" count="1090" uniqueCount="291">
  <si>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</si>
  <si>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</si>
  <si>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</si>
  <si>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</si>
  <si>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</si>
  <si>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</si>
  <si>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</si>
  <si>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</si>
  <si>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</si>
  <si>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</si>
  <si>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</si>
  <si>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</si>
  <si>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</si>
  <si>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06</t>
  </si>
  <si>
    <t>07</t>
  </si>
  <si>
    <t>08</t>
  </si>
  <si>
    <t>10</t>
  </si>
  <si>
    <t>12</t>
  </si>
  <si>
    <t>ES</t>
  </si>
  <si>
    <t>Iš viso uždaviniui:</t>
  </si>
  <si>
    <t>Iš viso:</t>
  </si>
  <si>
    <t>Iš viso tikslui:</t>
  </si>
  <si>
    <t>I</t>
  </si>
  <si>
    <t>Ekonominės klasifikacijos grupės</t>
  </si>
  <si>
    <t>1.2. turtui įsigyti ir finansiniams įsipareigojimams vykdyti</t>
  </si>
  <si>
    <t>KVJUD</t>
  </si>
  <si>
    <t>Joniškės g. rekonstrukcija (I etapas)</t>
  </si>
  <si>
    <t xml:space="preserve">Iš viso programai: </t>
  </si>
  <si>
    <t>Finansavimo šaltiniai</t>
  </si>
  <si>
    <t>Atlikti kasmetinius miesto susisiekimo infrastruktūros objektų priežiūros ir įrengimo darbus</t>
  </si>
  <si>
    <t>Kt</t>
  </si>
  <si>
    <t>06 Susisiekimo sistemos priežiūros ir plėtros programa</t>
  </si>
  <si>
    <t>tūkst. Lt</t>
  </si>
  <si>
    <t>SAVIVALDYBĖS  LĖŠOS, IŠ VISO:</t>
  </si>
  <si>
    <t>KITI ŠALTINIAI, IŠ VISO:</t>
  </si>
  <si>
    <t>IŠ VISO:</t>
  </si>
  <si>
    <t>Finansavimo šaltinių suvestinė</t>
  </si>
  <si>
    <t xml:space="preserve">Didinti gatvių tinklo pralaidumą ir užtikrinti jų tankumą </t>
  </si>
  <si>
    <t>05</t>
  </si>
  <si>
    <t>09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</si>
  <si>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</si>
  <si>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</si>
  <si>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</si>
  <si>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</si>
  <si>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</si>
  <si>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</si>
  <si>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1 lentelės tęsinys</t>
  </si>
  <si>
    <t>Pavadinimas</t>
  </si>
  <si>
    <t xml:space="preserve">Rekonstruoti ir tiesti gatves </t>
  </si>
  <si>
    <t xml:space="preserve">Vystyti Klaipėdos pramoninės plėtros teritorijos susisiekimo infrastruktūrą   </t>
  </si>
  <si>
    <t>Pietinės jungties tarp Klaipėdos valstybinio jūrų uosto ir IX B transporto koridoriaus techninės dokumentacijos parengimas</t>
  </si>
  <si>
    <t xml:space="preserve">  </t>
  </si>
  <si>
    <t>11</t>
  </si>
  <si>
    <t>KPP</t>
  </si>
  <si>
    <t>Miesto autobusų parko atnaujinimas</t>
  </si>
  <si>
    <t>Automatinės eismo priežiūros prietaisų nuoma</t>
  </si>
  <si>
    <t>Toponuotraukų, išpildomųjų geodezinių nuotraukų įsigijimas, projektų ekspertizė, autorinė ir techninė priežiūra</t>
  </si>
  <si>
    <t xml:space="preserve">Programos (Nr. 06) lėšų poreikis ir numatomi finansavimo šaltiniai      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</si>
  <si>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</si>
  <si>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</si>
  <si>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</si>
  <si>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</si>
  <si>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</si>
  <si>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</si>
  <si>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</si>
  <si>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Mato vienetas</t>
  </si>
  <si>
    <t>Rezultato:</t>
  </si>
  <si>
    <t>1-ajam programos tikslui</t>
  </si>
  <si>
    <t>Produkto:</t>
  </si>
  <si>
    <t>1-ajam uždaviniui</t>
  </si>
  <si>
    <t>2-ajam uždaviniui</t>
  </si>
  <si>
    <t>4-ajam uždaviniui</t>
  </si>
  <si>
    <t>KURTI MIESTE PATRAUKLIĄ, ŠVARIĄ IR SAUGIĄ GYVENAMĄJĄ APLINKĄ</t>
  </si>
  <si>
    <t>KLAIPĖDOS MIESTO SAVIVALDYBĖS SUSISIEKIMO SISTEMOS PRIEŽIŪROS IR PLĖTROS PROGRAMA</t>
  </si>
  <si>
    <t>R-06-01-01</t>
  </si>
  <si>
    <t>R-06-01-02</t>
  </si>
  <si>
    <t>Įgyvendinamas įstaigos strateginio tikslo kodas, programos kodas</t>
  </si>
  <si>
    <t>P-06-01-04-01</t>
  </si>
  <si>
    <t>P-06-01-01-01</t>
  </si>
  <si>
    <t>P-06-01-02-01</t>
  </si>
  <si>
    <t>P-06-01-03-01</t>
  </si>
  <si>
    <t>P-06-01-03-04</t>
  </si>
  <si>
    <t>P-06-01-03-05</t>
  </si>
  <si>
    <t>P-06-01-04-02</t>
  </si>
  <si>
    <t>02.06</t>
  </si>
  <si>
    <t>R-06-01-03</t>
  </si>
  <si>
    <t>P-06-01-01-02</t>
  </si>
  <si>
    <t>P-06-01-01-03</t>
  </si>
  <si>
    <t>1. Rekonstruota ir nutiesta gatvių Klaipėdos LEZ teritorijoje, m</t>
  </si>
  <si>
    <t>P-06-01-04-03</t>
  </si>
  <si>
    <t>P-06-01-04-04</t>
  </si>
  <si>
    <t>P-06-01-04-05</t>
  </si>
  <si>
    <t>P-06-01-04-06</t>
  </si>
  <si>
    <t>P-06-01-04-07</t>
  </si>
  <si>
    <t>P-06-01-04-08</t>
  </si>
  <si>
    <t>P-06-01-04-09</t>
  </si>
  <si>
    <t>6. Suremontuota šaligatvių, tūkst. kv. m</t>
  </si>
  <si>
    <t>9. Įrengta greičio slopinimo kalnelių, m</t>
  </si>
  <si>
    <t>10. Atnaujinta šviesoforų sankryžų, vnt.</t>
  </si>
  <si>
    <t>11. Įrengta informacinių kelio ženklų, vnt.</t>
  </si>
  <si>
    <t>P-06-01-04-10</t>
  </si>
  <si>
    <t>R-06-01-04</t>
  </si>
  <si>
    <t>1.2. Gatvių tankis, km/kv. km</t>
  </si>
  <si>
    <t>Savanorių g. ruožo tiesimas</t>
  </si>
  <si>
    <t>Pamario gatvės rekonstrukcija</t>
  </si>
  <si>
    <t>1. Nutiesta gatvių mieste, m</t>
  </si>
  <si>
    <t>2. Rekonstruota gatvių mieste, m</t>
  </si>
  <si>
    <t>3. Rekonstruota sankryžų, sk.</t>
  </si>
  <si>
    <t>P-06-01-03-02</t>
  </si>
  <si>
    <t>P-06-01-03-06</t>
  </si>
  <si>
    <t>LRVB</t>
  </si>
  <si>
    <r>
      <t xml:space="preserve">2.2.4. Klaipėdos valstybinio jūrų uosto direkcijos lėšos </t>
    </r>
    <r>
      <rPr>
        <b/>
        <sz val="10"/>
        <rFont val="Times New Roman"/>
        <family val="1"/>
      </rPr>
      <t>KVJUD</t>
    </r>
  </si>
  <si>
    <t>3. Patikrinta viešojo transporto priemonių, vnt./mėn.</t>
  </si>
  <si>
    <t>5. Parduota lengvatinių bilietų, tūkst. vnt.</t>
  </si>
  <si>
    <t>6. Išmokėta kompensacijų moksleiviams, tūkst. vnt.</t>
  </si>
  <si>
    <t>Strateginis tikslas 02. Kurti mieste patrauklią, švarią ir saugią gyvenamąją aplinką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</si>
  <si>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</si>
  <si>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2.2.3. Kelių priežiūros ir plėtros programos lėšos </t>
    </r>
    <r>
      <rPr>
        <b/>
        <sz val="10"/>
        <rFont val="Times New Roman"/>
        <family val="1"/>
      </rPr>
      <t>KPP</t>
    </r>
  </si>
  <si>
    <t>1. Įrengta ištisinio asfaltbetonio dangos,  tūkst. kv. m</t>
  </si>
  <si>
    <t>2. Suremontuota asfaltbetonio dangos duobių miesto gatvėse, tūkst. kv. m</t>
  </si>
  <si>
    <t xml:space="preserve">4. Suremontuota gatvių grindinės dangos iš akmenų, tūkst. kv. m </t>
  </si>
  <si>
    <t>8. Suženklinta gatvių termoplastu ir dažais, tūkst. kv. m</t>
  </si>
  <si>
    <t>1.1. Gatvių su asfalto danga ilgis, palyginti su bendru gatvių ilgiu, proc.</t>
  </si>
  <si>
    <t>3-iajam uždaviniui</t>
  </si>
  <si>
    <t>7. Įrengta automobilių stovėjimo vietų</t>
  </si>
  <si>
    <t>P-06-01-04-11</t>
  </si>
  <si>
    <t>Turtui įsigyti ir finansiniams įsipareigojimams vykdyti</t>
  </si>
  <si>
    <t>Iš jų darbo užmokesčiui</t>
  </si>
  <si>
    <t>P-06-01-04-13</t>
  </si>
  <si>
    <t>P-06-01-03-03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</si>
  <si>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</si>
  <si>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Projektas 2013-iesiems metams</t>
  </si>
  <si>
    <t>Vandens kelias E 70: kelias į sėkmingą pasienio bedradarbiavimą (PEARL). Techninių projektų parengimas:</t>
  </si>
  <si>
    <t>2013-ųjų metų planas</t>
  </si>
  <si>
    <t>P2.1.2.11</t>
  </si>
  <si>
    <t>P2.1.3.5.</t>
  </si>
  <si>
    <t>P2.1.2.12</t>
  </si>
  <si>
    <t>P1.2.1.1</t>
  </si>
  <si>
    <t>P3.1.1.2.</t>
  </si>
  <si>
    <t>P2.1.2.1.</t>
  </si>
  <si>
    <t>P2.1.2.7</t>
  </si>
  <si>
    <t>P2.1.2.6</t>
  </si>
  <si>
    <t xml:space="preserve">P2.1.2.6 </t>
  </si>
  <si>
    <t xml:space="preserve">P2.1.2.6. </t>
  </si>
  <si>
    <t>4. Integruotų maršrutų skaičius, vnt.</t>
  </si>
  <si>
    <t>5</t>
  </si>
  <si>
    <t>6</t>
  </si>
  <si>
    <t>Ištisinio asfaltbetonio dangos įrengimas miesto gatvėse, medžiagų tyrimas ir kontroliniai bandymai</t>
  </si>
  <si>
    <t>Tiltų ir kelio statinių priežiūra</t>
  </si>
  <si>
    <t>Asignavimai biudžetiniams 
2011-iesiems metams</t>
  </si>
  <si>
    <t>Tilžės g. nuo Šilutės pl. rekonstrukcija, pertvarkant geležinkelio pervažą bei žiedinę Mokyklos g. ir Šilutės pl. sankryžą</t>
  </si>
  <si>
    <t>3. Prieigų prie Pilies uosto sutvarkymas ir teritorijos atlaisvinimas pramoginių ir mažųjų laivų laikymui žiemos metu (elektros transformatorinės ir nuotekų siurblinės iškėlimas)</t>
  </si>
  <si>
    <t>Automobilių laikymo aikštelės (garažo) statybos Pilies g. 6A projekto parengimas</t>
  </si>
  <si>
    <t>Projekto „Gatvių infrastruktūros sukūrimas Klaipėdos daugiafunkcinio sporto ir pramogų komplekso teritorijoje (Dubysos g. atkarpos nuo Taikos pr. iki Minijos g. rekonstrukcija)“ įgyvendinimas</t>
  </si>
  <si>
    <t>Projekto „Gatvių infrastruktūros sukūrimas Klaipėdos daugiafunkcinio sporto ir pramogų komplekso teritorijoje (Merkio g., I-os aptarnaujančios g. ir II-os aptarnaujančios g. tiesimas)“ įgyvendinimas</t>
  </si>
  <si>
    <t>Asignavimų poreikis biudžetiniams 2012-iesiems metams</t>
  </si>
  <si>
    <t>2012-ųjų metų asignavimų planas</t>
  </si>
  <si>
    <t>P.2.1.3.9.</t>
  </si>
  <si>
    <t>Pėsčiųjų, šaligatvių bei privažiavimo kelių remonto bei įrengimo darbai, automobilių stovėjimo vietų įrengimas</t>
  </si>
  <si>
    <t>Projektas 2014-iesiems metams</t>
  </si>
  <si>
    <t>Centrinės miesto dalies gatvių tinklo modernizavimas:</t>
  </si>
  <si>
    <t>Šiaurinės miesto dalies gatvių tinklo modernizavimas:</t>
  </si>
  <si>
    <t>Pajūrio rekreacinių teritorijų gatvių tinklo modernizavimas:</t>
  </si>
  <si>
    <t>P 2.1.2.4.</t>
  </si>
  <si>
    <t>Tiltų ir viadukų modernizavimas:</t>
  </si>
  <si>
    <t>2013-ųjų metų lėšų projektas</t>
  </si>
  <si>
    <t>2014-ųjų metų lėšų projektas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</si>
  <si>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</si>
  <si>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</si>
  <si>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</si>
  <si>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</si>
  <si>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Kelių priežiūros ir plėtros programos lėšos </t>
    </r>
    <r>
      <rPr>
        <b/>
        <sz val="10"/>
        <rFont val="Times New Roman"/>
        <family val="1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</si>
  <si>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</si>
  <si>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</si>
  <si>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Viešojo transporto paslaugų organizavimas:</t>
  </si>
  <si>
    <t>Studijų atlikimas:</t>
  </si>
  <si>
    <t>Automobilių stovėjimo aikštelių daugiabučių namų kvartaluose partnerystės projekto galimybių studija</t>
  </si>
  <si>
    <t>Regioninė galimybių studija „Vakarų krantas“</t>
  </si>
  <si>
    <t>Lėšų poreikis biudžetiniams 
2012-iesiems metams</t>
  </si>
  <si>
    <t>Mokamo automobilių stovėjimo sistemos išlaikymas</t>
  </si>
  <si>
    <t xml:space="preserve"> Užtikrinti patogios viešojo transporto sistemos funkcionavimą </t>
  </si>
  <si>
    <t>Diegti eismo srautų reguliavimo ir saugumo priemones</t>
  </si>
  <si>
    <t>Eismo reguliavimo priemonių įrengimas, remontas, priežiūra, informacinės kelio ženklų sistemos įrengimas, ekspertizių atlikimas</t>
  </si>
  <si>
    <t>1</t>
  </si>
  <si>
    <t>Klaipėdos miesto visuomeninio transporto sektoriaus tyrimas</t>
  </si>
  <si>
    <t>Pajūrio g. rekonstrukcija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</si>
  <si>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</si>
  <si>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</si>
  <si>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Asfaltbetonio dangos, žvyruotos dangos ir akmenimis grįstų gatvių bei daugiabučių namų kiemų dangos remontas</t>
  </si>
  <si>
    <t>Automobilių stovėjimo aikštelės teritorijoje, esančioje prie pastato Pilies g, 4, įrengimas</t>
  </si>
  <si>
    <r>
      <t xml:space="preserve">2.1.1.1. </t>
    </r>
    <r>
      <rPr>
        <sz val="10"/>
        <rFont val="Times New Roman"/>
        <family val="1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</si>
  <si>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2.1.1.2. paskolos lėšos </t>
    </r>
    <r>
      <rPr>
        <b/>
        <sz val="10"/>
        <rFont val="Times New Roman"/>
        <family val="1"/>
      </rPr>
      <t>SB(P)</t>
    </r>
  </si>
  <si>
    <r>
      <t>2.2.2. V</t>
    </r>
    <r>
      <rPr>
        <sz val="10"/>
        <rFont val="Times New Roman"/>
        <family val="1"/>
      </rPr>
      <t>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</si>
  <si>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r>
      <t xml:space="preserve">2.2.5. Kiti finansavimo šaltiniai </t>
    </r>
    <r>
      <rPr>
        <b/>
        <sz val="10"/>
        <rFont val="Times New Roman"/>
        <family val="1"/>
      </rPr>
      <t>Kt</t>
    </r>
  </si>
  <si>
    <t>2012-ųjų metų planas</t>
  </si>
  <si>
    <t>2014-ųjų metų planas</t>
  </si>
  <si>
    <t xml:space="preserve"> TIKSLŲ, UŽDAVINIŲ, PRIEMONIŲ IR PRIEMONIŲ IŠLAIDŲ SUVESTINĖ</t>
  </si>
  <si>
    <t>Šiaurės pr. - Kretingos g. sankryžos rekonstrukcija</t>
  </si>
  <si>
    <t>2010-ųjų metų faktas</t>
  </si>
  <si>
    <t>1.3. Autobusų, kurių amžius neviršija 15 metų, dalis miesto viešajame transporte, proc.</t>
  </si>
  <si>
    <t xml:space="preserve">2. Įrengta kelio ženklų, draudžiančių važiuoti į senamiesčio kiemus, vnt. </t>
  </si>
  <si>
    <t>12. Eksploatuojamų greičio matavimo prietaisų skaičius, vnt.</t>
  </si>
  <si>
    <t>3. Suremontuota asfaltbetonio dangos daugiabučių namų kiemuose, tūkst. kv. m</t>
  </si>
  <si>
    <r>
      <t xml:space="preserve">1. Eksploatuojamų </t>
    </r>
    <r>
      <rPr>
        <sz val="10"/>
        <rFont val="Times New Roman Baltic"/>
        <family val="0"/>
      </rPr>
      <t xml:space="preserve">bilietų </t>
    </r>
    <r>
      <rPr>
        <sz val="10"/>
        <rFont val="Times New Roman Baltic"/>
        <family val="0"/>
      </rPr>
      <t>automatų</t>
    </r>
    <r>
      <rPr>
        <sz val="10"/>
        <rFont val="Times New Roman Baltic"/>
        <family val="1"/>
      </rPr>
      <t xml:space="preserve"> sk.</t>
    </r>
  </si>
  <si>
    <t>5. Greideriuota žvyruotos dangos, tūkst. kv. m (5 kartus greideriuojama)</t>
  </si>
  <si>
    <t>Šviesoforais reguliuojamos sankryžos iš Butkų Juzės į S.Daukanto g. įrengimas</t>
  </si>
  <si>
    <t xml:space="preserve">J.Janonio g. dangų ir šaligatvių restauravimas;
</t>
  </si>
  <si>
    <t>Naujo įvažiavimo kelio į piliavietę ir Kruizinių laivų terminalą tiesimas;</t>
  </si>
  <si>
    <t>Daržų g. rekonstrukcija;</t>
  </si>
  <si>
    <t xml:space="preserve">Švyturio g. rekonstrukcijos projekto parengimas ir įgyvendinimas; </t>
  </si>
  <si>
    <t>Labrenciškės g. rekonstrukcija;</t>
  </si>
  <si>
    <t xml:space="preserve">Utenos g., Pakruojo g., Radviliškio g. ir Rokiškio g.  rekonstrukcija (pratęsimas iki šiaurinio išvažiavimo kelio); </t>
  </si>
  <si>
    <t>Šiaurės ir Pietų transporto koridorių gatvių tinklo modernizavimas:</t>
  </si>
  <si>
    <t>Smeltės gyvenvietės gatvių rekonstrukcija;</t>
  </si>
  <si>
    <t>Minijos g. ruožo nuo Baltijos pr. iki Jūrininkų pr. rekonstrukcija (su Rūtų g. sankryža);</t>
  </si>
  <si>
    <t>Taikos pr. nuo Sausios 15-osios g. iki Kauno g. rekonstrukcija;</t>
  </si>
  <si>
    <t xml:space="preserve">Taikos pr. II juostos tiesimas nuo Smiltelės g. iki Jūrininkų pr.; </t>
  </si>
  <si>
    <t>Šilutės plento rekonstrukcija 
(I etapas – nuo Tilžės g. iki Kauno g.; II etapas – nuo Kauno g. iki Dubysos g.);</t>
  </si>
  <si>
    <t>Kelio nuo Medelyno g. ties Labrenciškėmis iki Girulių tiesimas</t>
  </si>
  <si>
    <t>Pilies tilto per Danę kaptalinis remontas (projektas ir darbai)</t>
  </si>
  <si>
    <t>1. Bastionų gatvės tiesimo ir tilto statybos;</t>
  </si>
  <si>
    <t>2. Pilies tilto priegų sutvarkymo ir požeminių perėjų rekonstrukcijos;</t>
  </si>
  <si>
    <t>Klaipėdos LEZ susisiekimo sistemos infrastruktūros įrengimas (Švepelių g. rekonstrukcija ir geležinkelio atšakos tiesimas)</t>
  </si>
  <si>
    <t>Viešojo transporto priežiūros ir paslaugų kokybės kontroliavimas;</t>
  </si>
  <si>
    <t>Transporto kompensacijų mokėjimas;</t>
  </si>
  <si>
    <t>Viešojo transporto (autobusų ir maršrutinių taksi) integravimas;</t>
  </si>
  <si>
    <t>Nuostolingų maršrutų subsidijavimas priemiesčio maršrutus aptarnaujantiems vežėjams;</t>
  </si>
  <si>
    <t>INTERREG IVC projekto POSSE įgyvendinimas („žaliosios bangos“ sistemos sukūrimo Klaipėdos mieste galimybių analizė)</t>
  </si>
  <si>
    <t>1.4. Gatvių, kuriomis važinėja viešasis transportas, ilgis, km</t>
  </si>
  <si>
    <t>Tauralaukio gyvenvietės gatvių rekonstrukcija (bei  Tauraulaukio gatvių perpektyvinės schemos parengimas)</t>
  </si>
  <si>
    <t>1 lentelė</t>
  </si>
  <si>
    <r>
      <t xml:space="preserve"> 2011–2014 M. KLAIPĖDOS MIESTO SAVIVALDYBĖS </t>
    </r>
    <r>
      <rPr>
        <b/>
        <u val="single"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SUSISIEKIMO SISTEMOS PRIEŽIŪROS IR PLĖTROS PROGRAMOS (NR. 06)</t>
    </r>
  </si>
  <si>
    <r>
      <t xml:space="preserve"> 2010–2013 M. KLAIPĖDOS MIESTO SAVIVALDYBĖS </t>
    </r>
    <r>
      <rPr>
        <b/>
        <u val="single"/>
        <sz val="10"/>
        <rFont val="Times New Roman"/>
        <family val="1"/>
      </rPr>
      <t xml:space="preserve">
SUSISIEKIMO SISTEMOS PRIEŽIŪROS IR PLĖTROS PROGRAMOS (NR. 06)</t>
    </r>
  </si>
  <si>
    <t>TIKSLŲ, UŽDAVINIŲ, PRIEMONIŲ, PRIEMONIŲ IŠLAIDŲ IR PRODUKTŲ VERTINIMO KRITERIJŲ SUVESTINĖ</t>
  </si>
  <si>
    <t>Asignavimų poreikis biudžetiniams 
2012-iesiems metams</t>
  </si>
  <si>
    <t>2013-ųjų metų asignavimų planas</t>
  </si>
  <si>
    <t>2014-ųjų metų asignavimų planas</t>
  </si>
  <si>
    <t>J.Janonio g. dangų ir šaligatvių restauravimas</t>
  </si>
  <si>
    <t>P</t>
  </si>
  <si>
    <t>Naujo įvažiavimo kelio į Piliavietę ir kruizinių laivų terminalą statyba</t>
  </si>
  <si>
    <t>Daržų g. rekonstrukcija</t>
  </si>
  <si>
    <t>P2.1.2.1</t>
  </si>
  <si>
    <t>Šviesoforais reguliuojamos sankryžos iš Butkų Juzės į S.Daukanto g., įrengimas</t>
  </si>
  <si>
    <r>
      <t>Utenos g., Pakruojo g., Radviliškio g.</t>
    </r>
    <r>
      <rPr>
        <b/>
        <sz val="10"/>
        <rFont val="Times New Roman"/>
        <family val="1"/>
      </rPr>
      <t xml:space="preserve"> ir Rokiškio g.  rekonstrukcija (pratęsimas iki Šiaurinio išvažiavimo) </t>
    </r>
  </si>
  <si>
    <t>Švyturio g. rekonstrukcijos projekto parengimas ir įgyvendinimas (I etapas - 500m. Ruožo nauja statyba)</t>
  </si>
  <si>
    <t>Labrenciškės g. rekonstrukcija</t>
  </si>
  <si>
    <t>P2.1.2.3</t>
  </si>
  <si>
    <t>Tauralaukio gyvenvietės gatvių rekonstrukcija</t>
  </si>
  <si>
    <t>Smeltės gyvenvietės gatvių rekonstrukcija</t>
  </si>
  <si>
    <t>Minijos g. atkarpos nuo Baltijos pr. iki Jūrininkų pr. rekonstrukcija (su Rūtų g. sankryža)</t>
  </si>
  <si>
    <t xml:space="preserve">P2.1.2.4. </t>
  </si>
  <si>
    <t>Taikos pr. nuo Sausios 15-osios g. iki Kauno g. rekonstrukcija</t>
  </si>
  <si>
    <t>P2.1.2.4</t>
  </si>
  <si>
    <t xml:space="preserve">Taikos pr. II juostos tiesimas nuo Smiltelės g. iki Jūrininkų pr. </t>
  </si>
  <si>
    <t xml:space="preserve">P2.1.2.4 </t>
  </si>
  <si>
    <t>Šilutės plento rekonstrukcija
(I etapas nuo Tilžės g. iki Kauno g.)
(II etapas nuo Kauno g. iki Dubysos g.)</t>
  </si>
  <si>
    <t>P2.1.2.6.</t>
  </si>
  <si>
    <t>Šiaurės - Pietų transporto koridorių gatvių tinklo modernizavimas:</t>
  </si>
  <si>
    <t>P2.1.2.5</t>
  </si>
  <si>
    <t>Kelio nuo Medelyno g. ties Labrenciškėmis iki Girulių  tiesimas</t>
  </si>
  <si>
    <t>Pilies g. tilto per Danę remonto projektas ir remontas</t>
  </si>
  <si>
    <t xml:space="preserve">1. Bastionų gatvės ir tilto </t>
  </si>
  <si>
    <t xml:space="preserve">2. Pilies tilto ir požeminės perėjos </t>
  </si>
  <si>
    <t>Klaipėdos LEZ susisiekimo sistemos infrastruktūros įrengimas (Švepelių g. rekonstrukcija ir geležinkelio atšakos statyba)</t>
  </si>
  <si>
    <t>Statybininkų pr. tęsinio statyba nuo Šilutės pl. per LEZ teritoriją iki 141 kelio (Klaipėdos LEZ Lypkių g. statyba, I etapas)</t>
  </si>
  <si>
    <t>Viešojo transporto priežiūros ir paslaugų kokybės kontroliavimas</t>
  </si>
  <si>
    <t>Transporto kompensacijų mokėjimas</t>
  </si>
  <si>
    <t>VB</t>
  </si>
  <si>
    <t>Viešojo transporto (autobusų ir maršrutinių taksi) integravimas</t>
  </si>
  <si>
    <t>P2.1.3.9.</t>
  </si>
  <si>
    <t>Nuostolingų maršrutų subsidijavimas priemiesčio maršrutus aptarnaujantiems vežėjams</t>
  </si>
  <si>
    <t>Eismo reguliavimo priemonių įrengimas, remontas, priežiūra, Informacinės kelio ženklų sistemos įrengimas, ekspertizių atlikimas</t>
  </si>
  <si>
    <t>P5</t>
  </si>
  <si>
    <t>Mokamo automobilių stovėjimo sistemos mieste sukūrimas ir išlaikymas</t>
  </si>
  <si>
    <t>Projektas „Regioninė galimybių studija „Vakarų krantas“</t>
  </si>
  <si>
    <t>POSSE - atvirų europinių standartų ir specifikacijų</t>
  </si>
  <si>
    <t>Asfaltbetonio dangos, žvyruotos dangos ir akmenimis grįstų gatvių bei daugiabučių namųkiemų dangos remontas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</si>
  <si>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</si>
  <si>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ir savivaldybės biudžeto tarpusavio atsiskaitymų lėšos </t>
    </r>
    <r>
      <rPr>
        <b/>
        <sz val="10"/>
        <rFont val="Times New Roman"/>
        <family val="1"/>
      </rPr>
      <t>SB(TA)</t>
    </r>
  </si>
  <si>
    <r>
      <t xml:space="preserve">Paskolos lėšos </t>
    </r>
    <r>
      <rPr>
        <b/>
        <sz val="10"/>
        <rFont val="Times New Roman"/>
        <family val="1"/>
      </rPr>
      <t>P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</si>
  <si>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</si>
  <si>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</si>
  <si>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</rPr>
      <t>KPP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</si>
  <si>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</si>
  <si>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</si>
  <si>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</si>
  <si>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r>
      <t xml:space="preserve">Funkcinės klasifikacijos kodas </t>
    </r>
    <r>
      <rPr>
        <sz val="9"/>
        <rFont val="Times New Roman"/>
        <family val="1"/>
      </rPr>
      <t xml:space="preserve"> </t>
    </r>
  </si>
  <si>
    <t>2012-ųjų  asignavimų planas</t>
  </si>
  <si>
    <t>Asignavimai 2011-iesiems metams</t>
  </si>
  <si>
    <r>
      <t xml:space="preserve">2.1.1.3. Savivaldybės privatizavimo fondo lėšos </t>
    </r>
    <r>
      <rPr>
        <b/>
        <sz val="10"/>
        <rFont val="Times New Roman"/>
        <family val="1"/>
      </rPr>
      <t>PF</t>
    </r>
  </si>
  <si>
    <t>Statybininkų pr. tęsinio tiesimas nuo Šilutės pl. per LEZ teritoriją iki 141 kelio (Klaipėdos LEZ Lypkių g. tiesimas, I etapas)</t>
  </si>
</sst>
</file>

<file path=xl/styles.xml><?xml version="1.0" encoding="utf-8"?>
<styleSheet xmlns="http://schemas.openxmlformats.org/spreadsheetml/2006/main">
  <numFmts count="4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[$-427]yyyy\ &quot;m.&quot;\ mmmm\ d\ &quot;d.&quot;"/>
    <numFmt numFmtId="195" formatCode="&quot;Taip&quot;;&quot;Taip&quot;;&quot;Ne&quot;"/>
    <numFmt numFmtId="196" formatCode="&quot;Teisinga&quot;;&quot;Teisinga&quot;;&quot;Klaidinga&quot;"/>
    <numFmt numFmtId="197" formatCode="[$€-2]\ ###,000_);[Red]\([$€-2]\ ###,000\)"/>
    <numFmt numFmtId="198" formatCode="#,##0.0"/>
    <numFmt numFmtId="199" formatCode="0.0;[Red]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0"/>
      <color indexed="60"/>
      <name val="Times New Roman"/>
      <family val="1"/>
    </font>
    <font>
      <b/>
      <sz val="7"/>
      <name val="Times New Roman"/>
      <family val="1"/>
    </font>
    <font>
      <sz val="9"/>
      <color indexed="60"/>
      <name val="Times New Roman"/>
      <family val="1"/>
    </font>
    <font>
      <b/>
      <sz val="10"/>
      <color indexed="60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1" fillId="16" borderId="4" applyNumberFormat="0" applyAlignment="0" applyProtection="0"/>
    <xf numFmtId="0" fontId="43" fillId="7" borderId="5" applyNumberFormat="0" applyAlignment="0" applyProtection="0"/>
    <xf numFmtId="0" fontId="44" fillId="17" borderId="0" applyNumberFormat="0" applyBorder="0" applyAlignment="0" applyProtection="0"/>
    <xf numFmtId="0" fontId="15" fillId="0" borderId="0">
      <alignment/>
      <protection/>
    </xf>
    <xf numFmtId="0" fontId="8" fillId="0" borderId="0">
      <alignment/>
      <protection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16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</cellStyleXfs>
  <cellXfs count="1366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9" fontId="5" fillId="8" borderId="10" xfId="0" applyNumberFormat="1" applyFont="1" applyFill="1" applyBorder="1" applyAlignment="1">
      <alignment horizontal="left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49" fontId="5" fillId="4" borderId="15" xfId="0" applyNumberFormat="1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left" vertical="top" wrapText="1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188" fontId="11" fillId="0" borderId="0" xfId="0" applyNumberFormat="1" applyFont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8" fontId="1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5" fillId="4" borderId="17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2"/>
    </xf>
    <xf numFmtId="0" fontId="6" fillId="24" borderId="19" xfId="0" applyFont="1" applyFill="1" applyBorder="1" applyAlignment="1">
      <alignment horizontal="right" vertical="top" wrapText="1"/>
    </xf>
    <xf numFmtId="49" fontId="5" fillId="8" borderId="14" xfId="0" applyNumberFormat="1" applyFont="1" applyFill="1" applyBorder="1" applyAlignment="1">
      <alignment vertical="top"/>
    </xf>
    <xf numFmtId="49" fontId="5" fillId="8" borderId="1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4" fillId="0" borderId="0" xfId="51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51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0" xfId="51" applyFont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51" applyNumberFormat="1" applyFont="1" applyAlignment="1" applyProtection="1">
      <alignment horizontal="center" vertical="top"/>
      <protection/>
    </xf>
    <xf numFmtId="0" fontId="19" fillId="0" borderId="0" xfId="51" applyFont="1">
      <alignment/>
      <protection/>
    </xf>
    <xf numFmtId="0" fontId="19" fillId="0" borderId="24" xfId="51" applyFont="1" applyBorder="1" applyAlignment="1">
      <alignment horizontal="left" vertical="top" wrapText="1"/>
      <protection/>
    </xf>
    <xf numFmtId="0" fontId="20" fillId="0" borderId="24" xfId="51" applyFont="1" applyBorder="1" applyAlignment="1">
      <alignment horizontal="center" vertical="top"/>
      <protection/>
    </xf>
    <xf numFmtId="49" fontId="20" fillId="0" borderId="17" xfId="51" applyNumberFormat="1" applyFont="1" applyBorder="1" applyAlignment="1">
      <alignment horizontal="left"/>
      <protection/>
    </xf>
    <xf numFmtId="0" fontId="21" fillId="0" borderId="17" xfId="51" applyFont="1" applyBorder="1" applyAlignment="1">
      <alignment horizontal="left" vertical="top" wrapText="1"/>
      <protection/>
    </xf>
    <xf numFmtId="0" fontId="20" fillId="0" borderId="17" xfId="51" applyFont="1" applyBorder="1" applyAlignment="1">
      <alignment horizontal="center" vertical="top"/>
      <protection/>
    </xf>
    <xf numFmtId="0" fontId="20" fillId="0" borderId="17" xfId="51" applyFont="1" applyBorder="1" applyAlignment="1">
      <alignment horizontal="left"/>
      <protection/>
    </xf>
    <xf numFmtId="0" fontId="20" fillId="0" borderId="17" xfId="51" applyFont="1" applyBorder="1" applyAlignment="1">
      <alignment horizontal="left" vertical="top" wrapText="1"/>
      <protection/>
    </xf>
    <xf numFmtId="0" fontId="20" fillId="0" borderId="17" xfId="51" applyFont="1" applyBorder="1" applyAlignment="1">
      <alignment horizontal="center"/>
      <protection/>
    </xf>
    <xf numFmtId="0" fontId="22" fillId="0" borderId="17" xfId="51" applyFont="1" applyBorder="1" applyAlignment="1">
      <alignment horizontal="left" vertical="top" wrapText="1"/>
      <protection/>
    </xf>
    <xf numFmtId="0" fontId="20" fillId="0" borderId="17" xfId="51" applyFont="1" applyBorder="1" applyAlignment="1">
      <alignment horizontal="left" vertical="top" wrapText="1"/>
      <protection/>
    </xf>
    <xf numFmtId="0" fontId="23" fillId="0" borderId="0" xfId="51" applyFont="1" applyBorder="1" applyAlignment="1">
      <alignment horizontal="left" vertical="center" wrapText="1"/>
      <protection/>
    </xf>
    <xf numFmtId="0" fontId="20" fillId="0" borderId="17" xfId="51" applyFont="1" applyBorder="1" applyAlignment="1">
      <alignment horizontal="left" vertical="center" wrapText="1"/>
      <protection/>
    </xf>
    <xf numFmtId="0" fontId="20" fillId="0" borderId="17" xfId="51" applyFont="1" applyBorder="1" applyAlignment="1">
      <alignment horizontal="center" vertical="center"/>
      <protection/>
    </xf>
    <xf numFmtId="0" fontId="20" fillId="0" borderId="17" xfId="51" applyFont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7" fillId="0" borderId="0" xfId="0" applyFont="1" applyBorder="1" applyAlignment="1">
      <alignment horizontal="center" vertical="top" wrapText="1"/>
    </xf>
    <xf numFmtId="49" fontId="20" fillId="0" borderId="24" xfId="51" applyNumberFormat="1" applyFont="1" applyBorder="1" applyAlignment="1">
      <alignment horizontal="center"/>
      <protection/>
    </xf>
    <xf numFmtId="0" fontId="20" fillId="0" borderId="25" xfId="51" applyFont="1" applyBorder="1" applyAlignment="1">
      <alignment horizontal="center"/>
      <protection/>
    </xf>
    <xf numFmtId="0" fontId="8" fillId="0" borderId="26" xfId="0" applyFont="1" applyFill="1" applyBorder="1" applyAlignment="1">
      <alignment horizontal="left" vertical="top" wrapText="1" indent="2"/>
    </xf>
    <xf numFmtId="0" fontId="8" fillId="0" borderId="27" xfId="0" applyFont="1" applyFill="1" applyBorder="1" applyAlignment="1">
      <alignment horizontal="left" vertical="top" wrapText="1" indent="2"/>
    </xf>
    <xf numFmtId="0" fontId="8" fillId="0" borderId="28" xfId="0" applyFont="1" applyFill="1" applyBorder="1" applyAlignment="1">
      <alignment horizontal="left" vertical="top" wrapText="1" indent="2"/>
    </xf>
    <xf numFmtId="0" fontId="23" fillId="0" borderId="17" xfId="51" applyFont="1" applyBorder="1" applyAlignment="1">
      <alignment horizontal="left" vertical="center" wrapText="1"/>
      <protection/>
    </xf>
    <xf numFmtId="0" fontId="20" fillId="0" borderId="25" xfId="51" applyFont="1" applyBorder="1" applyAlignment="1">
      <alignment horizontal="center" vertical="top"/>
      <protection/>
    </xf>
    <xf numFmtId="0" fontId="4" fillId="0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0" fillId="0" borderId="25" xfId="51" applyFont="1" applyFill="1" applyBorder="1" applyAlignment="1">
      <alignment horizontal="center" vertical="top"/>
      <protection/>
    </xf>
    <xf numFmtId="0" fontId="10" fillId="0" borderId="0" xfId="0" applyFont="1" applyBorder="1" applyAlignment="1">
      <alignment vertical="top"/>
    </xf>
    <xf numFmtId="0" fontId="8" fillId="0" borderId="28" xfId="0" applyFont="1" applyBorder="1" applyAlignment="1">
      <alignment horizontal="left" vertical="top" wrapText="1" indent="2"/>
    </xf>
    <xf numFmtId="0" fontId="8" fillId="0" borderId="29" xfId="0" applyFont="1" applyFill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20" fillId="0" borderId="30" xfId="51" applyFont="1" applyBorder="1" applyAlignment="1">
      <alignment horizontal="left" vertical="top" wrapText="1"/>
      <protection/>
    </xf>
    <xf numFmtId="0" fontId="20" fillId="0" borderId="17" xfId="51" applyFont="1" applyFill="1" applyBorder="1" applyAlignment="1">
      <alignment horizontal="center" vertical="top"/>
      <protection/>
    </xf>
    <xf numFmtId="0" fontId="20" fillId="0" borderId="25" xfId="51" applyFont="1" applyFill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top"/>
    </xf>
    <xf numFmtId="0" fontId="8" fillId="0" borderId="3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 indent="1"/>
    </xf>
    <xf numFmtId="188" fontId="1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4" fillId="0" borderId="17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24" borderId="19" xfId="0" applyFont="1" applyFill="1" applyBorder="1" applyAlignment="1">
      <alignment horizontal="left" vertical="center" wrapText="1"/>
    </xf>
    <xf numFmtId="49" fontId="5" fillId="8" borderId="36" xfId="0" applyNumberFormat="1" applyFont="1" applyFill="1" applyBorder="1" applyAlignment="1">
      <alignment horizontal="center" vertical="top"/>
    </xf>
    <xf numFmtId="188" fontId="0" fillId="0" borderId="0" xfId="0" applyNumberFormat="1" applyFont="1" applyAlignment="1">
      <alignment/>
    </xf>
    <xf numFmtId="188" fontId="8" fillId="0" borderId="0" xfId="0" applyNumberFormat="1" applyFont="1" applyBorder="1" applyAlignment="1">
      <alignment horizontal="center" vertical="top" wrapText="1"/>
    </xf>
    <xf numFmtId="49" fontId="5" fillId="4" borderId="31" xfId="0" applyNumberFormat="1" applyFont="1" applyFill="1" applyBorder="1" applyAlignment="1">
      <alignment horizontal="center" vertical="top"/>
    </xf>
    <xf numFmtId="0" fontId="20" fillId="0" borderId="17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8" fillId="0" borderId="37" xfId="0" applyFont="1" applyBorder="1" applyAlignment="1">
      <alignment horizontal="center" vertical="center"/>
    </xf>
    <xf numFmtId="0" fontId="8" fillId="0" borderId="37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center" vertical="center"/>
      <protection/>
    </xf>
    <xf numFmtId="0" fontId="23" fillId="0" borderId="17" xfId="51" applyFont="1" applyBorder="1" applyAlignment="1">
      <alignment horizontal="center" vertical="top"/>
      <protection/>
    </xf>
    <xf numFmtId="0" fontId="20" fillId="0" borderId="0" xfId="5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0" borderId="30" xfId="5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5" fillId="4" borderId="40" xfId="0" applyFont="1" applyFill="1" applyBorder="1" applyAlignment="1">
      <alignment horizontal="left" vertical="top" wrapText="1"/>
    </xf>
    <xf numFmtId="188" fontId="4" fillId="0" borderId="41" xfId="0" applyNumberFormat="1" applyFont="1" applyFill="1" applyBorder="1" applyAlignment="1">
      <alignment horizontal="right" vertical="top"/>
    </xf>
    <xf numFmtId="188" fontId="4" fillId="0" borderId="42" xfId="0" applyNumberFormat="1" applyFont="1" applyFill="1" applyBorder="1" applyAlignment="1">
      <alignment horizontal="right" vertical="top"/>
    </xf>
    <xf numFmtId="188" fontId="4" fillId="0" borderId="43" xfId="0" applyNumberFormat="1" applyFont="1" applyFill="1" applyBorder="1" applyAlignment="1">
      <alignment horizontal="right" vertical="top"/>
    </xf>
    <xf numFmtId="188" fontId="4" fillId="0" borderId="42" xfId="0" applyNumberFormat="1" applyFont="1" applyBorder="1" applyAlignment="1">
      <alignment horizontal="right" vertical="top"/>
    </xf>
    <xf numFmtId="188" fontId="4" fillId="0" borderId="44" xfId="0" applyNumberFormat="1" applyFont="1" applyFill="1" applyBorder="1" applyAlignment="1">
      <alignment horizontal="right" vertical="top"/>
    </xf>
    <xf numFmtId="188" fontId="4" fillId="0" borderId="45" xfId="0" applyNumberFormat="1" applyFont="1" applyBorder="1" applyAlignment="1">
      <alignment horizontal="right" vertical="top"/>
    </xf>
    <xf numFmtId="188" fontId="4" fillId="0" borderId="46" xfId="0" applyNumberFormat="1" applyFont="1" applyFill="1" applyBorder="1" applyAlignment="1">
      <alignment horizontal="right" vertical="top"/>
    </xf>
    <xf numFmtId="188" fontId="4" fillId="0" borderId="20" xfId="0" applyNumberFormat="1" applyFont="1" applyFill="1" applyBorder="1" applyAlignment="1">
      <alignment horizontal="right" vertical="top"/>
    </xf>
    <xf numFmtId="188" fontId="4" fillId="0" borderId="47" xfId="0" applyNumberFormat="1" applyFont="1" applyFill="1" applyBorder="1" applyAlignment="1">
      <alignment horizontal="right" vertical="top"/>
    </xf>
    <xf numFmtId="188" fontId="4" fillId="0" borderId="21" xfId="0" applyNumberFormat="1" applyFont="1" applyFill="1" applyBorder="1" applyAlignment="1">
      <alignment horizontal="right" vertical="top"/>
    </xf>
    <xf numFmtId="188" fontId="4" fillId="0" borderId="29" xfId="0" applyNumberFormat="1" applyFont="1" applyBorder="1" applyAlignment="1">
      <alignment horizontal="right" vertical="top"/>
    </xf>
    <xf numFmtId="188" fontId="4" fillId="0" borderId="28" xfId="0" applyNumberFormat="1" applyFont="1" applyFill="1" applyBorder="1" applyAlignment="1">
      <alignment horizontal="right" vertical="top"/>
    </xf>
    <xf numFmtId="188" fontId="4" fillId="0" borderId="48" xfId="0" applyNumberFormat="1" applyFont="1" applyFill="1" applyBorder="1" applyAlignment="1">
      <alignment horizontal="right" vertical="top"/>
    </xf>
    <xf numFmtId="188" fontId="4" fillId="0" borderId="49" xfId="0" applyNumberFormat="1" applyFont="1" applyFill="1" applyBorder="1" applyAlignment="1">
      <alignment horizontal="right" vertical="top"/>
    </xf>
    <xf numFmtId="188" fontId="4" fillId="0" borderId="50" xfId="0" applyNumberFormat="1" applyFont="1" applyBorder="1" applyAlignment="1">
      <alignment horizontal="right" vertical="top"/>
    </xf>
    <xf numFmtId="188" fontId="4" fillId="0" borderId="25" xfId="0" applyNumberFormat="1" applyFont="1" applyFill="1" applyBorder="1" applyAlignment="1">
      <alignment horizontal="right" vertical="top"/>
    </xf>
    <xf numFmtId="188" fontId="4" fillId="0" borderId="51" xfId="0" applyNumberFormat="1" applyFont="1" applyFill="1" applyBorder="1" applyAlignment="1">
      <alignment horizontal="right" vertical="top"/>
    </xf>
    <xf numFmtId="188" fontId="4" fillId="0" borderId="25" xfId="0" applyNumberFormat="1" applyFont="1" applyBorder="1" applyAlignment="1">
      <alignment horizontal="right" vertical="top"/>
    </xf>
    <xf numFmtId="188" fontId="4" fillId="0" borderId="52" xfId="0" applyNumberFormat="1" applyFont="1" applyFill="1" applyBorder="1" applyAlignment="1">
      <alignment horizontal="right" vertical="top"/>
    </xf>
    <xf numFmtId="188" fontId="4" fillId="0" borderId="53" xfId="0" applyNumberFormat="1" applyFont="1" applyBorder="1" applyAlignment="1">
      <alignment horizontal="right" vertical="top"/>
    </xf>
    <xf numFmtId="188" fontId="4" fillId="0" borderId="20" xfId="0" applyNumberFormat="1" applyFont="1" applyBorder="1" applyAlignment="1">
      <alignment horizontal="right" vertical="top"/>
    </xf>
    <xf numFmtId="188" fontId="4" fillId="0" borderId="54" xfId="0" applyNumberFormat="1" applyFont="1" applyFill="1" applyBorder="1" applyAlignment="1">
      <alignment horizontal="right" vertical="top"/>
    </xf>
    <xf numFmtId="188" fontId="4" fillId="0" borderId="24" xfId="0" applyNumberFormat="1" applyFont="1" applyFill="1" applyBorder="1" applyAlignment="1">
      <alignment horizontal="right" vertical="top"/>
    </xf>
    <xf numFmtId="188" fontId="4" fillId="0" borderId="24" xfId="0" applyNumberFormat="1" applyFont="1" applyBorder="1" applyAlignment="1">
      <alignment horizontal="right" vertical="top"/>
    </xf>
    <xf numFmtId="188" fontId="4" fillId="0" borderId="10" xfId="0" applyNumberFormat="1" applyFont="1" applyFill="1" applyBorder="1" applyAlignment="1">
      <alignment horizontal="right" vertical="top"/>
    </xf>
    <xf numFmtId="188" fontId="4" fillId="0" borderId="21" xfId="0" applyNumberFormat="1" applyFont="1" applyBorder="1" applyAlignment="1">
      <alignment horizontal="right" vertical="top"/>
    </xf>
    <xf numFmtId="188" fontId="4" fillId="0" borderId="29" xfId="0" applyNumberFormat="1" applyFont="1" applyFill="1" applyBorder="1" applyAlignment="1">
      <alignment horizontal="right" vertical="top"/>
    </xf>
    <xf numFmtId="188" fontId="4" fillId="0" borderId="17" xfId="0" applyNumberFormat="1" applyFont="1" applyFill="1" applyBorder="1" applyAlignment="1">
      <alignment horizontal="right" vertical="top"/>
    </xf>
    <xf numFmtId="188" fontId="4" fillId="0" borderId="55" xfId="0" applyNumberFormat="1" applyFont="1" applyFill="1" applyBorder="1" applyAlignment="1">
      <alignment horizontal="right" vertical="top"/>
    </xf>
    <xf numFmtId="188" fontId="4" fillId="0" borderId="37" xfId="0" applyNumberFormat="1" applyFont="1" applyFill="1" applyBorder="1" applyAlignment="1">
      <alignment horizontal="right" vertical="top"/>
    </xf>
    <xf numFmtId="188" fontId="4" fillId="0" borderId="56" xfId="0" applyNumberFormat="1" applyFont="1" applyBorder="1" applyAlignment="1">
      <alignment horizontal="right" vertical="top"/>
    </xf>
    <xf numFmtId="188" fontId="4" fillId="0" borderId="57" xfId="0" applyNumberFormat="1" applyFont="1" applyFill="1" applyBorder="1" applyAlignment="1">
      <alignment horizontal="right" vertical="top"/>
    </xf>
    <xf numFmtId="188" fontId="4" fillId="0" borderId="0" xfId="0" applyNumberFormat="1" applyFont="1" applyFill="1" applyBorder="1" applyAlignment="1">
      <alignment horizontal="right" vertical="top"/>
    </xf>
    <xf numFmtId="188" fontId="5" fillId="0" borderId="42" xfId="0" applyNumberFormat="1" applyFont="1" applyFill="1" applyBorder="1" applyAlignment="1">
      <alignment horizontal="right" vertical="top"/>
    </xf>
    <xf numFmtId="188" fontId="5" fillId="0" borderId="43" xfId="0" applyNumberFormat="1" applyFont="1" applyFill="1" applyBorder="1" applyAlignment="1">
      <alignment horizontal="right" vertical="top"/>
    </xf>
    <xf numFmtId="188" fontId="4" fillId="0" borderId="58" xfId="0" applyNumberFormat="1" applyFont="1" applyFill="1" applyBorder="1" applyAlignment="1">
      <alignment horizontal="right" vertical="top"/>
    </xf>
    <xf numFmtId="188" fontId="4" fillId="0" borderId="45" xfId="0" applyNumberFormat="1" applyFont="1" applyFill="1" applyBorder="1" applyAlignment="1">
      <alignment horizontal="right" vertical="top" wrapText="1"/>
    </xf>
    <xf numFmtId="188" fontId="4" fillId="0" borderId="30" xfId="0" applyNumberFormat="1" applyFont="1" applyFill="1" applyBorder="1" applyAlignment="1">
      <alignment horizontal="right" vertical="top"/>
    </xf>
    <xf numFmtId="188" fontId="4" fillId="0" borderId="56" xfId="0" applyNumberFormat="1" applyFont="1" applyFill="1" applyBorder="1" applyAlignment="1">
      <alignment horizontal="right" vertical="top" wrapText="1"/>
    </xf>
    <xf numFmtId="188" fontId="4" fillId="0" borderId="23" xfId="0" applyNumberFormat="1" applyFont="1" applyFill="1" applyBorder="1" applyAlignment="1">
      <alignment horizontal="right" vertical="top"/>
    </xf>
    <xf numFmtId="188" fontId="4" fillId="0" borderId="29" xfId="0" applyNumberFormat="1" applyFont="1" applyFill="1" applyBorder="1" applyAlignment="1">
      <alignment horizontal="right" vertical="top" wrapText="1"/>
    </xf>
    <xf numFmtId="188" fontId="5" fillId="4" borderId="19" xfId="0" applyNumberFormat="1" applyFont="1" applyFill="1" applyBorder="1" applyAlignment="1">
      <alignment horizontal="right" vertical="center"/>
    </xf>
    <xf numFmtId="188" fontId="4" fillId="0" borderId="33" xfId="0" applyNumberFormat="1" applyFont="1" applyFill="1" applyBorder="1" applyAlignment="1">
      <alignment horizontal="right" vertical="top"/>
    </xf>
    <xf numFmtId="188" fontId="5" fillId="0" borderId="29" xfId="0" applyNumberFormat="1" applyFont="1" applyFill="1" applyBorder="1" applyAlignment="1">
      <alignment horizontal="right" vertical="top"/>
    </xf>
    <xf numFmtId="188" fontId="4" fillId="0" borderId="42" xfId="0" applyNumberFormat="1" applyFont="1" applyFill="1" applyBorder="1" applyAlignment="1">
      <alignment horizontal="right" vertical="top"/>
    </xf>
    <xf numFmtId="188" fontId="4" fillId="0" borderId="43" xfId="0" applyNumberFormat="1" applyFont="1" applyFill="1" applyBorder="1" applyAlignment="1">
      <alignment horizontal="right" vertical="top"/>
    </xf>
    <xf numFmtId="188" fontId="5" fillId="4" borderId="14" xfId="0" applyNumberFormat="1" applyFont="1" applyFill="1" applyBorder="1" applyAlignment="1">
      <alignment horizontal="right" vertical="center"/>
    </xf>
    <xf numFmtId="188" fontId="4" fillId="0" borderId="41" xfId="0" applyNumberFormat="1" applyFont="1" applyFill="1" applyBorder="1" applyAlignment="1">
      <alignment horizontal="right" vertical="top"/>
    </xf>
    <xf numFmtId="188" fontId="4" fillId="0" borderId="42" xfId="0" applyNumberFormat="1" applyFont="1" applyBorder="1" applyAlignment="1">
      <alignment horizontal="right" vertical="top"/>
    </xf>
    <xf numFmtId="188" fontId="4" fillId="0" borderId="43" xfId="0" applyNumberFormat="1" applyFont="1" applyBorder="1" applyAlignment="1">
      <alignment horizontal="right" vertical="top"/>
    </xf>
    <xf numFmtId="188" fontId="4" fillId="0" borderId="38" xfId="0" applyNumberFormat="1" applyFont="1" applyFill="1" applyBorder="1" applyAlignment="1">
      <alignment horizontal="right" vertical="top" wrapText="1"/>
    </xf>
    <xf numFmtId="188" fontId="4" fillId="0" borderId="45" xfId="0" applyNumberFormat="1" applyFont="1" applyFill="1" applyBorder="1" applyAlignment="1">
      <alignment horizontal="right" vertical="top" wrapText="1"/>
    </xf>
    <xf numFmtId="188" fontId="4" fillId="0" borderId="46" xfId="0" applyNumberFormat="1" applyFont="1" applyFill="1" applyBorder="1" applyAlignment="1">
      <alignment horizontal="right" vertical="top"/>
    </xf>
    <xf numFmtId="188" fontId="4" fillId="0" borderId="17" xfId="0" applyNumberFormat="1" applyFont="1" applyFill="1" applyBorder="1" applyAlignment="1">
      <alignment horizontal="right" vertical="top"/>
    </xf>
    <xf numFmtId="188" fontId="4" fillId="0" borderId="55" xfId="0" applyNumberFormat="1" applyFont="1" applyFill="1" applyBorder="1" applyAlignment="1">
      <alignment horizontal="right" vertical="top"/>
    </xf>
    <xf numFmtId="188" fontId="4" fillId="0" borderId="56" xfId="0" applyNumberFormat="1" applyFont="1" applyFill="1" applyBorder="1" applyAlignment="1">
      <alignment horizontal="right" vertical="top" wrapText="1"/>
    </xf>
    <xf numFmtId="188" fontId="4" fillId="0" borderId="59" xfId="0" applyNumberFormat="1" applyFont="1" applyFill="1" applyBorder="1" applyAlignment="1">
      <alignment horizontal="right" vertical="top"/>
    </xf>
    <xf numFmtId="188" fontId="4" fillId="0" borderId="60" xfId="0" applyNumberFormat="1" applyFont="1" applyFill="1" applyBorder="1" applyAlignment="1">
      <alignment horizontal="right" vertical="top"/>
    </xf>
    <xf numFmtId="188" fontId="4" fillId="0" borderId="61" xfId="0" applyNumberFormat="1" applyFont="1" applyFill="1" applyBorder="1" applyAlignment="1">
      <alignment horizontal="right" vertical="top"/>
    </xf>
    <xf numFmtId="188" fontId="4" fillId="0" borderId="62" xfId="0" applyNumberFormat="1" applyFont="1" applyFill="1" applyBorder="1" applyAlignment="1">
      <alignment horizontal="right" vertical="top"/>
    </xf>
    <xf numFmtId="188" fontId="4" fillId="0" borderId="10" xfId="0" applyNumberFormat="1" applyFont="1" applyFill="1" applyBorder="1" applyAlignment="1">
      <alignment horizontal="right" vertical="top"/>
    </xf>
    <xf numFmtId="188" fontId="4" fillId="0" borderId="25" xfId="0" applyNumberFormat="1" applyFont="1" applyFill="1" applyBorder="1" applyAlignment="1">
      <alignment horizontal="right" vertical="top"/>
    </xf>
    <xf numFmtId="188" fontId="4" fillId="0" borderId="51" xfId="0" applyNumberFormat="1" applyFont="1" applyFill="1" applyBorder="1" applyAlignment="1">
      <alignment horizontal="right" vertical="top"/>
    </xf>
    <xf numFmtId="188" fontId="4" fillId="0" borderId="63" xfId="0" applyNumberFormat="1" applyFont="1" applyFill="1" applyBorder="1" applyAlignment="1">
      <alignment horizontal="right" vertical="top"/>
    </xf>
    <xf numFmtId="188" fontId="4" fillId="0" borderId="32" xfId="0" applyNumberFormat="1" applyFont="1" applyFill="1" applyBorder="1" applyAlignment="1">
      <alignment horizontal="right" vertical="top" wrapText="1"/>
    </xf>
    <xf numFmtId="188" fontId="4" fillId="0" borderId="53" xfId="0" applyNumberFormat="1" applyFont="1" applyFill="1" applyBorder="1" applyAlignment="1">
      <alignment horizontal="right" vertical="top"/>
    </xf>
    <xf numFmtId="188" fontId="4" fillId="0" borderId="58" xfId="0" applyNumberFormat="1" applyFont="1" applyFill="1" applyBorder="1" applyAlignment="1">
      <alignment horizontal="right" vertical="top"/>
    </xf>
    <xf numFmtId="188" fontId="4" fillId="0" borderId="30" xfId="0" applyNumberFormat="1" applyFont="1" applyFill="1" applyBorder="1" applyAlignment="1">
      <alignment horizontal="right" vertical="top"/>
    </xf>
    <xf numFmtId="188" fontId="4" fillId="0" borderId="29" xfId="0" applyNumberFormat="1" applyFont="1" applyFill="1" applyBorder="1" applyAlignment="1">
      <alignment horizontal="right" vertical="top" wrapText="1"/>
    </xf>
    <xf numFmtId="188" fontId="4" fillId="0" borderId="23" xfId="0" applyNumberFormat="1" applyFont="1" applyFill="1" applyBorder="1" applyAlignment="1">
      <alignment horizontal="right" vertical="top"/>
    </xf>
    <xf numFmtId="188" fontId="5" fillId="0" borderId="42" xfId="0" applyNumberFormat="1" applyFont="1" applyFill="1" applyBorder="1" applyAlignment="1">
      <alignment horizontal="right" vertical="top"/>
    </xf>
    <xf numFmtId="188" fontId="4" fillId="0" borderId="45" xfId="0" applyNumberFormat="1" applyFont="1" applyFill="1" applyBorder="1" applyAlignment="1">
      <alignment horizontal="right" vertical="top"/>
    </xf>
    <xf numFmtId="188" fontId="5" fillId="0" borderId="17" xfId="0" applyNumberFormat="1" applyFont="1" applyFill="1" applyBorder="1" applyAlignment="1">
      <alignment horizontal="right" vertical="top"/>
    </xf>
    <xf numFmtId="188" fontId="4" fillId="0" borderId="56" xfId="0" applyNumberFormat="1" applyFont="1" applyFill="1" applyBorder="1" applyAlignment="1">
      <alignment horizontal="right" vertical="top"/>
    </xf>
    <xf numFmtId="188" fontId="5" fillId="0" borderId="43" xfId="0" applyNumberFormat="1" applyFont="1" applyFill="1" applyBorder="1" applyAlignment="1">
      <alignment horizontal="right" vertical="top"/>
    </xf>
    <xf numFmtId="188" fontId="4" fillId="0" borderId="20" xfId="0" applyNumberFormat="1" applyFont="1" applyBorder="1" applyAlignment="1">
      <alignment horizontal="right" vertical="top"/>
    </xf>
    <xf numFmtId="188" fontId="4" fillId="0" borderId="21" xfId="0" applyNumberFormat="1" applyFont="1" applyBorder="1" applyAlignment="1">
      <alignment horizontal="right" vertical="top"/>
    </xf>
    <xf numFmtId="188" fontId="4" fillId="0" borderId="45" xfId="0" applyNumberFormat="1" applyFont="1" applyBorder="1" applyAlignment="1">
      <alignment horizontal="right" vertical="top"/>
    </xf>
    <xf numFmtId="188" fontId="4" fillId="0" borderId="20" xfId="0" applyNumberFormat="1" applyFont="1" applyFill="1" applyBorder="1" applyAlignment="1">
      <alignment horizontal="right" vertical="top"/>
    </xf>
    <xf numFmtId="188" fontId="4" fillId="0" borderId="47" xfId="0" applyNumberFormat="1" applyFont="1" applyFill="1" applyBorder="1" applyAlignment="1">
      <alignment horizontal="right" vertical="top"/>
    </xf>
    <xf numFmtId="188" fontId="4" fillId="0" borderId="29" xfId="0" applyNumberFormat="1" applyFont="1" applyBorder="1" applyAlignment="1">
      <alignment horizontal="right" vertical="top"/>
    </xf>
    <xf numFmtId="188" fontId="4" fillId="0" borderId="44" xfId="0" applyNumberFormat="1" applyFont="1" applyFill="1" applyBorder="1" applyAlignment="1">
      <alignment horizontal="right" vertical="top"/>
    </xf>
    <xf numFmtId="188" fontId="4" fillId="0" borderId="37" xfId="0" applyNumberFormat="1" applyFont="1" applyFill="1" applyBorder="1" applyAlignment="1">
      <alignment horizontal="right" vertical="top"/>
    </xf>
    <xf numFmtId="188" fontId="4" fillId="0" borderId="38" xfId="0" applyNumberFormat="1" applyFont="1" applyBorder="1" applyAlignment="1">
      <alignment horizontal="right" vertical="top"/>
    </xf>
    <xf numFmtId="188" fontId="4" fillId="0" borderId="32" xfId="0" applyNumberFormat="1" applyFont="1" applyBorder="1" applyAlignment="1">
      <alignment horizontal="right" vertical="top"/>
    </xf>
    <xf numFmtId="188" fontId="4" fillId="0" borderId="53" xfId="0" applyNumberFormat="1" applyFont="1" applyBorder="1" applyAlignment="1">
      <alignment horizontal="right" vertical="top"/>
    </xf>
    <xf numFmtId="188" fontId="4" fillId="0" borderId="25" xfId="0" applyNumberFormat="1" applyFont="1" applyBorder="1" applyAlignment="1">
      <alignment horizontal="right" vertical="top"/>
    </xf>
    <xf numFmtId="188" fontId="4" fillId="0" borderId="51" xfId="0" applyNumberFormat="1" applyFont="1" applyBorder="1" applyAlignment="1">
      <alignment horizontal="right" vertical="top"/>
    </xf>
    <xf numFmtId="188" fontId="4" fillId="25" borderId="64" xfId="0" applyNumberFormat="1" applyFont="1" applyFill="1" applyBorder="1" applyAlignment="1">
      <alignment horizontal="right" vertical="top" wrapText="1"/>
    </xf>
    <xf numFmtId="188" fontId="4" fillId="25" borderId="53" xfId="0" applyNumberFormat="1" applyFont="1" applyFill="1" applyBorder="1" applyAlignment="1">
      <alignment horizontal="right" vertical="top" wrapText="1"/>
    </xf>
    <xf numFmtId="188" fontId="4" fillId="0" borderId="41" xfId="0" applyNumberFormat="1" applyFont="1" applyFill="1" applyBorder="1" applyAlignment="1">
      <alignment horizontal="center" vertical="top"/>
    </xf>
    <xf numFmtId="188" fontId="4" fillId="0" borderId="42" xfId="0" applyNumberFormat="1" applyFont="1" applyFill="1" applyBorder="1" applyAlignment="1">
      <alignment horizontal="center" vertical="top"/>
    </xf>
    <xf numFmtId="188" fontId="4" fillId="0" borderId="43" xfId="0" applyNumberFormat="1" applyFont="1" applyFill="1" applyBorder="1" applyAlignment="1">
      <alignment horizontal="center" vertical="top"/>
    </xf>
    <xf numFmtId="188" fontId="4" fillId="0" borderId="38" xfId="0" applyNumberFormat="1" applyFont="1" applyBorder="1" applyAlignment="1">
      <alignment horizontal="center" vertical="top"/>
    </xf>
    <xf numFmtId="188" fontId="4" fillId="0" borderId="45" xfId="0" applyNumberFormat="1" applyFont="1" applyBorder="1" applyAlignment="1">
      <alignment horizontal="center" vertical="top"/>
    </xf>
    <xf numFmtId="188" fontId="4" fillId="0" borderId="46" xfId="0" applyNumberFormat="1" applyFont="1" applyFill="1" applyBorder="1" applyAlignment="1">
      <alignment horizontal="center" vertical="top"/>
    </xf>
    <xf numFmtId="188" fontId="4" fillId="0" borderId="17" xfId="0" applyNumberFormat="1" applyFont="1" applyFill="1" applyBorder="1" applyAlignment="1">
      <alignment horizontal="center" vertical="top"/>
    </xf>
    <xf numFmtId="188" fontId="4" fillId="0" borderId="55" xfId="0" applyNumberFormat="1" applyFont="1" applyFill="1" applyBorder="1" applyAlignment="1">
      <alignment horizontal="center" vertical="top"/>
    </xf>
    <xf numFmtId="188" fontId="4" fillId="0" borderId="39" xfId="0" applyNumberFormat="1" applyFont="1" applyBorder="1" applyAlignment="1">
      <alignment horizontal="center" vertical="top"/>
    </xf>
    <xf numFmtId="188" fontId="4" fillId="0" borderId="56" xfId="0" applyNumberFormat="1" applyFont="1" applyBorder="1" applyAlignment="1">
      <alignment horizontal="center" vertical="top"/>
    </xf>
    <xf numFmtId="188" fontId="5" fillId="24" borderId="36" xfId="0" applyNumberFormat="1" applyFont="1" applyFill="1" applyBorder="1" applyAlignment="1">
      <alignment horizontal="center" vertical="top"/>
    </xf>
    <xf numFmtId="188" fontId="5" fillId="24" borderId="65" xfId="0" applyNumberFormat="1" applyFont="1" applyFill="1" applyBorder="1" applyAlignment="1">
      <alignment horizontal="center" vertical="top"/>
    </xf>
    <xf numFmtId="0" fontId="8" fillId="0" borderId="26" xfId="0" applyFont="1" applyBorder="1" applyAlignment="1">
      <alignment horizontal="left" vertical="top" wrapText="1" indent="2"/>
    </xf>
    <xf numFmtId="49" fontId="8" fillId="0" borderId="0" xfId="0" applyNumberFormat="1" applyFont="1" applyFill="1" applyBorder="1" applyAlignment="1">
      <alignment vertical="top" wrapText="1"/>
    </xf>
    <xf numFmtId="49" fontId="6" fillId="0" borderId="66" xfId="0" applyNumberFormat="1" applyFont="1" applyFill="1" applyBorder="1" applyAlignment="1">
      <alignment vertical="top" wrapText="1"/>
    </xf>
    <xf numFmtId="49" fontId="8" fillId="0" borderId="39" xfId="0" applyNumberFormat="1" applyFont="1" applyFill="1" applyBorder="1" applyAlignment="1">
      <alignment vertical="top" wrapText="1"/>
    </xf>
    <xf numFmtId="49" fontId="8" fillId="0" borderId="39" xfId="0" applyNumberFormat="1" applyFont="1" applyFill="1" applyBorder="1" applyAlignment="1">
      <alignment vertical="top" wrapText="1"/>
    </xf>
    <xf numFmtId="49" fontId="6" fillId="0" borderId="67" xfId="0" applyNumberFormat="1" applyFont="1" applyFill="1" applyBorder="1" applyAlignment="1">
      <alignment vertical="top" wrapText="1"/>
    </xf>
    <xf numFmtId="188" fontId="4" fillId="25" borderId="24" xfId="0" applyNumberFormat="1" applyFont="1" applyFill="1" applyBorder="1" applyAlignment="1">
      <alignment horizontal="right" vertical="top"/>
    </xf>
    <xf numFmtId="188" fontId="4" fillId="25" borderId="49" xfId="0" applyNumberFormat="1" applyFont="1" applyFill="1" applyBorder="1" applyAlignment="1">
      <alignment horizontal="right" vertical="top"/>
    </xf>
    <xf numFmtId="188" fontId="4" fillId="25" borderId="20" xfId="0" applyNumberFormat="1" applyFont="1" applyFill="1" applyBorder="1" applyAlignment="1">
      <alignment horizontal="right" vertical="top"/>
    </xf>
    <xf numFmtId="188" fontId="4" fillId="25" borderId="46" xfId="0" applyNumberFormat="1" applyFont="1" applyFill="1" applyBorder="1" applyAlignment="1">
      <alignment horizontal="right" vertical="top"/>
    </xf>
    <xf numFmtId="188" fontId="4" fillId="25" borderId="47" xfId="0" applyNumberFormat="1" applyFont="1" applyFill="1" applyBorder="1" applyAlignment="1">
      <alignment horizontal="right" vertical="top"/>
    </xf>
    <xf numFmtId="188" fontId="4" fillId="25" borderId="42" xfId="0" applyNumberFormat="1" applyFont="1" applyFill="1" applyBorder="1" applyAlignment="1">
      <alignment horizontal="right" vertical="top"/>
    </xf>
    <xf numFmtId="188" fontId="4" fillId="25" borderId="43" xfId="0" applyNumberFormat="1" applyFont="1" applyFill="1" applyBorder="1" applyAlignment="1">
      <alignment horizontal="right" vertical="top"/>
    </xf>
    <xf numFmtId="188" fontId="4" fillId="25" borderId="45" xfId="0" applyNumberFormat="1" applyFont="1" applyFill="1" applyBorder="1" applyAlignment="1">
      <alignment horizontal="right" vertical="top"/>
    </xf>
    <xf numFmtId="188" fontId="4" fillId="25" borderId="29" xfId="0" applyNumberFormat="1" applyFont="1" applyFill="1" applyBorder="1" applyAlignment="1">
      <alignment horizontal="right" vertical="top"/>
    </xf>
    <xf numFmtId="188" fontId="4" fillId="25" borderId="50" xfId="0" applyNumberFormat="1" applyFont="1" applyFill="1" applyBorder="1" applyAlignment="1">
      <alignment horizontal="right" vertical="top"/>
    </xf>
    <xf numFmtId="49" fontId="6" fillId="0" borderId="39" xfId="0" applyNumberFormat="1" applyFont="1" applyFill="1" applyBorder="1" applyAlignment="1">
      <alignment vertical="top" wrapText="1"/>
    </xf>
    <xf numFmtId="0" fontId="8" fillId="25" borderId="45" xfId="0" applyFont="1" applyFill="1" applyBorder="1" applyAlignment="1">
      <alignment horizontal="center" vertical="top" wrapText="1"/>
    </xf>
    <xf numFmtId="0" fontId="8" fillId="25" borderId="29" xfId="0" applyFont="1" applyFill="1" applyBorder="1" applyAlignment="1">
      <alignment horizontal="center" vertical="top" wrapText="1"/>
    </xf>
    <xf numFmtId="0" fontId="8" fillId="25" borderId="50" xfId="0" applyFont="1" applyFill="1" applyBorder="1" applyAlignment="1">
      <alignment horizontal="center" vertical="top" wrapText="1"/>
    </xf>
    <xf numFmtId="188" fontId="4" fillId="25" borderId="56" xfId="0" applyNumberFormat="1" applyFont="1" applyFill="1" applyBorder="1" applyAlignment="1">
      <alignment horizontal="right" vertical="top"/>
    </xf>
    <xf numFmtId="188" fontId="4" fillId="25" borderId="25" xfId="0" applyNumberFormat="1" applyFont="1" applyFill="1" applyBorder="1" applyAlignment="1">
      <alignment horizontal="right" vertical="top"/>
    </xf>
    <xf numFmtId="188" fontId="4" fillId="25" borderId="51" xfId="0" applyNumberFormat="1" applyFont="1" applyFill="1" applyBorder="1" applyAlignment="1">
      <alignment horizontal="right" vertical="top"/>
    </xf>
    <xf numFmtId="188" fontId="4" fillId="25" borderId="53" xfId="0" applyNumberFormat="1" applyFont="1" applyFill="1" applyBorder="1" applyAlignment="1">
      <alignment horizontal="right" vertical="top"/>
    </xf>
    <xf numFmtId="188" fontId="4" fillId="0" borderId="57" xfId="0" applyNumberFormat="1" applyFont="1" applyFill="1" applyBorder="1" applyAlignment="1">
      <alignment vertical="top" wrapText="1"/>
    </xf>
    <xf numFmtId="188" fontId="4" fillId="0" borderId="0" xfId="0" applyNumberFormat="1" applyFont="1" applyFill="1" applyBorder="1" applyAlignment="1">
      <alignment vertical="top" wrapText="1"/>
    </xf>
    <xf numFmtId="188" fontId="5" fillId="0" borderId="57" xfId="0" applyNumberFormat="1" applyFont="1" applyFill="1" applyBorder="1" applyAlignment="1">
      <alignment vertical="top" wrapText="1"/>
    </xf>
    <xf numFmtId="188" fontId="4" fillId="0" borderId="57" xfId="0" applyNumberFormat="1" applyFont="1" applyBorder="1" applyAlignment="1">
      <alignment vertical="top" wrapText="1"/>
    </xf>
    <xf numFmtId="188" fontId="4" fillId="0" borderId="0" xfId="0" applyNumberFormat="1" applyFont="1" applyBorder="1" applyAlignment="1">
      <alignment vertical="top" wrapText="1"/>
    </xf>
    <xf numFmtId="188" fontId="4" fillId="0" borderId="57" xfId="0" applyNumberFormat="1" applyFont="1" applyBorder="1" applyAlignment="1">
      <alignment vertical="top" wrapText="1"/>
    </xf>
    <xf numFmtId="188" fontId="4" fillId="0" borderId="0" xfId="0" applyNumberFormat="1" applyFont="1" applyBorder="1" applyAlignment="1">
      <alignment vertical="top" wrapText="1"/>
    </xf>
    <xf numFmtId="188" fontId="6" fillId="0" borderId="57" xfId="0" applyNumberFormat="1" applyFont="1" applyFill="1" applyBorder="1" applyAlignment="1">
      <alignment vertical="top" wrapText="1"/>
    </xf>
    <xf numFmtId="188" fontId="6" fillId="0" borderId="0" xfId="0" applyNumberFormat="1" applyFont="1" applyFill="1" applyBorder="1" applyAlignment="1">
      <alignment vertical="top" wrapText="1"/>
    </xf>
    <xf numFmtId="188" fontId="8" fillId="0" borderId="53" xfId="0" applyNumberFormat="1" applyFont="1" applyBorder="1" applyAlignment="1">
      <alignment horizontal="right" vertical="top" wrapText="1"/>
    </xf>
    <xf numFmtId="188" fontId="8" fillId="0" borderId="63" xfId="0" applyNumberFormat="1" applyFont="1" applyBorder="1" applyAlignment="1">
      <alignment horizontal="right" vertical="top" wrapText="1"/>
    </xf>
    <xf numFmtId="188" fontId="8" fillId="0" borderId="32" xfId="0" applyNumberFormat="1" applyFont="1" applyBorder="1" applyAlignment="1">
      <alignment horizontal="right" vertical="top" wrapText="1"/>
    </xf>
    <xf numFmtId="188" fontId="8" fillId="0" borderId="68" xfId="0" applyNumberFormat="1" applyFont="1" applyBorder="1" applyAlignment="1">
      <alignment horizontal="right" vertical="top" wrapText="1"/>
    </xf>
    <xf numFmtId="188" fontId="8" fillId="0" borderId="69" xfId="0" applyNumberFormat="1" applyFont="1" applyBorder="1" applyAlignment="1">
      <alignment horizontal="right" vertical="top" wrapText="1"/>
    </xf>
    <xf numFmtId="188" fontId="8" fillId="0" borderId="70" xfId="0" applyNumberFormat="1" applyFont="1" applyBorder="1" applyAlignment="1">
      <alignment horizontal="right" vertical="top"/>
    </xf>
    <xf numFmtId="188" fontId="8" fillId="0" borderId="71" xfId="0" applyNumberFormat="1" applyFont="1" applyBorder="1" applyAlignment="1">
      <alignment horizontal="right" vertical="top" wrapText="1"/>
    </xf>
    <xf numFmtId="188" fontId="8" fillId="0" borderId="72" xfId="0" applyNumberFormat="1" applyFont="1" applyBorder="1" applyAlignment="1">
      <alignment horizontal="right" vertical="top" wrapText="1"/>
    </xf>
    <xf numFmtId="188" fontId="8" fillId="0" borderId="73" xfId="0" applyNumberFormat="1" applyFont="1" applyBorder="1" applyAlignment="1">
      <alignment horizontal="right" vertical="top" wrapText="1"/>
    </xf>
    <xf numFmtId="188" fontId="6" fillId="24" borderId="7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188" fontId="8" fillId="0" borderId="53" xfId="0" applyNumberFormat="1" applyFont="1" applyBorder="1" applyAlignment="1">
      <alignment horizontal="right" vertical="top" wrapText="1"/>
    </xf>
    <xf numFmtId="188" fontId="6" fillId="0" borderId="53" xfId="0" applyNumberFormat="1" applyFont="1" applyBorder="1" applyAlignment="1">
      <alignment horizontal="right" vertical="top" wrapText="1"/>
    </xf>
    <xf numFmtId="49" fontId="6" fillId="0" borderId="73" xfId="0" applyNumberFormat="1" applyFont="1" applyFill="1" applyBorder="1" applyAlignment="1">
      <alignment horizontal="left" vertical="top" wrapText="1"/>
    </xf>
    <xf numFmtId="188" fontId="4" fillId="0" borderId="44" xfId="0" applyNumberFormat="1" applyFont="1" applyBorder="1" applyAlignment="1">
      <alignment horizontal="right" vertical="top"/>
    </xf>
    <xf numFmtId="188" fontId="4" fillId="0" borderId="21" xfId="0" applyNumberFormat="1" applyFont="1" applyFill="1" applyBorder="1" applyAlignment="1">
      <alignment horizontal="right" vertical="top"/>
    </xf>
    <xf numFmtId="188" fontId="4" fillId="0" borderId="0" xfId="0" applyNumberFormat="1" applyFont="1" applyFill="1" applyBorder="1" applyAlignment="1">
      <alignment horizontal="right" vertical="top"/>
    </xf>
    <xf numFmtId="0" fontId="8" fillId="0" borderId="39" xfId="0" applyFont="1" applyFill="1" applyBorder="1" applyAlignment="1">
      <alignment vertical="top" wrapText="1"/>
    </xf>
    <xf numFmtId="188" fontId="4" fillId="25" borderId="54" xfId="0" applyNumberFormat="1" applyFont="1" applyFill="1" applyBorder="1" applyAlignment="1">
      <alignment horizontal="right" vertical="top"/>
    </xf>
    <xf numFmtId="188" fontId="4" fillId="25" borderId="23" xfId="0" applyNumberFormat="1" applyFont="1" applyFill="1" applyBorder="1" applyAlignment="1">
      <alignment horizontal="right" vertical="top"/>
    </xf>
    <xf numFmtId="0" fontId="8" fillId="25" borderId="53" xfId="0" applyFont="1" applyFill="1" applyBorder="1" applyAlignment="1">
      <alignment horizontal="center" vertical="top" wrapText="1"/>
    </xf>
    <xf numFmtId="0" fontId="8" fillId="25" borderId="27" xfId="0" applyFont="1" applyFill="1" applyBorder="1" applyAlignment="1">
      <alignment horizontal="center" vertical="top" wrapText="1"/>
    </xf>
    <xf numFmtId="0" fontId="8" fillId="25" borderId="26" xfId="0" applyFont="1" applyFill="1" applyBorder="1" applyAlignment="1">
      <alignment horizontal="center" vertical="top" wrapText="1"/>
    </xf>
    <xf numFmtId="0" fontId="8" fillId="25" borderId="2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88" fontId="5" fillId="4" borderId="14" xfId="0" applyNumberFormat="1" applyFont="1" applyFill="1" applyBorder="1" applyAlignment="1">
      <alignment horizontal="right" vertical="top"/>
    </xf>
    <xf numFmtId="188" fontId="4" fillId="0" borderId="67" xfId="0" applyNumberFormat="1" applyFont="1" applyFill="1" applyBorder="1" applyAlignment="1">
      <alignment horizontal="right" vertical="top" wrapText="1"/>
    </xf>
    <xf numFmtId="188" fontId="4" fillId="0" borderId="64" xfId="0" applyNumberFormat="1" applyFont="1" applyFill="1" applyBorder="1" applyAlignment="1">
      <alignment horizontal="right" vertical="top" wrapText="1"/>
    </xf>
    <xf numFmtId="188" fontId="4" fillId="0" borderId="27" xfId="0" applyNumberFormat="1" applyFont="1" applyBorder="1" applyAlignment="1">
      <alignment horizontal="right" vertical="top"/>
    </xf>
    <xf numFmtId="188" fontId="4" fillId="0" borderId="26" xfId="0" applyNumberFormat="1" applyFont="1" applyFill="1" applyBorder="1" applyAlignment="1">
      <alignment horizontal="right" vertical="top"/>
    </xf>
    <xf numFmtId="188" fontId="4" fillId="0" borderId="64" xfId="0" applyNumberFormat="1" applyFont="1" applyFill="1" applyBorder="1" applyAlignment="1">
      <alignment horizontal="right" vertical="top"/>
    </xf>
    <xf numFmtId="0" fontId="6" fillId="0" borderId="66" xfId="0" applyFont="1" applyBorder="1" applyAlignment="1">
      <alignment vertical="top"/>
    </xf>
    <xf numFmtId="0" fontId="6" fillId="0" borderId="39" xfId="52" applyFont="1" applyFill="1" applyBorder="1" applyAlignment="1">
      <alignment vertical="top" wrapText="1"/>
      <protection/>
    </xf>
    <xf numFmtId="0" fontId="8" fillId="0" borderId="29" xfId="0" applyFont="1" applyFill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/>
    </xf>
    <xf numFmtId="0" fontId="8" fillId="0" borderId="53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/>
    </xf>
    <xf numFmtId="0" fontId="8" fillId="0" borderId="56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56" xfId="0" applyFont="1" applyFill="1" applyBorder="1" applyAlignment="1">
      <alignment vertical="top" wrapText="1"/>
    </xf>
    <xf numFmtId="0" fontId="8" fillId="0" borderId="7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/>
    </xf>
    <xf numFmtId="0" fontId="8" fillId="0" borderId="62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188" fontId="6" fillId="0" borderId="0" xfId="0" applyNumberFormat="1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188" fontId="4" fillId="0" borderId="38" xfId="0" applyNumberFormat="1" applyFont="1" applyFill="1" applyBorder="1" applyAlignment="1">
      <alignment horizontal="right" vertical="top"/>
    </xf>
    <xf numFmtId="188" fontId="5" fillId="0" borderId="45" xfId="0" applyNumberFormat="1" applyFont="1" applyFill="1" applyBorder="1" applyAlignment="1">
      <alignment horizontal="right" vertical="top"/>
    </xf>
    <xf numFmtId="188" fontId="8" fillId="0" borderId="53" xfId="0" applyNumberFormat="1" applyFont="1" applyFill="1" applyBorder="1" applyAlignment="1">
      <alignment horizontal="center" vertical="top" wrapText="1"/>
    </xf>
    <xf numFmtId="188" fontId="4" fillId="0" borderId="63" xfId="0" applyNumberFormat="1" applyFont="1" applyFill="1" applyBorder="1" applyAlignment="1">
      <alignment horizontal="right" vertical="top"/>
    </xf>
    <xf numFmtId="188" fontId="4" fillId="0" borderId="39" xfId="0" applyNumberFormat="1" applyFont="1" applyFill="1" applyBorder="1" applyAlignment="1">
      <alignment horizontal="right" vertical="top"/>
    </xf>
    <xf numFmtId="188" fontId="5" fillId="0" borderId="56" xfId="0" applyNumberFormat="1" applyFont="1" applyFill="1" applyBorder="1" applyAlignment="1">
      <alignment horizontal="right" vertical="top"/>
    </xf>
    <xf numFmtId="188" fontId="4" fillId="25" borderId="38" xfId="0" applyNumberFormat="1" applyFont="1" applyFill="1" applyBorder="1" applyAlignment="1">
      <alignment horizontal="right" vertical="top" wrapText="1"/>
    </xf>
    <xf numFmtId="188" fontId="4" fillId="25" borderId="45" xfId="0" applyNumberFormat="1" applyFont="1" applyFill="1" applyBorder="1" applyAlignment="1">
      <alignment horizontal="right" vertical="top" wrapText="1"/>
    </xf>
    <xf numFmtId="188" fontId="4" fillId="0" borderId="52" xfId="0" applyNumberFormat="1" applyFont="1" applyFill="1" applyBorder="1" applyAlignment="1">
      <alignment horizontal="right" vertical="top"/>
    </xf>
    <xf numFmtId="188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 wrapText="1"/>
    </xf>
    <xf numFmtId="188" fontId="5" fillId="0" borderId="0" xfId="0" applyNumberFormat="1" applyFont="1" applyFill="1" applyBorder="1" applyAlignment="1">
      <alignment vertical="top" wrapText="1"/>
    </xf>
    <xf numFmtId="188" fontId="5" fillId="0" borderId="57" xfId="0" applyNumberFormat="1" applyFont="1" applyFill="1" applyBorder="1" applyAlignment="1">
      <alignment vertical="top" wrapText="1"/>
    </xf>
    <xf numFmtId="188" fontId="6" fillId="0" borderId="57" xfId="0" applyNumberFormat="1" applyFont="1" applyFill="1" applyBorder="1" applyAlignment="1">
      <alignment vertical="top" wrapText="1"/>
    </xf>
    <xf numFmtId="188" fontId="6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25" fillId="0" borderId="0" xfId="0" applyFont="1" applyAlignment="1">
      <alignment vertical="top"/>
    </xf>
    <xf numFmtId="188" fontId="0" fillId="0" borderId="0" xfId="0" applyNumberFormat="1" applyFont="1" applyAlignment="1">
      <alignment vertical="top"/>
    </xf>
    <xf numFmtId="188" fontId="5" fillId="24" borderId="76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188" fontId="5" fillId="8" borderId="20" xfId="0" applyNumberFormat="1" applyFont="1" applyFill="1" applyBorder="1" applyAlignment="1">
      <alignment horizontal="center" vertical="top"/>
    </xf>
    <xf numFmtId="188" fontId="5" fillId="24" borderId="3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188" fontId="5" fillId="4" borderId="41" xfId="0" applyNumberFormat="1" applyFont="1" applyFill="1" applyBorder="1" applyAlignment="1">
      <alignment horizontal="center" vertical="top"/>
    </xf>
    <xf numFmtId="188" fontId="5" fillId="4" borderId="42" xfId="0" applyNumberFormat="1" applyFont="1" applyFill="1" applyBorder="1" applyAlignment="1">
      <alignment horizontal="center" vertical="top"/>
    </xf>
    <xf numFmtId="188" fontId="5" fillId="8" borderId="46" xfId="0" applyNumberFormat="1" applyFont="1" applyFill="1" applyBorder="1" applyAlignment="1">
      <alignment horizontal="center" vertical="top"/>
    </xf>
    <xf numFmtId="188" fontId="5" fillId="4" borderId="44" xfId="0" applyNumberFormat="1" applyFont="1" applyFill="1" applyBorder="1" applyAlignment="1">
      <alignment horizontal="center" vertical="top"/>
    </xf>
    <xf numFmtId="188" fontId="5" fillId="8" borderId="21" xfId="0" applyNumberFormat="1" applyFont="1" applyFill="1" applyBorder="1" applyAlignment="1">
      <alignment horizontal="center" vertical="top"/>
    </xf>
    <xf numFmtId="188" fontId="5" fillId="24" borderId="77" xfId="0" applyNumberFormat="1" applyFont="1" applyFill="1" applyBorder="1" applyAlignment="1">
      <alignment horizontal="center" vertical="top"/>
    </xf>
    <xf numFmtId="188" fontId="5" fillId="4" borderId="45" xfId="0" applyNumberFormat="1" applyFont="1" applyFill="1" applyBorder="1" applyAlignment="1">
      <alignment horizontal="center" vertical="top"/>
    </xf>
    <xf numFmtId="188" fontId="5" fillId="8" borderId="29" xfId="0" applyNumberFormat="1" applyFont="1" applyFill="1" applyBorder="1" applyAlignment="1">
      <alignment horizontal="center" vertical="top"/>
    </xf>
    <xf numFmtId="188" fontId="5" fillId="4" borderId="27" xfId="0" applyNumberFormat="1" applyFont="1" applyFill="1" applyBorder="1" applyAlignment="1">
      <alignment horizontal="center" vertical="top"/>
    </xf>
    <xf numFmtId="188" fontId="5" fillId="8" borderId="26" xfId="0" applyNumberFormat="1" applyFont="1" applyFill="1" applyBorder="1" applyAlignment="1">
      <alignment horizontal="center" vertical="top"/>
    </xf>
    <xf numFmtId="188" fontId="4" fillId="0" borderId="44" xfId="0" applyNumberFormat="1" applyFont="1" applyFill="1" applyBorder="1" applyAlignment="1">
      <alignment horizontal="center" vertical="top"/>
    </xf>
    <xf numFmtId="188" fontId="4" fillId="0" borderId="37" xfId="0" applyNumberFormat="1" applyFont="1" applyFill="1" applyBorder="1" applyAlignment="1">
      <alignment horizontal="center" vertical="top"/>
    </xf>
    <xf numFmtId="188" fontId="4" fillId="25" borderId="27" xfId="0" applyNumberFormat="1" applyFont="1" applyFill="1" applyBorder="1" applyAlignment="1">
      <alignment horizontal="right" vertical="top" wrapText="1"/>
    </xf>
    <xf numFmtId="188" fontId="4" fillId="25" borderId="57" xfId="0" applyNumberFormat="1" applyFont="1" applyFill="1" applyBorder="1" applyAlignment="1">
      <alignment horizontal="right" vertical="top" wrapText="1"/>
    </xf>
    <xf numFmtId="188" fontId="4" fillId="25" borderId="56" xfId="0" applyNumberFormat="1" applyFont="1" applyFill="1" applyBorder="1" applyAlignment="1">
      <alignment horizontal="right" vertical="top" wrapText="1"/>
    </xf>
    <xf numFmtId="188" fontId="4" fillId="25" borderId="26" xfId="0" applyNumberFormat="1" applyFont="1" applyFill="1" applyBorder="1" applyAlignment="1">
      <alignment horizontal="right" vertical="top" wrapText="1"/>
    </xf>
    <xf numFmtId="188" fontId="4" fillId="25" borderId="29" xfId="0" applyNumberFormat="1" applyFont="1" applyFill="1" applyBorder="1" applyAlignment="1">
      <alignment horizontal="right" vertical="top" wrapText="1"/>
    </xf>
    <xf numFmtId="188" fontId="5" fillId="4" borderId="78" xfId="0" applyNumberFormat="1" applyFont="1" applyFill="1" applyBorder="1" applyAlignment="1">
      <alignment horizontal="right" vertical="top"/>
    </xf>
    <xf numFmtId="188" fontId="5" fillId="4" borderId="15" xfId="0" applyNumberFormat="1" applyFont="1" applyFill="1" applyBorder="1" applyAlignment="1">
      <alignment horizontal="right" vertical="top"/>
    </xf>
    <xf numFmtId="188" fontId="5" fillId="4" borderId="79" xfId="0" applyNumberFormat="1" applyFont="1" applyFill="1" applyBorder="1" applyAlignment="1">
      <alignment horizontal="right" vertical="top"/>
    </xf>
    <xf numFmtId="188" fontId="5" fillId="4" borderId="80" xfId="0" applyNumberFormat="1" applyFont="1" applyFill="1" applyBorder="1" applyAlignment="1">
      <alignment horizontal="right" vertical="top"/>
    </xf>
    <xf numFmtId="188" fontId="5" fillId="4" borderId="78" xfId="0" applyNumberFormat="1" applyFont="1" applyFill="1" applyBorder="1" applyAlignment="1">
      <alignment horizontal="right" vertical="center"/>
    </xf>
    <xf numFmtId="188" fontId="5" fillId="4" borderId="15" xfId="0" applyNumberFormat="1" applyFont="1" applyFill="1" applyBorder="1" applyAlignment="1">
      <alignment horizontal="right" vertical="center"/>
    </xf>
    <xf numFmtId="188" fontId="5" fillId="4" borderId="79" xfId="0" applyNumberFormat="1" applyFont="1" applyFill="1" applyBorder="1" applyAlignment="1">
      <alignment horizontal="right" vertical="center"/>
    </xf>
    <xf numFmtId="188" fontId="5" fillId="4" borderId="80" xfId="0" applyNumberFormat="1" applyFont="1" applyFill="1" applyBorder="1" applyAlignment="1">
      <alignment horizontal="right" vertical="center"/>
    </xf>
    <xf numFmtId="188" fontId="5" fillId="4" borderId="81" xfId="0" applyNumberFormat="1" applyFont="1" applyFill="1" applyBorder="1" applyAlignment="1">
      <alignment horizontal="right" vertical="center"/>
    </xf>
    <xf numFmtId="49" fontId="5" fillId="8" borderId="19" xfId="0" applyNumberFormat="1" applyFont="1" applyFill="1" applyBorder="1" applyAlignment="1">
      <alignment horizontal="center" vertical="top"/>
    </xf>
    <xf numFmtId="49" fontId="5" fillId="8" borderId="18" xfId="0" applyNumberFormat="1" applyFont="1" applyFill="1" applyBorder="1" applyAlignment="1">
      <alignment horizontal="center" vertical="top"/>
    </xf>
    <xf numFmtId="49" fontId="5" fillId="24" borderId="35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0" fontId="22" fillId="0" borderId="17" xfId="51" applyFont="1" applyFill="1" applyBorder="1" applyAlignment="1">
      <alignment horizontal="left" vertical="top" wrapText="1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20" fillId="25" borderId="37" xfId="51" applyFont="1" applyFill="1" applyBorder="1" applyAlignment="1">
      <alignment horizontal="center" vertical="top"/>
      <protection/>
    </xf>
    <xf numFmtId="0" fontId="8" fillId="25" borderId="17" xfId="0" applyFont="1" applyFill="1" applyBorder="1" applyAlignment="1">
      <alignment horizontal="center" vertical="top" wrapText="1"/>
    </xf>
    <xf numFmtId="0" fontId="20" fillId="25" borderId="52" xfId="51" applyFont="1" applyFill="1" applyBorder="1" applyAlignment="1">
      <alignment horizontal="center" vertical="top"/>
      <protection/>
    </xf>
    <xf numFmtId="0" fontId="8" fillId="25" borderId="25" xfId="0" applyFont="1" applyFill="1" applyBorder="1" applyAlignment="1">
      <alignment horizontal="center" vertical="top" wrapText="1"/>
    </xf>
    <xf numFmtId="0" fontId="20" fillId="25" borderId="17" xfId="51" applyFont="1" applyFill="1" applyBorder="1" applyAlignment="1">
      <alignment horizontal="left" vertical="center" wrapText="1"/>
      <protection/>
    </xf>
    <xf numFmtId="188" fontId="4" fillId="0" borderId="75" xfId="0" applyNumberFormat="1" applyFont="1" applyFill="1" applyBorder="1" applyAlignment="1">
      <alignment horizontal="right" vertical="top" wrapText="1"/>
    </xf>
    <xf numFmtId="49" fontId="8" fillId="25" borderId="7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188" fontId="5" fillId="16" borderId="82" xfId="0" applyNumberFormat="1" applyFont="1" applyFill="1" applyBorder="1" applyAlignment="1">
      <alignment horizontal="right" vertical="top"/>
    </xf>
    <xf numFmtId="0" fontId="6" fillId="16" borderId="65" xfId="0" applyFont="1" applyFill="1" applyBorder="1" applyAlignment="1">
      <alignment horizontal="center" vertical="top"/>
    </xf>
    <xf numFmtId="188" fontId="5" fillId="16" borderId="54" xfId="0" applyNumberFormat="1" applyFont="1" applyFill="1" applyBorder="1" applyAlignment="1">
      <alignment horizontal="right" vertical="top"/>
    </xf>
    <xf numFmtId="188" fontId="5" fillId="16" borderId="24" xfId="0" applyNumberFormat="1" applyFont="1" applyFill="1" applyBorder="1" applyAlignment="1">
      <alignment horizontal="right" vertical="top"/>
    </xf>
    <xf numFmtId="188" fontId="5" fillId="16" borderId="49" xfId="0" applyNumberFormat="1" applyFont="1" applyFill="1" applyBorder="1" applyAlignment="1">
      <alignment horizontal="right" vertical="top"/>
    </xf>
    <xf numFmtId="188" fontId="5" fillId="16" borderId="34" xfId="0" applyNumberFormat="1" applyFont="1" applyFill="1" applyBorder="1" applyAlignment="1">
      <alignment horizontal="right" vertical="top"/>
    </xf>
    <xf numFmtId="188" fontId="5" fillId="16" borderId="50" xfId="0" applyNumberFormat="1" applyFont="1" applyFill="1" applyBorder="1" applyAlignment="1">
      <alignment horizontal="right" vertical="top"/>
    </xf>
    <xf numFmtId="0" fontId="6" fillId="16" borderId="83" xfId="0" applyFont="1" applyFill="1" applyBorder="1" applyAlignment="1">
      <alignment horizontal="center" vertical="top"/>
    </xf>
    <xf numFmtId="188" fontId="5" fillId="16" borderId="36" xfId="0" applyNumberFormat="1" applyFont="1" applyFill="1" applyBorder="1" applyAlignment="1">
      <alignment horizontal="right" vertical="top"/>
    </xf>
    <xf numFmtId="188" fontId="5" fillId="16" borderId="84" xfId="0" applyNumberFormat="1" applyFont="1" applyFill="1" applyBorder="1" applyAlignment="1">
      <alignment horizontal="right" vertical="top"/>
    </xf>
    <xf numFmtId="188" fontId="5" fillId="16" borderId="31" xfId="0" applyNumberFormat="1" applyFont="1" applyFill="1" applyBorder="1" applyAlignment="1">
      <alignment horizontal="right" vertical="top"/>
    </xf>
    <xf numFmtId="188" fontId="5" fillId="16" borderId="85" xfId="0" applyNumberFormat="1" applyFont="1" applyFill="1" applyBorder="1" applyAlignment="1">
      <alignment horizontal="right" vertical="top"/>
    </xf>
    <xf numFmtId="188" fontId="5" fillId="16" borderId="83" xfId="0" applyNumberFormat="1" applyFont="1" applyFill="1" applyBorder="1" applyAlignment="1">
      <alignment horizontal="right" vertical="top"/>
    </xf>
    <xf numFmtId="188" fontId="5" fillId="16" borderId="65" xfId="0" applyNumberFormat="1" applyFont="1" applyFill="1" applyBorder="1" applyAlignment="1">
      <alignment horizontal="right" vertical="top"/>
    </xf>
    <xf numFmtId="0" fontId="6" fillId="16" borderId="71" xfId="0" applyFont="1" applyFill="1" applyBorder="1" applyAlignment="1">
      <alignment horizontal="center" vertical="top" wrapText="1"/>
    </xf>
    <xf numFmtId="188" fontId="4" fillId="16" borderId="41" xfId="0" applyNumberFormat="1" applyFont="1" applyFill="1" applyBorder="1" applyAlignment="1">
      <alignment horizontal="right" vertical="top"/>
    </xf>
    <xf numFmtId="188" fontId="4" fillId="16" borderId="42" xfId="0" applyNumberFormat="1" applyFont="1" applyFill="1" applyBorder="1" applyAlignment="1">
      <alignment horizontal="right" vertical="top"/>
    </xf>
    <xf numFmtId="188" fontId="4" fillId="16" borderId="43" xfId="0" applyNumberFormat="1" applyFont="1" applyFill="1" applyBorder="1" applyAlignment="1">
      <alignment horizontal="right" vertical="top"/>
    </xf>
    <xf numFmtId="188" fontId="4" fillId="16" borderId="46" xfId="0" applyNumberFormat="1" applyFont="1" applyFill="1" applyBorder="1" applyAlignment="1">
      <alignment horizontal="right" vertical="top"/>
    </xf>
    <xf numFmtId="188" fontId="4" fillId="16" borderId="25" xfId="0" applyNumberFormat="1" applyFont="1" applyFill="1" applyBorder="1" applyAlignment="1">
      <alignment horizontal="right" vertical="top"/>
    </xf>
    <xf numFmtId="188" fontId="4" fillId="16" borderId="51" xfId="0" applyNumberFormat="1" applyFont="1" applyFill="1" applyBorder="1" applyAlignment="1">
      <alignment horizontal="right" vertical="top"/>
    </xf>
    <xf numFmtId="188" fontId="4" fillId="16" borderId="10" xfId="0" applyNumberFormat="1" applyFont="1" applyFill="1" applyBorder="1" applyAlignment="1">
      <alignment horizontal="right" vertical="top"/>
    </xf>
    <xf numFmtId="188" fontId="4" fillId="16" borderId="44" xfId="0" applyNumberFormat="1" applyFont="1" applyFill="1" applyBorder="1" applyAlignment="1">
      <alignment horizontal="right" vertical="top"/>
    </xf>
    <xf numFmtId="188" fontId="4" fillId="16" borderId="52" xfId="0" applyNumberFormat="1" applyFont="1" applyFill="1" applyBorder="1" applyAlignment="1">
      <alignment horizontal="right" vertical="top"/>
    </xf>
    <xf numFmtId="0" fontId="6" fillId="16" borderId="76" xfId="0" applyFont="1" applyFill="1" applyBorder="1" applyAlignment="1">
      <alignment horizontal="center" vertical="top" wrapText="1"/>
    </xf>
    <xf numFmtId="188" fontId="5" fillId="16" borderId="86" xfId="0" applyNumberFormat="1" applyFont="1" applyFill="1" applyBorder="1" applyAlignment="1">
      <alignment horizontal="right" vertical="top"/>
    </xf>
    <xf numFmtId="188" fontId="5" fillId="16" borderId="76" xfId="0" applyNumberFormat="1" applyFont="1" applyFill="1" applyBorder="1" applyAlignment="1">
      <alignment horizontal="right" vertical="top"/>
    </xf>
    <xf numFmtId="0" fontId="6" fillId="16" borderId="76" xfId="0" applyFont="1" applyFill="1" applyBorder="1" applyAlignment="1">
      <alignment horizontal="center" vertical="top" wrapText="1"/>
    </xf>
    <xf numFmtId="188" fontId="4" fillId="16" borderId="59" xfId="0" applyNumberFormat="1" applyFont="1" applyFill="1" applyBorder="1" applyAlignment="1">
      <alignment horizontal="right" vertical="top"/>
    </xf>
    <xf numFmtId="188" fontId="4" fillId="16" borderId="60" xfId="0" applyNumberFormat="1" applyFont="1" applyFill="1" applyBorder="1" applyAlignment="1">
      <alignment horizontal="right" vertical="top"/>
    </xf>
    <xf numFmtId="188" fontId="4" fillId="16" borderId="61" xfId="0" applyNumberFormat="1" applyFont="1" applyFill="1" applyBorder="1" applyAlignment="1">
      <alignment horizontal="right" vertical="top"/>
    </xf>
    <xf numFmtId="188" fontId="5" fillId="16" borderId="20" xfId="0" applyNumberFormat="1" applyFont="1" applyFill="1" applyBorder="1" applyAlignment="1">
      <alignment horizontal="right" vertical="top"/>
    </xf>
    <xf numFmtId="188" fontId="5" fillId="16" borderId="47" xfId="0" applyNumberFormat="1" applyFont="1" applyFill="1" applyBorder="1" applyAlignment="1">
      <alignment horizontal="right" vertical="top"/>
    </xf>
    <xf numFmtId="188" fontId="4" fillId="16" borderId="20" xfId="0" applyNumberFormat="1" applyFont="1" applyFill="1" applyBorder="1" applyAlignment="1">
      <alignment horizontal="right" vertical="top"/>
    </xf>
    <xf numFmtId="188" fontId="4" fillId="16" borderId="47" xfId="0" applyNumberFormat="1" applyFont="1" applyFill="1" applyBorder="1" applyAlignment="1">
      <alignment horizontal="right" vertical="top"/>
    </xf>
    <xf numFmtId="188" fontId="4" fillId="16" borderId="58" xfId="0" applyNumberFormat="1" applyFont="1" applyFill="1" applyBorder="1" applyAlignment="1">
      <alignment horizontal="right" vertical="top"/>
    </xf>
    <xf numFmtId="188" fontId="4" fillId="16" borderId="30" xfId="0" applyNumberFormat="1" applyFont="1" applyFill="1" applyBorder="1" applyAlignment="1">
      <alignment horizontal="right" vertical="top"/>
    </xf>
    <xf numFmtId="188" fontId="4" fillId="16" borderId="17" xfId="0" applyNumberFormat="1" applyFont="1" applyFill="1" applyBorder="1" applyAlignment="1">
      <alignment horizontal="right" vertical="top"/>
    </xf>
    <xf numFmtId="188" fontId="4" fillId="16" borderId="55" xfId="0" applyNumberFormat="1" applyFont="1" applyFill="1" applyBorder="1" applyAlignment="1">
      <alignment horizontal="right" vertical="top"/>
    </xf>
    <xf numFmtId="188" fontId="4" fillId="16" borderId="23" xfId="0" applyNumberFormat="1" applyFont="1" applyFill="1" applyBorder="1" applyAlignment="1">
      <alignment horizontal="right" vertical="top"/>
    </xf>
    <xf numFmtId="188" fontId="5" fillId="16" borderId="87" xfId="0" applyNumberFormat="1" applyFont="1" applyFill="1" applyBorder="1" applyAlignment="1">
      <alignment horizontal="right" vertical="top"/>
    </xf>
    <xf numFmtId="188" fontId="5" fillId="16" borderId="48" xfId="0" applyNumberFormat="1" applyFont="1" applyFill="1" applyBorder="1" applyAlignment="1">
      <alignment horizontal="right" vertical="top"/>
    </xf>
    <xf numFmtId="0" fontId="6" fillId="16" borderId="83" xfId="0" applyFont="1" applyFill="1" applyBorder="1" applyAlignment="1">
      <alignment horizontal="center" vertical="top" wrapText="1"/>
    </xf>
    <xf numFmtId="188" fontId="5" fillId="16" borderId="54" xfId="0" applyNumberFormat="1" applyFont="1" applyFill="1" applyBorder="1" applyAlignment="1">
      <alignment horizontal="right" vertical="top"/>
    </xf>
    <xf numFmtId="188" fontId="5" fillId="16" borderId="82" xfId="0" applyNumberFormat="1" applyFont="1" applyFill="1" applyBorder="1" applyAlignment="1">
      <alignment horizontal="right" vertical="top"/>
    </xf>
    <xf numFmtId="188" fontId="5" fillId="16" borderId="24" xfId="0" applyNumberFormat="1" applyFont="1" applyFill="1" applyBorder="1" applyAlignment="1">
      <alignment horizontal="right" vertical="top"/>
    </xf>
    <xf numFmtId="188" fontId="5" fillId="16" borderId="49" xfId="0" applyNumberFormat="1" applyFont="1" applyFill="1" applyBorder="1" applyAlignment="1">
      <alignment horizontal="right" vertical="top"/>
    </xf>
    <xf numFmtId="188" fontId="5" fillId="16" borderId="65" xfId="0" applyNumberFormat="1" applyFont="1" applyFill="1" applyBorder="1" applyAlignment="1">
      <alignment horizontal="right" vertical="top"/>
    </xf>
    <xf numFmtId="0" fontId="6" fillId="16" borderId="83" xfId="0" applyFont="1" applyFill="1" applyBorder="1" applyAlignment="1">
      <alignment horizontal="center" vertical="center"/>
    </xf>
    <xf numFmtId="188" fontId="5" fillId="16" borderId="36" xfId="0" applyNumberFormat="1" applyFont="1" applyFill="1" applyBorder="1" applyAlignment="1">
      <alignment horizontal="right" vertical="center"/>
    </xf>
    <xf numFmtId="188" fontId="5" fillId="16" borderId="86" xfId="0" applyNumberFormat="1" applyFont="1" applyFill="1" applyBorder="1" applyAlignment="1">
      <alignment horizontal="right" vertical="center"/>
    </xf>
    <xf numFmtId="188" fontId="5" fillId="16" borderId="85" xfId="0" applyNumberFormat="1" applyFont="1" applyFill="1" applyBorder="1" applyAlignment="1">
      <alignment horizontal="right" vertical="center"/>
    </xf>
    <xf numFmtId="188" fontId="5" fillId="16" borderId="85" xfId="0" applyNumberFormat="1" applyFont="1" applyFill="1" applyBorder="1" applyAlignment="1">
      <alignment horizontal="right" vertical="center" wrapText="1"/>
    </xf>
    <xf numFmtId="188" fontId="4" fillId="16" borderId="65" xfId="0" applyNumberFormat="1" applyFont="1" applyFill="1" applyBorder="1" applyAlignment="1">
      <alignment horizontal="right" vertical="center" wrapText="1"/>
    </xf>
    <xf numFmtId="188" fontId="4" fillId="16" borderId="58" xfId="0" applyNumberFormat="1" applyFont="1" applyFill="1" applyBorder="1" applyAlignment="1">
      <alignment horizontal="right" vertical="top"/>
    </xf>
    <xf numFmtId="188" fontId="4" fillId="16" borderId="42" xfId="0" applyNumberFormat="1" applyFont="1" applyFill="1" applyBorder="1" applyAlignment="1">
      <alignment horizontal="right" vertical="top"/>
    </xf>
    <xf numFmtId="188" fontId="4" fillId="16" borderId="43" xfId="0" applyNumberFormat="1" applyFont="1" applyFill="1" applyBorder="1" applyAlignment="1">
      <alignment horizontal="right" vertical="top"/>
    </xf>
    <xf numFmtId="188" fontId="4" fillId="16" borderId="23" xfId="0" applyNumberFormat="1" applyFont="1" applyFill="1" applyBorder="1" applyAlignment="1">
      <alignment horizontal="right" vertical="top"/>
    </xf>
    <xf numFmtId="188" fontId="4" fillId="16" borderId="20" xfId="0" applyNumberFormat="1" applyFont="1" applyFill="1" applyBorder="1" applyAlignment="1">
      <alignment horizontal="right" vertical="top"/>
    </xf>
    <xf numFmtId="188" fontId="4" fillId="16" borderId="47" xfId="0" applyNumberFormat="1" applyFont="1" applyFill="1" applyBorder="1" applyAlignment="1">
      <alignment horizontal="right" vertical="top"/>
    </xf>
    <xf numFmtId="188" fontId="4" fillId="16" borderId="63" xfId="0" applyNumberFormat="1" applyFont="1" applyFill="1" applyBorder="1" applyAlignment="1">
      <alignment horizontal="right" vertical="top"/>
    </xf>
    <xf numFmtId="188" fontId="4" fillId="16" borderId="17" xfId="0" applyNumberFormat="1" applyFont="1" applyFill="1" applyBorder="1" applyAlignment="1">
      <alignment horizontal="right" vertical="top"/>
    </xf>
    <xf numFmtId="188" fontId="4" fillId="16" borderId="55" xfId="0" applyNumberFormat="1" applyFont="1" applyFill="1" applyBorder="1" applyAlignment="1">
      <alignment horizontal="right" vertical="top"/>
    </xf>
    <xf numFmtId="188" fontId="4" fillId="16" borderId="41" xfId="0" applyNumberFormat="1" applyFont="1" applyFill="1" applyBorder="1" applyAlignment="1">
      <alignment horizontal="right" vertical="top"/>
    </xf>
    <xf numFmtId="188" fontId="5" fillId="16" borderId="20" xfId="0" applyNumberFormat="1" applyFont="1" applyFill="1" applyBorder="1" applyAlignment="1">
      <alignment horizontal="right" vertical="top"/>
    </xf>
    <xf numFmtId="188" fontId="5" fillId="16" borderId="47" xfId="0" applyNumberFormat="1" applyFont="1" applyFill="1" applyBorder="1" applyAlignment="1">
      <alignment horizontal="right" vertical="top"/>
    </xf>
    <xf numFmtId="188" fontId="4" fillId="16" borderId="46" xfId="0" applyNumberFormat="1" applyFont="1" applyFill="1" applyBorder="1" applyAlignment="1">
      <alignment horizontal="right" vertical="top"/>
    </xf>
    <xf numFmtId="188" fontId="4" fillId="16" borderId="11" xfId="0" applyNumberFormat="1" applyFont="1" applyFill="1" applyBorder="1" applyAlignment="1">
      <alignment horizontal="right" vertical="top"/>
    </xf>
    <xf numFmtId="188" fontId="4" fillId="16" borderId="39" xfId="0" applyNumberFormat="1" applyFont="1" applyFill="1" applyBorder="1" applyAlignment="1">
      <alignment horizontal="right" vertical="top"/>
    </xf>
    <xf numFmtId="0" fontId="6" fillId="16" borderId="34" xfId="0" applyFont="1" applyFill="1" applyBorder="1" applyAlignment="1">
      <alignment horizontal="center" vertical="top" wrapText="1"/>
    </xf>
    <xf numFmtId="188" fontId="5" fillId="16" borderId="50" xfId="0" applyNumberFormat="1" applyFont="1" applyFill="1" applyBorder="1" applyAlignment="1">
      <alignment horizontal="right" vertical="top"/>
    </xf>
    <xf numFmtId="188" fontId="5" fillId="16" borderId="76" xfId="0" applyNumberFormat="1" applyFont="1" applyFill="1" applyBorder="1" applyAlignment="1">
      <alignment horizontal="right" vertical="top"/>
    </xf>
    <xf numFmtId="188" fontId="5" fillId="16" borderId="31" xfId="0" applyNumberFormat="1" applyFont="1" applyFill="1" applyBorder="1" applyAlignment="1">
      <alignment horizontal="right" vertical="top"/>
    </xf>
    <xf numFmtId="188" fontId="5" fillId="16" borderId="86" xfId="0" applyNumberFormat="1" applyFont="1" applyFill="1" applyBorder="1" applyAlignment="1">
      <alignment horizontal="right" vertical="top"/>
    </xf>
    <xf numFmtId="188" fontId="5" fillId="16" borderId="84" xfId="0" applyNumberFormat="1" applyFont="1" applyFill="1" applyBorder="1" applyAlignment="1">
      <alignment horizontal="right" vertical="top"/>
    </xf>
    <xf numFmtId="0" fontId="6" fillId="16" borderId="83" xfId="0" applyFont="1" applyFill="1" applyBorder="1" applyAlignment="1">
      <alignment horizontal="center" vertical="center"/>
    </xf>
    <xf numFmtId="188" fontId="5" fillId="16" borderId="65" xfId="0" applyNumberFormat="1" applyFont="1" applyFill="1" applyBorder="1" applyAlignment="1">
      <alignment horizontal="right" vertical="center"/>
    </xf>
    <xf numFmtId="0" fontId="6" fillId="16" borderId="84" xfId="0" applyFont="1" applyFill="1" applyBorder="1" applyAlignment="1">
      <alignment horizontal="center" vertical="top" wrapText="1"/>
    </xf>
    <xf numFmtId="188" fontId="5" fillId="16" borderId="36" xfId="0" applyNumberFormat="1" applyFont="1" applyFill="1" applyBorder="1" applyAlignment="1">
      <alignment horizontal="center" vertical="top"/>
    </xf>
    <xf numFmtId="188" fontId="5" fillId="16" borderId="84" xfId="0" applyNumberFormat="1" applyFont="1" applyFill="1" applyBorder="1" applyAlignment="1">
      <alignment horizontal="center" vertical="top"/>
    </xf>
    <xf numFmtId="188" fontId="5" fillId="16" borderId="31" xfId="0" applyNumberFormat="1" applyFont="1" applyFill="1" applyBorder="1" applyAlignment="1">
      <alignment horizontal="center" vertical="top"/>
    </xf>
    <xf numFmtId="188" fontId="5" fillId="16" borderId="85" xfId="0" applyNumberFormat="1" applyFont="1" applyFill="1" applyBorder="1" applyAlignment="1">
      <alignment horizontal="center" vertical="top"/>
    </xf>
    <xf numFmtId="188" fontId="5" fillId="16" borderId="77" xfId="0" applyNumberFormat="1" applyFont="1" applyFill="1" applyBorder="1" applyAlignment="1">
      <alignment horizontal="center" vertical="top"/>
    </xf>
    <xf numFmtId="188" fontId="5" fillId="16" borderId="36" xfId="0" applyNumberFormat="1" applyFont="1" applyFill="1" applyBorder="1" applyAlignment="1">
      <alignment vertical="top"/>
    </xf>
    <xf numFmtId="188" fontId="5" fillId="16" borderId="31" xfId="0" applyNumberFormat="1" applyFont="1" applyFill="1" applyBorder="1" applyAlignment="1">
      <alignment vertical="top"/>
    </xf>
    <xf numFmtId="188" fontId="5" fillId="16" borderId="85" xfId="0" applyNumberFormat="1" applyFont="1" applyFill="1" applyBorder="1" applyAlignment="1">
      <alignment vertical="top"/>
    </xf>
    <xf numFmtId="188" fontId="5" fillId="16" borderId="83" xfId="0" applyNumberFormat="1" applyFont="1" applyFill="1" applyBorder="1" applyAlignment="1">
      <alignment horizontal="center" vertical="top"/>
    </xf>
    <xf numFmtId="188" fontId="5" fillId="16" borderId="65" xfId="0" applyNumberFormat="1" applyFont="1" applyFill="1" applyBorder="1" applyAlignment="1">
      <alignment horizontal="center" vertical="top"/>
    </xf>
    <xf numFmtId="0" fontId="6" fillId="16" borderId="83" xfId="0" applyFont="1" applyFill="1" applyBorder="1" applyAlignment="1">
      <alignment horizontal="center" vertical="top" wrapText="1"/>
    </xf>
    <xf numFmtId="188" fontId="5" fillId="16" borderId="77" xfId="0" applyNumberFormat="1" applyFont="1" applyFill="1" applyBorder="1" applyAlignment="1">
      <alignment horizontal="right" vertical="top"/>
    </xf>
    <xf numFmtId="188" fontId="5" fillId="16" borderId="28" xfId="0" applyNumberFormat="1" applyFont="1" applyFill="1" applyBorder="1" applyAlignment="1">
      <alignment horizontal="right" vertical="top"/>
    </xf>
    <xf numFmtId="188" fontId="5" fillId="16" borderId="36" xfId="0" applyNumberFormat="1" applyFont="1" applyFill="1" applyBorder="1" applyAlignment="1">
      <alignment horizontal="right" vertical="top"/>
    </xf>
    <xf numFmtId="188" fontId="5" fillId="16" borderId="77" xfId="0" applyNumberFormat="1" applyFont="1" applyFill="1" applyBorder="1" applyAlignment="1">
      <alignment horizontal="right" vertical="top"/>
    </xf>
    <xf numFmtId="188" fontId="5" fillId="16" borderId="85" xfId="0" applyNumberFormat="1" applyFont="1" applyFill="1" applyBorder="1" applyAlignment="1">
      <alignment horizontal="right" vertical="top"/>
    </xf>
    <xf numFmtId="188" fontId="4" fillId="16" borderId="10" xfId="0" applyNumberFormat="1" applyFont="1" applyFill="1" applyBorder="1" applyAlignment="1">
      <alignment horizontal="right" vertical="top"/>
    </xf>
    <xf numFmtId="188" fontId="4" fillId="16" borderId="25" xfId="0" applyNumberFormat="1" applyFont="1" applyFill="1" applyBorder="1" applyAlignment="1">
      <alignment horizontal="right" vertical="top"/>
    </xf>
    <xf numFmtId="188" fontId="4" fillId="16" borderId="51" xfId="0" applyNumberFormat="1" applyFont="1" applyFill="1" applyBorder="1" applyAlignment="1">
      <alignment horizontal="right" vertical="top"/>
    </xf>
    <xf numFmtId="188" fontId="4" fillId="16" borderId="57" xfId="0" applyNumberFormat="1" applyFont="1" applyFill="1" applyBorder="1" applyAlignment="1">
      <alignment horizontal="right" vertical="top"/>
    </xf>
    <xf numFmtId="188" fontId="4" fillId="16" borderId="37" xfId="0" applyNumberFormat="1" applyFont="1" applyFill="1" applyBorder="1" applyAlignment="1">
      <alignment horizontal="right" vertical="top"/>
    </xf>
    <xf numFmtId="188" fontId="4" fillId="16" borderId="41" xfId="0" applyNumberFormat="1" applyFont="1" applyFill="1" applyBorder="1" applyAlignment="1">
      <alignment vertical="top"/>
    </xf>
    <xf numFmtId="188" fontId="4" fillId="16" borderId="42" xfId="0" applyNumberFormat="1" applyFont="1" applyFill="1" applyBorder="1" applyAlignment="1">
      <alignment vertical="top"/>
    </xf>
    <xf numFmtId="188" fontId="4" fillId="16" borderId="43" xfId="0" applyNumberFormat="1" applyFont="1" applyFill="1" applyBorder="1" applyAlignment="1">
      <alignment vertical="top"/>
    </xf>
    <xf numFmtId="188" fontId="4" fillId="16" borderId="46" xfId="0" applyNumberFormat="1" applyFont="1" applyFill="1" applyBorder="1" applyAlignment="1">
      <alignment vertical="top"/>
    </xf>
    <xf numFmtId="188" fontId="4" fillId="16" borderId="20" xfId="0" applyNumberFormat="1" applyFont="1" applyFill="1" applyBorder="1" applyAlignment="1">
      <alignment vertical="top"/>
    </xf>
    <xf numFmtId="188" fontId="4" fillId="16" borderId="47" xfId="0" applyNumberFormat="1" applyFont="1" applyFill="1" applyBorder="1" applyAlignment="1">
      <alignment vertical="top"/>
    </xf>
    <xf numFmtId="188" fontId="4" fillId="16" borderId="30" xfId="0" applyNumberFormat="1" applyFont="1" applyFill="1" applyBorder="1" applyAlignment="1">
      <alignment horizontal="right" vertical="top"/>
    </xf>
    <xf numFmtId="188" fontId="4" fillId="16" borderId="44" xfId="0" applyNumberFormat="1" applyFont="1" applyFill="1" applyBorder="1" applyAlignment="1">
      <alignment horizontal="right" vertical="top"/>
    </xf>
    <xf numFmtId="188" fontId="4" fillId="16" borderId="21" xfId="0" applyNumberFormat="1" applyFont="1" applyFill="1" applyBorder="1" applyAlignment="1">
      <alignment horizontal="right" vertical="top"/>
    </xf>
    <xf numFmtId="188" fontId="4" fillId="16" borderId="28" xfId="0" applyNumberFormat="1" applyFont="1" applyFill="1" applyBorder="1" applyAlignment="1">
      <alignment horizontal="right" vertical="top"/>
    </xf>
    <xf numFmtId="188" fontId="4" fillId="16" borderId="48" xfId="0" applyNumberFormat="1" applyFont="1" applyFill="1" applyBorder="1" applyAlignment="1">
      <alignment horizontal="right" vertical="top"/>
    </xf>
    <xf numFmtId="188" fontId="4" fillId="16" borderId="52" xfId="0" applyNumberFormat="1" applyFont="1" applyFill="1" applyBorder="1" applyAlignment="1">
      <alignment horizontal="right" vertical="top"/>
    </xf>
    <xf numFmtId="188" fontId="4" fillId="16" borderId="54" xfId="0" applyNumberFormat="1" applyFont="1" applyFill="1" applyBorder="1" applyAlignment="1">
      <alignment horizontal="right" vertical="top"/>
    </xf>
    <xf numFmtId="188" fontId="4" fillId="16" borderId="24" xfId="0" applyNumberFormat="1" applyFont="1" applyFill="1" applyBorder="1" applyAlignment="1">
      <alignment horizontal="right" vertical="top"/>
    </xf>
    <xf numFmtId="188" fontId="4" fillId="16" borderId="49" xfId="0" applyNumberFormat="1" applyFont="1" applyFill="1" applyBorder="1" applyAlignment="1">
      <alignment horizontal="right" vertical="top"/>
    </xf>
    <xf numFmtId="0" fontId="6" fillId="16" borderId="65" xfId="0" applyFont="1" applyFill="1" applyBorder="1" applyAlignment="1">
      <alignment horizontal="center" vertical="top" wrapText="1"/>
    </xf>
    <xf numFmtId="188" fontId="5" fillId="16" borderId="35" xfId="0" applyNumberFormat="1" applyFont="1" applyFill="1" applyBorder="1" applyAlignment="1">
      <alignment horizontal="right" vertical="top"/>
    </xf>
    <xf numFmtId="188" fontId="5" fillId="16" borderId="88" xfId="0" applyNumberFormat="1" applyFont="1" applyFill="1" applyBorder="1" applyAlignment="1">
      <alignment horizontal="right" vertical="top"/>
    </xf>
    <xf numFmtId="188" fontId="5" fillId="16" borderId="89" xfId="0" applyNumberFormat="1" applyFont="1" applyFill="1" applyBorder="1" applyAlignment="1">
      <alignment horizontal="right" vertical="top"/>
    </xf>
    <xf numFmtId="188" fontId="5" fillId="16" borderId="71" xfId="0" applyNumberFormat="1" applyFont="1" applyFill="1" applyBorder="1" applyAlignment="1">
      <alignment horizontal="right" vertical="top"/>
    </xf>
    <xf numFmtId="0" fontId="6" fillId="16" borderId="76" xfId="0" applyFont="1" applyFill="1" applyBorder="1" applyAlignment="1">
      <alignment horizontal="center" vertical="top" wrapText="1"/>
    </xf>
    <xf numFmtId="188" fontId="5" fillId="16" borderId="16" xfId="0" applyNumberFormat="1" applyFont="1" applyFill="1" applyBorder="1" applyAlignment="1">
      <alignment horizontal="right" vertical="top"/>
    </xf>
    <xf numFmtId="0" fontId="6" fillId="16" borderId="73" xfId="0" applyFont="1" applyFill="1" applyBorder="1" applyAlignment="1">
      <alignment horizontal="center" vertical="top" wrapText="1"/>
    </xf>
    <xf numFmtId="0" fontId="6" fillId="16" borderId="27" xfId="0" applyFont="1" applyFill="1" applyBorder="1" applyAlignment="1">
      <alignment horizontal="left" vertical="center" wrapText="1"/>
    </xf>
    <xf numFmtId="188" fontId="6" fillId="16" borderId="45" xfId="0" applyNumberFormat="1" applyFont="1" applyFill="1" applyBorder="1" applyAlignment="1">
      <alignment horizontal="right" vertical="top" wrapText="1"/>
    </xf>
    <xf numFmtId="0" fontId="6" fillId="16" borderId="57" xfId="0" applyFont="1" applyFill="1" applyBorder="1" applyAlignment="1">
      <alignment horizontal="left" vertical="center" wrapText="1"/>
    </xf>
    <xf numFmtId="188" fontId="6" fillId="16" borderId="71" xfId="0" applyNumberFormat="1" applyFont="1" applyFill="1" applyBorder="1" applyAlignment="1">
      <alignment horizontal="right" vertical="top" wrapText="1"/>
    </xf>
    <xf numFmtId="188" fontId="8" fillId="16" borderId="53" xfId="0" applyNumberFormat="1" applyFont="1" applyFill="1" applyBorder="1" applyAlignment="1">
      <alignment horizontal="right" vertical="top" wrapText="1"/>
    </xf>
    <xf numFmtId="188" fontId="8" fillId="16" borderId="29" xfId="0" applyNumberFormat="1" applyFont="1" applyFill="1" applyBorder="1" applyAlignment="1">
      <alignment horizontal="right" vertical="top" wrapText="1"/>
    </xf>
    <xf numFmtId="188" fontId="8" fillId="16" borderId="65" xfId="0" applyNumberFormat="1" applyFont="1" applyFill="1" applyBorder="1" applyAlignment="1">
      <alignment horizontal="right" vertical="top" wrapText="1"/>
    </xf>
    <xf numFmtId="188" fontId="8" fillId="16" borderId="53" xfId="0" applyNumberFormat="1" applyFont="1" applyFill="1" applyBorder="1" applyAlignment="1">
      <alignment horizontal="right" vertical="top" wrapText="1"/>
    </xf>
    <xf numFmtId="188" fontId="6" fillId="16" borderId="53" xfId="0" applyNumberFormat="1" applyFont="1" applyFill="1" applyBorder="1" applyAlignment="1">
      <alignment horizontal="right" vertical="top" wrapText="1"/>
    </xf>
    <xf numFmtId="49" fontId="6" fillId="0" borderId="56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top" wrapText="1"/>
    </xf>
    <xf numFmtId="188" fontId="27" fillId="0" borderId="35" xfId="0" applyNumberFormat="1" applyFont="1" applyFill="1" applyBorder="1" applyAlignment="1">
      <alignment horizontal="center" vertical="top" wrapText="1"/>
    </xf>
    <xf numFmtId="188" fontId="27" fillId="0" borderId="59" xfId="0" applyNumberFormat="1" applyFont="1" applyFill="1" applyBorder="1" applyAlignment="1">
      <alignment horizontal="center" vertical="top" wrapText="1"/>
    </xf>
    <xf numFmtId="188" fontId="27" fillId="0" borderId="41" xfId="0" applyNumberFormat="1" applyFont="1" applyFill="1" applyBorder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top" wrapText="1"/>
    </xf>
    <xf numFmtId="188" fontId="27" fillId="0" borderId="58" xfId="0" applyNumberFormat="1" applyFont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top" wrapText="1"/>
    </xf>
    <xf numFmtId="0" fontId="6" fillId="0" borderId="62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49" fontId="5" fillId="8" borderId="10" xfId="0" applyNumberFormat="1" applyFont="1" applyFill="1" applyBorder="1" applyAlignment="1">
      <alignment horizontal="left" vertical="top"/>
    </xf>
    <xf numFmtId="49" fontId="5" fillId="8" borderId="36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49" fontId="5" fillId="4" borderId="15" xfId="0" applyNumberFormat="1" applyFont="1" applyFill="1" applyBorder="1" applyAlignment="1">
      <alignment horizontal="center" vertical="top"/>
    </xf>
    <xf numFmtId="188" fontId="11" fillId="0" borderId="41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188" fontId="11" fillId="0" borderId="11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49" fontId="5" fillId="8" borderId="59" xfId="0" applyNumberFormat="1" applyFont="1" applyFill="1" applyBorder="1" applyAlignment="1">
      <alignment horizontal="center" vertical="top"/>
    </xf>
    <xf numFmtId="188" fontId="6" fillId="0" borderId="59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top" wrapText="1"/>
    </xf>
    <xf numFmtId="49" fontId="5" fillId="8" borderId="12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188" fontId="6" fillId="0" borderId="41" xfId="0" applyNumberFormat="1" applyFont="1" applyFill="1" applyBorder="1" applyAlignment="1">
      <alignment horizontal="center" vertical="top" wrapText="1"/>
    </xf>
    <xf numFmtId="188" fontId="4" fillId="0" borderId="29" xfId="0" applyNumberFormat="1" applyFont="1" applyFill="1" applyBorder="1" applyAlignment="1">
      <alignment horizontal="right" vertical="top"/>
    </xf>
    <xf numFmtId="0" fontId="8" fillId="0" borderId="34" xfId="0" applyFont="1" applyFill="1" applyBorder="1" applyAlignment="1">
      <alignment horizontal="center" vertical="top" wrapText="1"/>
    </xf>
    <xf numFmtId="188" fontId="4" fillId="0" borderId="54" xfId="0" applyNumberFormat="1" applyFont="1" applyFill="1" applyBorder="1" applyAlignment="1">
      <alignment horizontal="right" vertical="top"/>
    </xf>
    <xf numFmtId="188" fontId="4" fillId="0" borderId="24" xfId="0" applyNumberFormat="1" applyFont="1" applyFill="1" applyBorder="1" applyAlignment="1">
      <alignment horizontal="right" vertical="top"/>
    </xf>
    <xf numFmtId="188" fontId="4" fillId="0" borderId="49" xfId="0" applyNumberFormat="1" applyFont="1" applyFill="1" applyBorder="1" applyAlignment="1">
      <alignment horizontal="right" vertical="top"/>
    </xf>
    <xf numFmtId="188" fontId="4" fillId="0" borderId="24" xfId="0" applyNumberFormat="1" applyFont="1" applyBorder="1" applyAlignment="1">
      <alignment horizontal="right" vertical="top"/>
    </xf>
    <xf numFmtId="188" fontId="4" fillId="0" borderId="48" xfId="0" applyNumberFormat="1" applyFont="1" applyFill="1" applyBorder="1" applyAlignment="1">
      <alignment horizontal="right" vertical="top"/>
    </xf>
    <xf numFmtId="188" fontId="4" fillId="0" borderId="50" xfId="0" applyNumberFormat="1" applyFont="1" applyBorder="1" applyAlignment="1">
      <alignment horizontal="right" vertical="top"/>
    </xf>
    <xf numFmtId="188" fontId="5" fillId="11" borderId="11" xfId="0" applyNumberFormat="1" applyFont="1" applyFill="1" applyBorder="1" applyAlignment="1">
      <alignment horizontal="right" vertical="top"/>
    </xf>
    <xf numFmtId="188" fontId="5" fillId="11" borderId="17" xfId="0" applyNumberFormat="1" applyFont="1" applyFill="1" applyBorder="1" applyAlignment="1">
      <alignment horizontal="right" vertical="top"/>
    </xf>
    <xf numFmtId="188" fontId="5" fillId="11" borderId="55" xfId="0" applyNumberFormat="1" applyFont="1" applyFill="1" applyBorder="1" applyAlignment="1">
      <alignment horizontal="right" vertical="top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49" fontId="5" fillId="8" borderId="10" xfId="0" applyNumberFormat="1" applyFont="1" applyFill="1" applyBorder="1" applyAlignment="1">
      <alignment horizontal="center" vertical="top"/>
    </xf>
    <xf numFmtId="188" fontId="4" fillId="0" borderId="48" xfId="0" applyNumberFormat="1" applyFont="1" applyBorder="1" applyAlignment="1">
      <alignment horizontal="right" vertical="top"/>
    </xf>
    <xf numFmtId="0" fontId="8" fillId="0" borderId="39" xfId="0" applyFont="1" applyFill="1" applyBorder="1" applyAlignment="1">
      <alignment horizontal="center" vertical="top"/>
    </xf>
    <xf numFmtId="188" fontId="5" fillId="0" borderId="20" xfId="0" applyNumberFormat="1" applyFont="1" applyFill="1" applyBorder="1" applyAlignment="1">
      <alignment horizontal="right" vertical="top"/>
    </xf>
    <xf numFmtId="188" fontId="5" fillId="11" borderId="0" xfId="0" applyNumberFormat="1" applyFont="1" applyFill="1" applyBorder="1" applyAlignment="1">
      <alignment horizontal="right" vertical="top"/>
    </xf>
    <xf numFmtId="188" fontId="4" fillId="0" borderId="82" xfId="0" applyNumberFormat="1" applyFont="1" applyFill="1" applyBorder="1" applyAlignment="1">
      <alignment horizontal="right" vertical="top"/>
    </xf>
    <xf numFmtId="188" fontId="4" fillId="0" borderId="82" xfId="0" applyNumberFormat="1" applyFont="1" applyBorder="1" applyAlignment="1">
      <alignment horizontal="right" vertical="top"/>
    </xf>
    <xf numFmtId="188" fontId="4" fillId="0" borderId="50" xfId="0" applyNumberFormat="1" applyFont="1" applyFill="1" applyBorder="1" applyAlignment="1">
      <alignment horizontal="right" vertical="top"/>
    </xf>
    <xf numFmtId="188" fontId="11" fillId="0" borderId="54" xfId="0" applyNumberFormat="1" applyFont="1" applyFill="1" applyBorder="1" applyAlignment="1">
      <alignment vertical="center" textRotation="90" wrapText="1"/>
    </xf>
    <xf numFmtId="0" fontId="8" fillId="0" borderId="32" xfId="0" applyFont="1" applyBorder="1" applyAlignment="1">
      <alignment horizontal="center" vertical="top"/>
    </xf>
    <xf numFmtId="188" fontId="5" fillId="11" borderId="37" xfId="0" applyNumberFormat="1" applyFont="1" applyFill="1" applyBorder="1" applyAlignment="1">
      <alignment horizontal="right" vertical="top"/>
    </xf>
    <xf numFmtId="0" fontId="8" fillId="0" borderId="38" xfId="0" applyFont="1" applyFill="1" applyBorder="1" applyAlignment="1">
      <alignment horizontal="center" vertical="top"/>
    </xf>
    <xf numFmtId="188" fontId="4" fillId="0" borderId="11" xfId="0" applyNumberFormat="1" applyFont="1" applyFill="1" applyBorder="1" applyAlignment="1">
      <alignment horizontal="right" vertical="top"/>
    </xf>
    <xf numFmtId="188" fontId="4" fillId="0" borderId="0" xfId="0" applyNumberFormat="1" applyFont="1" applyBorder="1" applyAlignment="1">
      <alignment horizontal="right" vertical="top"/>
    </xf>
    <xf numFmtId="188" fontId="4" fillId="0" borderId="37" xfId="0" applyNumberFormat="1" applyFont="1" applyBorder="1" applyAlignment="1">
      <alignment horizontal="right" vertical="top"/>
    </xf>
    <xf numFmtId="188" fontId="5" fillId="0" borderId="41" xfId="0" applyNumberFormat="1" applyFont="1" applyFill="1" applyBorder="1" applyAlignment="1">
      <alignment horizontal="center" vertical="top" wrapText="1"/>
    </xf>
    <xf numFmtId="188" fontId="5" fillId="0" borderId="11" xfId="0" applyNumberFormat="1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/>
    </xf>
    <xf numFmtId="188" fontId="4" fillId="0" borderId="17" xfId="0" applyNumberFormat="1" applyFont="1" applyBorder="1" applyAlignment="1">
      <alignment horizontal="right" vertical="top"/>
    </xf>
    <xf numFmtId="188" fontId="4" fillId="0" borderId="56" xfId="0" applyNumberFormat="1" applyFont="1" applyBorder="1" applyAlignment="1">
      <alignment horizontal="right" vertical="top"/>
    </xf>
    <xf numFmtId="0" fontId="5" fillId="0" borderId="47" xfId="52" applyFont="1" applyFill="1" applyBorder="1" applyAlignment="1">
      <alignment vertical="top" wrapText="1"/>
      <protection/>
    </xf>
    <xf numFmtId="0" fontId="8" fillId="0" borderId="34" xfId="0" applyFont="1" applyFill="1" applyBorder="1" applyAlignment="1">
      <alignment horizontal="center" vertical="top"/>
    </xf>
    <xf numFmtId="188" fontId="4" fillId="0" borderId="87" xfId="0" applyNumberFormat="1" applyFont="1" applyFill="1" applyBorder="1" applyAlignment="1">
      <alignment horizontal="right" vertical="top"/>
    </xf>
    <xf numFmtId="188" fontId="4" fillId="0" borderId="57" xfId="0" applyNumberFormat="1" applyFont="1" applyFill="1" applyBorder="1" applyAlignment="1">
      <alignment horizontal="right" vertical="top"/>
    </xf>
    <xf numFmtId="0" fontId="4" fillId="0" borderId="7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188" fontId="4" fillId="0" borderId="28" xfId="0" applyNumberFormat="1" applyFont="1" applyFill="1" applyBorder="1" applyAlignment="1">
      <alignment horizontal="right" vertical="top"/>
    </xf>
    <xf numFmtId="49" fontId="5" fillId="8" borderId="14" xfId="0" applyNumberFormat="1" applyFont="1" applyFill="1" applyBorder="1" applyAlignment="1">
      <alignment vertical="top"/>
    </xf>
    <xf numFmtId="188" fontId="5" fillId="4" borderId="19" xfId="0" applyNumberFormat="1" applyFont="1" applyFill="1" applyBorder="1" applyAlignment="1">
      <alignment horizontal="right" vertical="center"/>
    </xf>
    <xf numFmtId="188" fontId="6" fillId="0" borderId="58" xfId="0" applyNumberFormat="1" applyFont="1" applyBorder="1" applyAlignment="1">
      <alignment horizontal="center" vertical="center" wrapText="1"/>
    </xf>
    <xf numFmtId="188" fontId="8" fillId="0" borderId="66" xfId="0" applyNumberFormat="1" applyFont="1" applyFill="1" applyBorder="1" applyAlignment="1">
      <alignment horizontal="center" vertical="top" wrapText="1"/>
    </xf>
    <xf numFmtId="188" fontId="4" fillId="0" borderId="66" xfId="0" applyNumberFormat="1" applyFont="1" applyFill="1" applyBorder="1" applyAlignment="1">
      <alignment horizontal="right" vertical="top"/>
    </xf>
    <xf numFmtId="188" fontId="5" fillId="0" borderId="62" xfId="0" applyNumberFormat="1" applyFont="1" applyFill="1" applyBorder="1" applyAlignment="1">
      <alignment horizontal="right" vertical="top"/>
    </xf>
    <xf numFmtId="0" fontId="8" fillId="0" borderId="29" xfId="0" applyFont="1" applyBorder="1" applyAlignment="1">
      <alignment horizontal="center" vertical="top" wrapText="1"/>
    </xf>
    <xf numFmtId="188" fontId="4" fillId="0" borderId="33" xfId="0" applyNumberFormat="1" applyFont="1" applyFill="1" applyBorder="1" applyAlignment="1">
      <alignment horizontal="right" vertical="top"/>
    </xf>
    <xf numFmtId="188" fontId="5" fillId="0" borderId="29" xfId="0" applyNumberFormat="1" applyFont="1" applyFill="1" applyBorder="1" applyAlignment="1">
      <alignment horizontal="right" vertical="top"/>
    </xf>
    <xf numFmtId="0" fontId="8" fillId="0" borderId="34" xfId="0" applyFont="1" applyBorder="1" applyAlignment="1">
      <alignment horizontal="center" vertical="top" wrapText="1"/>
    </xf>
    <xf numFmtId="188" fontId="4" fillId="0" borderId="34" xfId="0" applyNumberFormat="1" applyFont="1" applyFill="1" applyBorder="1" applyAlignment="1">
      <alignment horizontal="right" vertical="top"/>
    </xf>
    <xf numFmtId="188" fontId="5" fillId="0" borderId="50" xfId="0" applyNumberFormat="1" applyFont="1" applyFill="1" applyBorder="1" applyAlignment="1">
      <alignment horizontal="right" vertical="top"/>
    </xf>
    <xf numFmtId="188" fontId="5" fillId="4" borderId="14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188" fontId="4" fillId="0" borderId="39" xfId="0" applyNumberFormat="1" applyFont="1" applyFill="1" applyBorder="1" applyAlignment="1">
      <alignment horizontal="right" vertical="top" wrapText="1"/>
    </xf>
    <xf numFmtId="0" fontId="4" fillId="0" borderId="29" xfId="0" applyFont="1" applyBorder="1" applyAlignment="1">
      <alignment horizontal="center" vertical="top" wrapText="1"/>
    </xf>
    <xf numFmtId="188" fontId="4" fillId="0" borderId="42" xfId="0" applyNumberFormat="1" applyFont="1" applyFill="1" applyBorder="1" applyAlignment="1">
      <alignment horizontal="right" vertical="top" wrapText="1"/>
    </xf>
    <xf numFmtId="188" fontId="4" fillId="0" borderId="43" xfId="0" applyNumberFormat="1" applyFont="1" applyFill="1" applyBorder="1" applyAlignment="1">
      <alignment horizontal="right" vertical="top" wrapText="1"/>
    </xf>
    <xf numFmtId="188" fontId="4" fillId="0" borderId="44" xfId="0" applyNumberFormat="1" applyFont="1" applyFill="1" applyBorder="1" applyAlignment="1">
      <alignment horizontal="right" vertical="top" wrapText="1"/>
    </xf>
    <xf numFmtId="188" fontId="4" fillId="0" borderId="20" xfId="0" applyNumberFormat="1" applyFont="1" applyFill="1" applyBorder="1" applyAlignment="1">
      <alignment horizontal="right" vertical="top" wrapText="1"/>
    </xf>
    <xf numFmtId="188" fontId="4" fillId="0" borderId="47" xfId="0" applyNumberFormat="1" applyFont="1" applyFill="1" applyBorder="1" applyAlignment="1">
      <alignment horizontal="right" vertical="top" wrapText="1"/>
    </xf>
    <xf numFmtId="188" fontId="4" fillId="0" borderId="21" xfId="0" applyNumberFormat="1" applyFont="1" applyFill="1" applyBorder="1" applyAlignment="1">
      <alignment horizontal="right" vertical="top" wrapText="1"/>
    </xf>
    <xf numFmtId="0" fontId="4" fillId="0" borderId="53" xfId="0" applyFont="1" applyBorder="1" applyAlignment="1">
      <alignment horizontal="center" vertical="top" wrapText="1"/>
    </xf>
    <xf numFmtId="188" fontId="4" fillId="0" borderId="25" xfId="0" applyNumberFormat="1" applyFont="1" applyFill="1" applyBorder="1" applyAlignment="1">
      <alignment horizontal="right" vertical="top" wrapText="1"/>
    </xf>
    <xf numFmtId="188" fontId="4" fillId="0" borderId="51" xfId="0" applyNumberFormat="1" applyFont="1" applyFill="1" applyBorder="1" applyAlignment="1">
      <alignment horizontal="right" vertical="top" wrapText="1"/>
    </xf>
    <xf numFmtId="188" fontId="4" fillId="0" borderId="52" xfId="0" applyNumberFormat="1" applyFont="1" applyFill="1" applyBorder="1" applyAlignment="1">
      <alignment horizontal="right" vertical="top" wrapText="1"/>
    </xf>
    <xf numFmtId="188" fontId="4" fillId="0" borderId="53" xfId="0" applyNumberFormat="1" applyFont="1" applyFill="1" applyBorder="1" applyAlignment="1">
      <alignment horizontal="right" vertical="top" wrapText="1"/>
    </xf>
    <xf numFmtId="0" fontId="4" fillId="0" borderId="45" xfId="0" applyFont="1" applyFill="1" applyBorder="1" applyAlignment="1">
      <alignment horizontal="center" vertical="top" wrapText="1"/>
    </xf>
    <xf numFmtId="188" fontId="4" fillId="0" borderId="38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top" wrapText="1"/>
    </xf>
    <xf numFmtId="188" fontId="4" fillId="0" borderId="39" xfId="0" applyNumberFormat="1" applyFont="1" applyFill="1" applyBorder="1" applyAlignment="1">
      <alignment horizontal="right" vertical="top"/>
    </xf>
    <xf numFmtId="0" fontId="4" fillId="0" borderId="45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left" vertical="top" wrapText="1"/>
    </xf>
    <xf numFmtId="0" fontId="5" fillId="4" borderId="40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88" fontId="4" fillId="0" borderId="66" xfId="0" applyNumberFormat="1" applyFont="1" applyFill="1" applyBorder="1" applyAlignment="1">
      <alignment horizontal="right" vertical="top" wrapText="1"/>
    </xf>
    <xf numFmtId="0" fontId="4" fillId="0" borderId="53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center" vertical="top" wrapText="1"/>
    </xf>
    <xf numFmtId="188" fontId="4" fillId="0" borderId="33" xfId="0" applyNumberFormat="1" applyFont="1" applyFill="1" applyBorder="1" applyAlignment="1">
      <alignment horizontal="right" vertical="top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188" fontId="4" fillId="0" borderId="32" xfId="0" applyNumberFormat="1" applyFont="1" applyFill="1" applyBorder="1" applyAlignment="1">
      <alignment horizontal="right" vertical="top"/>
    </xf>
    <xf numFmtId="0" fontId="4" fillId="0" borderId="57" xfId="0" applyFont="1" applyFill="1" applyBorder="1" applyAlignment="1">
      <alignment horizontal="center" vertical="top" wrapText="1"/>
    </xf>
    <xf numFmtId="188" fontId="5" fillId="4" borderId="19" xfId="0" applyNumberFormat="1" applyFont="1" applyFill="1" applyBorder="1" applyAlignment="1">
      <alignment horizontal="right" vertical="top"/>
    </xf>
    <xf numFmtId="49" fontId="5" fillId="4" borderId="60" xfId="0" applyNumberFormat="1" applyFont="1" applyFill="1" applyBorder="1" applyAlignment="1">
      <alignment vertical="top"/>
    </xf>
    <xf numFmtId="49" fontId="5" fillId="4" borderId="80" xfId="0" applyNumberFormat="1" applyFont="1" applyFill="1" applyBorder="1" applyAlignment="1">
      <alignment horizontal="left" vertical="top"/>
    </xf>
    <xf numFmtId="49" fontId="31" fillId="4" borderId="81" xfId="0" applyNumberFormat="1" applyFont="1" applyFill="1" applyBorder="1" applyAlignment="1">
      <alignment horizontal="left" vertical="top"/>
    </xf>
    <xf numFmtId="49" fontId="11" fillId="4" borderId="81" xfId="0" applyNumberFormat="1" applyFont="1" applyFill="1" applyBorder="1" applyAlignment="1">
      <alignment horizontal="left" vertical="top"/>
    </xf>
    <xf numFmtId="49" fontId="5" fillId="4" borderId="81" xfId="0" applyNumberFormat="1" applyFont="1" applyFill="1" applyBorder="1" applyAlignment="1">
      <alignment horizontal="left" vertical="top"/>
    </xf>
    <xf numFmtId="0" fontId="8" fillId="4" borderId="46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47" xfId="0" applyFont="1" applyFill="1" applyBorder="1" applyAlignment="1">
      <alignment/>
    </xf>
    <xf numFmtId="49" fontId="5" fillId="4" borderId="16" xfId="0" applyNumberFormat="1" applyFont="1" applyFill="1" applyBorder="1" applyAlignment="1">
      <alignment horizontal="left" vertical="top"/>
    </xf>
    <xf numFmtId="49" fontId="5" fillId="4" borderId="40" xfId="0" applyNumberFormat="1" applyFont="1" applyFill="1" applyBorder="1" applyAlignment="1">
      <alignment horizontal="left" vertical="top"/>
    </xf>
    <xf numFmtId="188" fontId="4" fillId="0" borderId="55" xfId="0" applyNumberFormat="1" applyFont="1" applyBorder="1" applyAlignment="1">
      <alignment horizontal="right" vertical="top"/>
    </xf>
    <xf numFmtId="188" fontId="4" fillId="25" borderId="39" xfId="0" applyNumberFormat="1" applyFont="1" applyFill="1" applyBorder="1" applyAlignment="1">
      <alignment horizontal="right" vertical="top" wrapText="1"/>
    </xf>
    <xf numFmtId="188" fontId="4" fillId="25" borderId="50" xfId="0" applyNumberFormat="1" applyFont="1" applyFill="1" applyBorder="1" applyAlignment="1">
      <alignment horizontal="right" vertical="top" wrapText="1"/>
    </xf>
    <xf numFmtId="188" fontId="5" fillId="8" borderId="10" xfId="0" applyNumberFormat="1" applyFont="1" applyFill="1" applyBorder="1" applyAlignment="1">
      <alignment horizontal="center" vertical="top"/>
    </xf>
    <xf numFmtId="49" fontId="5" fillId="24" borderId="12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vertical="top"/>
    </xf>
    <xf numFmtId="0" fontId="3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88" fontId="5" fillId="0" borderId="0" xfId="0" applyNumberFormat="1" applyFont="1" applyBorder="1" applyAlignment="1">
      <alignment horizontal="center" vertical="top" wrapText="1"/>
    </xf>
    <xf numFmtId="188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8" fontId="11" fillId="0" borderId="0" xfId="0" applyNumberFormat="1" applyFont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/>
    </xf>
    <xf numFmtId="188" fontId="10" fillId="0" borderId="0" xfId="0" applyNumberFormat="1" applyFont="1" applyFill="1" applyBorder="1" applyAlignment="1">
      <alignment vertical="top"/>
    </xf>
    <xf numFmtId="188" fontId="6" fillId="0" borderId="57" xfId="0" applyNumberFormat="1" applyFont="1" applyFill="1" applyBorder="1" applyAlignment="1">
      <alignment vertical="center" wrapText="1"/>
    </xf>
    <xf numFmtId="188" fontId="6" fillId="0" borderId="0" xfId="0" applyNumberFormat="1" applyFont="1" applyFill="1" applyBorder="1" applyAlignment="1">
      <alignment vertical="center" wrapText="1"/>
    </xf>
    <xf numFmtId="188" fontId="4" fillId="0" borderId="57" xfId="0" applyNumberFormat="1" applyFont="1" applyFill="1" applyBorder="1" applyAlignment="1">
      <alignment vertical="top" wrapText="1"/>
    </xf>
    <xf numFmtId="188" fontId="4" fillId="0" borderId="0" xfId="0" applyNumberFormat="1" applyFont="1" applyFill="1" applyBorder="1" applyAlignment="1">
      <alignment vertical="top" wrapText="1"/>
    </xf>
    <xf numFmtId="188" fontId="4" fillId="0" borderId="57" xfId="0" applyNumberFormat="1" applyFont="1" applyBorder="1" applyAlignment="1">
      <alignment vertical="top" wrapText="1"/>
    </xf>
    <xf numFmtId="188" fontId="4" fillId="0" borderId="0" xfId="0" applyNumberFormat="1" applyFont="1" applyBorder="1" applyAlignment="1">
      <alignment vertical="top" wrapText="1"/>
    </xf>
    <xf numFmtId="49" fontId="4" fillId="0" borderId="60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50" fillId="0" borderId="39" xfId="0" applyFont="1" applyFill="1" applyBorder="1" applyAlignment="1">
      <alignment vertical="top" wrapText="1"/>
    </xf>
    <xf numFmtId="188" fontId="51" fillId="16" borderId="20" xfId="0" applyNumberFormat="1" applyFont="1" applyFill="1" applyBorder="1" applyAlignment="1">
      <alignment horizontal="right" vertical="top"/>
    </xf>
    <xf numFmtId="188" fontId="51" fillId="16" borderId="46" xfId="0" applyNumberFormat="1" applyFont="1" applyFill="1" applyBorder="1" applyAlignment="1">
      <alignment horizontal="right" vertical="top"/>
    </xf>
    <xf numFmtId="188" fontId="51" fillId="16" borderId="51" xfId="0" applyNumberFormat="1" applyFont="1" applyFill="1" applyBorder="1" applyAlignment="1">
      <alignment horizontal="right" vertical="top"/>
    </xf>
    <xf numFmtId="49" fontId="50" fillId="0" borderId="39" xfId="0" applyNumberFormat="1" applyFont="1" applyFill="1" applyBorder="1" applyAlignment="1">
      <alignment vertical="top" wrapText="1"/>
    </xf>
    <xf numFmtId="188" fontId="51" fillId="16" borderId="51" xfId="0" applyNumberFormat="1" applyFont="1" applyFill="1" applyBorder="1" applyAlignment="1">
      <alignment horizontal="right" vertical="top"/>
    </xf>
    <xf numFmtId="188" fontId="51" fillId="16" borderId="47" xfId="0" applyNumberFormat="1" applyFont="1" applyFill="1" applyBorder="1" applyAlignment="1">
      <alignment horizontal="right" vertical="top"/>
    </xf>
    <xf numFmtId="188" fontId="51" fillId="16" borderId="46" xfId="0" applyNumberFormat="1" applyFont="1" applyFill="1" applyBorder="1" applyAlignment="1">
      <alignment horizontal="right" vertical="top"/>
    </xf>
    <xf numFmtId="188" fontId="51" fillId="16" borderId="47" xfId="0" applyNumberFormat="1" applyFont="1" applyFill="1" applyBorder="1" applyAlignment="1">
      <alignment horizontal="right" vertical="top"/>
    </xf>
    <xf numFmtId="188" fontId="4" fillId="16" borderId="82" xfId="0" applyNumberFormat="1" applyFont="1" applyFill="1" applyBorder="1" applyAlignment="1">
      <alignment horizontal="right" vertical="top"/>
    </xf>
    <xf numFmtId="188" fontId="4" fillId="16" borderId="24" xfId="0" applyNumberFormat="1" applyFont="1" applyFill="1" applyBorder="1" applyAlignment="1">
      <alignment horizontal="right" vertical="top"/>
    </xf>
    <xf numFmtId="0" fontId="8" fillId="0" borderId="29" xfId="0" applyFont="1" applyFill="1" applyBorder="1" applyAlignment="1">
      <alignment horizontal="center" vertical="top"/>
    </xf>
    <xf numFmtId="188" fontId="51" fillId="16" borderId="49" xfId="0" applyNumberFormat="1" applyFont="1" applyFill="1" applyBorder="1" applyAlignment="1">
      <alignment horizontal="right" vertical="top"/>
    </xf>
    <xf numFmtId="0" fontId="50" fillId="0" borderId="0" xfId="0" applyFont="1" applyAlignment="1">
      <alignment/>
    </xf>
    <xf numFmtId="188" fontId="51" fillId="16" borderId="25" xfId="0" applyNumberFormat="1" applyFont="1" applyFill="1" applyBorder="1" applyAlignment="1">
      <alignment horizontal="right" vertical="top"/>
    </xf>
    <xf numFmtId="0" fontId="4" fillId="0" borderId="42" xfId="0" applyFont="1" applyBorder="1" applyAlignment="1">
      <alignment horizontal="center" vertical="top" wrapText="1"/>
    </xf>
    <xf numFmtId="49" fontId="4" fillId="4" borderId="81" xfId="0" applyNumberFormat="1" applyFont="1" applyFill="1" applyBorder="1" applyAlignment="1">
      <alignment horizontal="center" vertical="top"/>
    </xf>
    <xf numFmtId="49" fontId="4" fillId="4" borderId="81" xfId="0" applyNumberFormat="1" applyFont="1" applyFill="1" applyBorder="1" applyAlignment="1">
      <alignment horizontal="left" vertical="top"/>
    </xf>
    <xf numFmtId="188" fontId="51" fillId="16" borderId="63" xfId="0" applyNumberFormat="1" applyFont="1" applyFill="1" applyBorder="1" applyAlignment="1">
      <alignment horizontal="right" vertical="top"/>
    </xf>
    <xf numFmtId="188" fontId="51" fillId="16" borderId="10" xfId="0" applyNumberFormat="1" applyFont="1" applyFill="1" applyBorder="1" applyAlignment="1">
      <alignment horizontal="right" vertical="top"/>
    </xf>
    <xf numFmtId="188" fontId="51" fillId="16" borderId="42" xfId="0" applyNumberFormat="1" applyFont="1" applyFill="1" applyBorder="1" applyAlignment="1">
      <alignment horizontal="right" vertical="top"/>
    </xf>
    <xf numFmtId="188" fontId="51" fillId="16" borderId="43" xfId="0" applyNumberFormat="1" applyFont="1" applyFill="1" applyBorder="1" applyAlignment="1">
      <alignment horizontal="right" vertical="top"/>
    </xf>
    <xf numFmtId="188" fontId="51" fillId="16" borderId="41" xfId="0" applyNumberFormat="1" applyFont="1" applyFill="1" applyBorder="1" applyAlignment="1">
      <alignment horizontal="right" vertical="top"/>
    </xf>
    <xf numFmtId="188" fontId="4" fillId="16" borderId="54" xfId="0" applyNumberFormat="1" applyFont="1" applyFill="1" applyBorder="1" applyAlignment="1">
      <alignment horizontal="right" vertical="top"/>
    </xf>
    <xf numFmtId="188" fontId="4" fillId="16" borderId="49" xfId="0" applyNumberFormat="1" applyFont="1" applyFill="1" applyBorder="1" applyAlignment="1">
      <alignment horizontal="right" vertical="top"/>
    </xf>
    <xf numFmtId="0" fontId="6" fillId="16" borderId="83" xfId="0" applyFont="1" applyFill="1" applyBorder="1" applyAlignment="1">
      <alignment horizontal="right" vertical="top" wrapText="1"/>
    </xf>
    <xf numFmtId="188" fontId="4" fillId="16" borderId="48" xfId="0" applyNumberFormat="1" applyFont="1" applyFill="1" applyBorder="1" applyAlignment="1">
      <alignment horizontal="right" vertical="top"/>
    </xf>
    <xf numFmtId="0" fontId="5" fillId="16" borderId="84" xfId="0" applyFont="1" applyFill="1" applyBorder="1" applyAlignment="1">
      <alignment horizontal="center" vertical="top" wrapText="1"/>
    </xf>
    <xf numFmtId="0" fontId="6" fillId="16" borderId="83" xfId="0" applyFont="1" applyFill="1" applyBorder="1" applyAlignment="1">
      <alignment horizontal="center" vertical="center"/>
    </xf>
    <xf numFmtId="188" fontId="5" fillId="16" borderId="36" xfId="0" applyNumberFormat="1" applyFont="1" applyFill="1" applyBorder="1" applyAlignment="1">
      <alignment horizontal="right" vertical="center"/>
    </xf>
    <xf numFmtId="188" fontId="5" fillId="16" borderId="86" xfId="0" applyNumberFormat="1" applyFont="1" applyFill="1" applyBorder="1" applyAlignment="1">
      <alignment horizontal="right" vertical="center"/>
    </xf>
    <xf numFmtId="188" fontId="5" fillId="16" borderId="85" xfId="0" applyNumberFormat="1" applyFont="1" applyFill="1" applyBorder="1" applyAlignment="1">
      <alignment horizontal="right" vertical="center"/>
    </xf>
    <xf numFmtId="188" fontId="5" fillId="16" borderId="65" xfId="0" applyNumberFormat="1" applyFont="1" applyFill="1" applyBorder="1" applyAlignment="1">
      <alignment horizontal="right" vertical="center"/>
    </xf>
    <xf numFmtId="188" fontId="4" fillId="16" borderId="0" xfId="0" applyNumberFormat="1" applyFont="1" applyFill="1" applyBorder="1" applyAlignment="1">
      <alignment horizontal="right" vertical="top"/>
    </xf>
    <xf numFmtId="188" fontId="4" fillId="16" borderId="37" xfId="0" applyNumberFormat="1" applyFont="1" applyFill="1" applyBorder="1" applyAlignment="1">
      <alignment horizontal="right" vertical="top"/>
    </xf>
    <xf numFmtId="188" fontId="30" fillId="16" borderId="51" xfId="0" applyNumberFormat="1" applyFont="1" applyFill="1" applyBorder="1" applyAlignment="1">
      <alignment horizontal="right" vertical="top"/>
    </xf>
    <xf numFmtId="188" fontId="4" fillId="16" borderId="57" xfId="0" applyNumberFormat="1" applyFont="1" applyFill="1" applyBorder="1" applyAlignment="1">
      <alignment horizontal="right" vertical="top"/>
    </xf>
    <xf numFmtId="188" fontId="4" fillId="16" borderId="41" xfId="0" applyNumberFormat="1" applyFont="1" applyFill="1" applyBorder="1" applyAlignment="1">
      <alignment horizontal="center" vertical="top"/>
    </xf>
    <xf numFmtId="188" fontId="4" fillId="16" borderId="42" xfId="0" applyNumberFormat="1" applyFont="1" applyFill="1" applyBorder="1" applyAlignment="1">
      <alignment horizontal="center" vertical="top"/>
    </xf>
    <xf numFmtId="188" fontId="4" fillId="16" borderId="43" xfId="0" applyNumberFormat="1" applyFont="1" applyFill="1" applyBorder="1" applyAlignment="1">
      <alignment horizontal="center" vertical="top"/>
    </xf>
    <xf numFmtId="188" fontId="4" fillId="16" borderId="46" xfId="0" applyNumberFormat="1" applyFont="1" applyFill="1" applyBorder="1" applyAlignment="1">
      <alignment horizontal="center" vertical="top"/>
    </xf>
    <xf numFmtId="188" fontId="4" fillId="16" borderId="17" xfId="0" applyNumberFormat="1" applyFont="1" applyFill="1" applyBorder="1" applyAlignment="1">
      <alignment horizontal="center" vertical="top"/>
    </xf>
    <xf numFmtId="188" fontId="4" fillId="16" borderId="55" xfId="0" applyNumberFormat="1" applyFont="1" applyFill="1" applyBorder="1" applyAlignment="1">
      <alignment horizontal="center" vertical="top"/>
    </xf>
    <xf numFmtId="188" fontId="4" fillId="16" borderId="21" xfId="0" applyNumberFormat="1" applyFont="1" applyFill="1" applyBorder="1" applyAlignment="1">
      <alignment horizontal="right" vertical="top"/>
    </xf>
    <xf numFmtId="188" fontId="4" fillId="16" borderId="28" xfId="0" applyNumberFormat="1" applyFont="1" applyFill="1" applyBorder="1" applyAlignment="1">
      <alignment horizontal="right" vertical="top"/>
    </xf>
    <xf numFmtId="0" fontId="6" fillId="16" borderId="83" xfId="0" applyFont="1" applyFill="1" applyBorder="1" applyAlignment="1">
      <alignment horizontal="right" vertical="center"/>
    </xf>
    <xf numFmtId="188" fontId="5" fillId="16" borderId="85" xfId="0" applyNumberFormat="1" applyFont="1" applyFill="1" applyBorder="1" applyAlignment="1">
      <alignment horizontal="right" vertical="center" wrapText="1"/>
    </xf>
    <xf numFmtId="188" fontId="4" fillId="16" borderId="65" xfId="0" applyNumberFormat="1" applyFont="1" applyFill="1" applyBorder="1" applyAlignment="1">
      <alignment horizontal="right" vertical="center" wrapText="1"/>
    </xf>
    <xf numFmtId="0" fontId="5" fillId="16" borderId="65" xfId="0" applyFont="1" applyFill="1" applyBorder="1" applyAlignment="1">
      <alignment horizontal="center" vertical="top"/>
    </xf>
    <xf numFmtId="0" fontId="5" fillId="16" borderId="65" xfId="0" applyFont="1" applyFill="1" applyBorder="1" applyAlignment="1">
      <alignment horizontal="center" vertical="top" wrapText="1"/>
    </xf>
    <xf numFmtId="0" fontId="5" fillId="16" borderId="65" xfId="0" applyFont="1" applyFill="1" applyBorder="1" applyAlignment="1">
      <alignment horizontal="right" vertical="top"/>
    </xf>
    <xf numFmtId="188" fontId="30" fillId="16" borderId="42" xfId="0" applyNumberFormat="1" applyFont="1" applyFill="1" applyBorder="1" applyAlignment="1">
      <alignment horizontal="right" vertical="top"/>
    </xf>
    <xf numFmtId="188" fontId="51" fillId="16" borderId="42" xfId="0" applyNumberFormat="1" applyFont="1" applyFill="1" applyBorder="1" applyAlignment="1">
      <alignment horizontal="right" vertical="top" wrapText="1"/>
    </xf>
    <xf numFmtId="188" fontId="4" fillId="16" borderId="42" xfId="0" applyNumberFormat="1" applyFont="1" applyFill="1" applyBorder="1" applyAlignment="1">
      <alignment horizontal="right" vertical="top" wrapText="1"/>
    </xf>
    <xf numFmtId="188" fontId="4" fillId="16" borderId="43" xfId="0" applyNumberFormat="1" applyFont="1" applyFill="1" applyBorder="1" applyAlignment="1">
      <alignment horizontal="right" vertical="top" wrapText="1"/>
    </xf>
    <xf numFmtId="188" fontId="30" fillId="16" borderId="20" xfId="0" applyNumberFormat="1" applyFont="1" applyFill="1" applyBorder="1" applyAlignment="1">
      <alignment horizontal="right" vertical="top" wrapText="1"/>
    </xf>
    <xf numFmtId="188" fontId="4" fillId="16" borderId="20" xfId="0" applyNumberFormat="1" applyFont="1" applyFill="1" applyBorder="1" applyAlignment="1">
      <alignment horizontal="right" vertical="top" wrapText="1"/>
    </xf>
    <xf numFmtId="188" fontId="4" fillId="16" borderId="47" xfId="0" applyNumberFormat="1" applyFont="1" applyFill="1" applyBorder="1" applyAlignment="1">
      <alignment horizontal="right" vertical="top" wrapText="1"/>
    </xf>
    <xf numFmtId="188" fontId="4" fillId="16" borderId="25" xfId="0" applyNumberFormat="1" applyFont="1" applyFill="1" applyBorder="1" applyAlignment="1">
      <alignment horizontal="right" vertical="top" wrapText="1"/>
    </xf>
    <xf numFmtId="188" fontId="4" fillId="16" borderId="51" xfId="0" applyNumberFormat="1" applyFont="1" applyFill="1" applyBorder="1" applyAlignment="1">
      <alignment horizontal="right" vertical="top" wrapText="1"/>
    </xf>
    <xf numFmtId="188" fontId="30" fillId="16" borderId="20" xfId="0" applyNumberFormat="1" applyFont="1" applyFill="1" applyBorder="1" applyAlignment="1">
      <alignment horizontal="right" vertical="top"/>
    </xf>
    <xf numFmtId="0" fontId="5" fillId="16" borderId="83" xfId="0" applyFont="1" applyFill="1" applyBorder="1" applyAlignment="1">
      <alignment horizontal="center" vertical="top"/>
    </xf>
    <xf numFmtId="188" fontId="5" fillId="16" borderId="83" xfId="0" applyNumberFormat="1" applyFont="1" applyFill="1" applyBorder="1" applyAlignment="1">
      <alignment horizontal="right" vertical="center"/>
    </xf>
    <xf numFmtId="0" fontId="5" fillId="16" borderId="76" xfId="0" applyFont="1" applyFill="1" applyBorder="1" applyAlignment="1">
      <alignment horizontal="center" vertical="top" wrapText="1"/>
    </xf>
    <xf numFmtId="188" fontId="51" fillId="16" borderId="58" xfId="0" applyNumberFormat="1" applyFont="1" applyFill="1" applyBorder="1" applyAlignment="1">
      <alignment horizontal="right" vertical="top"/>
    </xf>
    <xf numFmtId="188" fontId="30" fillId="16" borderId="17" xfId="0" applyNumberFormat="1" applyFont="1" applyFill="1" applyBorder="1" applyAlignment="1">
      <alignment horizontal="right" vertical="top"/>
    </xf>
    <xf numFmtId="188" fontId="30" fillId="16" borderId="60" xfId="0" applyNumberFormat="1" applyFont="1" applyFill="1" applyBorder="1" applyAlignment="1">
      <alignment horizontal="right" vertical="top"/>
    </xf>
    <xf numFmtId="188" fontId="30" fillId="16" borderId="25" xfId="0" applyNumberFormat="1" applyFont="1" applyFill="1" applyBorder="1" applyAlignment="1">
      <alignment horizontal="right" vertical="top"/>
    </xf>
    <xf numFmtId="0" fontId="5" fillId="16" borderId="71" xfId="0" applyFont="1" applyFill="1" applyBorder="1" applyAlignment="1">
      <alignment horizontal="center" vertical="top" wrapText="1"/>
    </xf>
    <xf numFmtId="188" fontId="51" fillId="16" borderId="23" xfId="0" applyNumberFormat="1" applyFont="1" applyFill="1" applyBorder="1" applyAlignment="1">
      <alignment horizontal="right" vertical="top"/>
    </xf>
    <xf numFmtId="188" fontId="51" fillId="16" borderId="17" xfId="0" applyNumberFormat="1" applyFont="1" applyFill="1" applyBorder="1" applyAlignment="1">
      <alignment horizontal="right" vertical="top"/>
    </xf>
    <xf numFmtId="49" fontId="8" fillId="0" borderId="67" xfId="0" applyNumberFormat="1" applyFont="1" applyBorder="1" applyAlignment="1">
      <alignment vertical="top" wrapText="1"/>
    </xf>
    <xf numFmtId="49" fontId="4" fillId="0" borderId="67" xfId="0" applyNumberFormat="1" applyFont="1" applyFill="1" applyBorder="1" applyAlignment="1">
      <alignment vertical="top"/>
    </xf>
    <xf numFmtId="0" fontId="50" fillId="0" borderId="71" xfId="0" applyFont="1" applyFill="1" applyBorder="1" applyAlignment="1">
      <alignment horizontal="left" vertical="top" wrapText="1"/>
    </xf>
    <xf numFmtId="0" fontId="50" fillId="0" borderId="56" xfId="0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59" xfId="0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0" fontId="6" fillId="0" borderId="73" xfId="0" applyFont="1" applyFill="1" applyBorder="1" applyAlignment="1">
      <alignment horizontal="left" vertical="top" wrapText="1"/>
    </xf>
    <xf numFmtId="188" fontId="27" fillId="0" borderId="59" xfId="0" applyNumberFormat="1" applyFont="1" applyFill="1" applyBorder="1" applyAlignment="1">
      <alignment horizontal="center" vertical="top" wrapText="1"/>
    </xf>
    <xf numFmtId="188" fontId="27" fillId="0" borderId="11" xfId="0" applyNumberFormat="1" applyFont="1" applyFill="1" applyBorder="1" applyAlignment="1">
      <alignment horizontal="center" vertical="top" wrapText="1"/>
    </xf>
    <xf numFmtId="49" fontId="8" fillId="0" borderId="60" xfId="0" applyNumberFormat="1" applyFont="1" applyFill="1" applyBorder="1" applyAlignment="1">
      <alignment horizontal="center" vertical="top"/>
    </xf>
    <xf numFmtId="49" fontId="52" fillId="0" borderId="73" xfId="0" applyNumberFormat="1" applyFont="1" applyFill="1" applyBorder="1" applyAlignment="1">
      <alignment horizontal="left" vertical="top" wrapText="1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39" xfId="0" applyNumberFormat="1" applyFont="1" applyFill="1" applyBorder="1" applyAlignment="1">
      <alignment horizontal="center" vertical="top"/>
    </xf>
    <xf numFmtId="49" fontId="6" fillId="0" borderId="73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49" fontId="52" fillId="0" borderId="39" xfId="0" applyNumberFormat="1" applyFont="1" applyFill="1" applyBorder="1" applyAlignment="1">
      <alignment horizontal="left" vertical="top" wrapText="1"/>
    </xf>
    <xf numFmtId="49" fontId="52" fillId="0" borderId="66" xfId="0" applyNumberFormat="1" applyFont="1" applyFill="1" applyBorder="1" applyAlignment="1">
      <alignment horizontal="left" vertical="top" wrapText="1"/>
    </xf>
    <xf numFmtId="49" fontId="6" fillId="0" borderId="73" xfId="0" applyNumberFormat="1" applyFont="1" applyFill="1" applyBorder="1" applyAlignment="1">
      <alignment horizontal="left" vertical="top" wrapText="1"/>
    </xf>
    <xf numFmtId="0" fontId="27" fillId="0" borderId="59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5" fillId="0" borderId="66" xfId="0" applyFont="1" applyFill="1" applyBorder="1" applyAlignment="1">
      <alignment horizontal="center" vertical="top"/>
    </xf>
    <xf numFmtId="0" fontId="25" fillId="0" borderId="39" xfId="0" applyFont="1" applyFill="1" applyBorder="1" applyAlignment="1">
      <alignment horizontal="center" vertical="top"/>
    </xf>
    <xf numFmtId="0" fontId="25" fillId="0" borderId="73" xfId="0" applyFont="1" applyFill="1" applyBorder="1" applyAlignment="1">
      <alignment horizontal="center" vertical="top"/>
    </xf>
    <xf numFmtId="188" fontId="6" fillId="0" borderId="66" xfId="0" applyNumberFormat="1" applyFont="1" applyFill="1" applyBorder="1" applyAlignment="1">
      <alignment horizontal="left" vertical="top" wrapText="1"/>
    </xf>
    <xf numFmtId="188" fontId="6" fillId="0" borderId="39" xfId="0" applyNumberFormat="1" applyFont="1" applyFill="1" applyBorder="1" applyAlignment="1">
      <alignment horizontal="left" vertical="top" wrapText="1"/>
    </xf>
    <xf numFmtId="188" fontId="6" fillId="0" borderId="73" xfId="0" applyNumberFormat="1" applyFont="1" applyFill="1" applyBorder="1" applyAlignment="1">
      <alignment horizontal="left" vertical="top" wrapText="1"/>
    </xf>
    <xf numFmtId="49" fontId="6" fillId="0" borderId="66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49" fontId="6" fillId="0" borderId="66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vertical="top"/>
    </xf>
    <xf numFmtId="49" fontId="5" fillId="0" borderId="55" xfId="0" applyNumberFormat="1" applyFont="1" applyBorder="1" applyAlignment="1">
      <alignment vertical="top"/>
    </xf>
    <xf numFmtId="49" fontId="5" fillId="0" borderId="89" xfId="0" applyNumberFormat="1" applyFont="1" applyBorder="1" applyAlignment="1">
      <alignment vertical="top"/>
    </xf>
    <xf numFmtId="49" fontId="8" fillId="0" borderId="6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5" fillId="0" borderId="61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49" fontId="5" fillId="4" borderId="60" xfId="0" applyNumberFormat="1" applyFont="1" applyFill="1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49" fontId="8" fillId="0" borderId="60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188" fontId="27" fillId="0" borderId="54" xfId="0" applyNumberFormat="1" applyFont="1" applyFill="1" applyBorder="1" applyAlignment="1">
      <alignment horizontal="center" vertical="top" textRotation="90" wrapText="1"/>
    </xf>
    <xf numFmtId="188" fontId="27" fillId="0" borderId="12" xfId="0" applyNumberFormat="1" applyFont="1" applyFill="1" applyBorder="1" applyAlignment="1">
      <alignment horizontal="center" vertical="top" textRotation="90" wrapText="1"/>
    </xf>
    <xf numFmtId="49" fontId="8" fillId="0" borderId="66" xfId="0" applyNumberFormat="1" applyFont="1" applyFill="1" applyBorder="1" applyAlignment="1">
      <alignment horizontal="left" vertical="top" wrapText="1"/>
    </xf>
    <xf numFmtId="49" fontId="8" fillId="0" borderId="39" xfId="0" applyNumberFormat="1" applyFont="1" applyFill="1" applyBorder="1" applyAlignment="1">
      <alignment horizontal="left" vertical="top" wrapText="1"/>
    </xf>
    <xf numFmtId="49" fontId="8" fillId="0" borderId="73" xfId="0" applyNumberFormat="1" applyFont="1" applyFill="1" applyBorder="1" applyAlignment="1">
      <alignment horizontal="left" vertical="top" wrapText="1"/>
    </xf>
    <xf numFmtId="188" fontId="27" fillId="0" borderId="54" xfId="0" applyNumberFormat="1" applyFont="1" applyFill="1" applyBorder="1" applyAlignment="1">
      <alignment horizontal="center" vertical="center" textRotation="90" wrapText="1"/>
    </xf>
    <xf numFmtId="188" fontId="27" fillId="0" borderId="11" xfId="0" applyNumberFormat="1" applyFont="1" applyFill="1" applyBorder="1" applyAlignment="1">
      <alignment horizontal="center" vertical="center" textRotation="90" wrapText="1"/>
    </xf>
    <xf numFmtId="188" fontId="27" fillId="0" borderId="12" xfId="0" applyNumberFormat="1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27" fillId="25" borderId="59" xfId="0" applyNumberFormat="1" applyFont="1" applyFill="1" applyBorder="1" applyAlignment="1">
      <alignment horizontal="center" vertical="center" textRotation="90" wrapText="1"/>
    </xf>
    <xf numFmtId="49" fontId="27" fillId="25" borderId="11" xfId="0" applyNumberFormat="1" applyFont="1" applyFill="1" applyBorder="1" applyAlignment="1">
      <alignment horizontal="center" vertical="center" textRotation="90" wrapText="1"/>
    </xf>
    <xf numFmtId="49" fontId="5" fillId="4" borderId="60" xfId="0" applyNumberFormat="1" applyFont="1" applyFill="1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188" fontId="27" fillId="0" borderId="11" xfId="0" applyNumberFormat="1" applyFont="1" applyFill="1" applyBorder="1" applyAlignment="1">
      <alignment horizontal="center" vertical="top" textRotation="90" wrapText="1"/>
    </xf>
    <xf numFmtId="0" fontId="6" fillId="0" borderId="66" xfId="52" applyFont="1" applyFill="1" applyBorder="1" applyAlignment="1">
      <alignment vertical="top" wrapText="1"/>
      <protection/>
    </xf>
    <xf numFmtId="0" fontId="6" fillId="0" borderId="39" xfId="52" applyFont="1" applyFill="1" applyBorder="1" applyAlignment="1">
      <alignment vertical="top" wrapText="1"/>
      <protection/>
    </xf>
    <xf numFmtId="49" fontId="5" fillId="4" borderId="59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2" xfId="0" applyNumberFormat="1" applyFont="1" applyFill="1" applyBorder="1" applyAlignment="1">
      <alignment horizontal="center" vertical="top"/>
    </xf>
    <xf numFmtId="49" fontId="5" fillId="24" borderId="76" xfId="0" applyNumberFormat="1" applyFont="1" applyFill="1" applyBorder="1" applyAlignment="1">
      <alignment horizontal="right" vertical="top"/>
    </xf>
    <xf numFmtId="49" fontId="5" fillId="24" borderId="84" xfId="0" applyNumberFormat="1" applyFont="1" applyFill="1" applyBorder="1" applyAlignment="1">
      <alignment horizontal="right" vertical="top"/>
    </xf>
    <xf numFmtId="49" fontId="5" fillId="8" borderId="59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49" fontId="5" fillId="8" borderId="59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49" fontId="5" fillId="25" borderId="61" xfId="0" applyNumberFormat="1" applyFont="1" applyFill="1" applyBorder="1" applyAlignment="1">
      <alignment vertical="top"/>
    </xf>
    <xf numFmtId="49" fontId="5" fillId="25" borderId="55" xfId="0" applyNumberFormat="1" applyFont="1" applyFill="1" applyBorder="1" applyAlignment="1">
      <alignment vertical="top"/>
    </xf>
    <xf numFmtId="49" fontId="5" fillId="25" borderId="89" xfId="0" applyNumberFormat="1" applyFont="1" applyFill="1" applyBorder="1" applyAlignment="1">
      <alignment vertical="top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9" fontId="5" fillId="4" borderId="80" xfId="0" applyNumberFormat="1" applyFont="1" applyFill="1" applyBorder="1" applyAlignment="1">
      <alignment horizontal="right" vertical="top"/>
    </xf>
    <xf numFmtId="49" fontId="5" fillId="4" borderId="81" xfId="0" applyNumberFormat="1" applyFont="1" applyFill="1" applyBorder="1" applyAlignment="1">
      <alignment horizontal="right" vertical="top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39" xfId="0" applyNumberFormat="1" applyFont="1" applyFill="1" applyBorder="1" applyAlignment="1">
      <alignment horizontal="center" vertical="top"/>
    </xf>
    <xf numFmtId="49" fontId="6" fillId="0" borderId="73" xfId="0" applyNumberFormat="1" applyFont="1" applyFill="1" applyBorder="1" applyAlignment="1">
      <alignment horizontal="center" vertical="top"/>
    </xf>
    <xf numFmtId="0" fontId="50" fillId="0" borderId="66" xfId="0" applyFont="1" applyFill="1" applyBorder="1" applyAlignment="1">
      <alignment horizontal="left" vertical="top" wrapText="1"/>
    </xf>
    <xf numFmtId="0" fontId="50" fillId="0" borderId="39" xfId="0" applyFont="1" applyFill="1" applyBorder="1" applyAlignment="1">
      <alignment horizontal="left" vertical="top" wrapText="1"/>
    </xf>
    <xf numFmtId="0" fontId="50" fillId="0" borderId="73" xfId="0" applyFont="1" applyFill="1" applyBorder="1" applyAlignment="1">
      <alignment horizontal="left" vertical="top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55" xfId="0" applyNumberFormat="1" applyFont="1" applyFill="1" applyBorder="1" applyAlignment="1">
      <alignment horizontal="center" vertical="top"/>
    </xf>
    <xf numFmtId="49" fontId="5" fillId="0" borderId="89" xfId="0" applyNumberFormat="1" applyFont="1" applyFill="1" applyBorder="1" applyAlignment="1">
      <alignment horizontal="center" vertical="top"/>
    </xf>
    <xf numFmtId="49" fontId="5" fillId="8" borderId="59" xfId="0" applyNumberFormat="1" applyFont="1" applyFill="1" applyBorder="1" applyAlignment="1">
      <alignment horizontal="center" vertical="top" wrapText="1"/>
    </xf>
    <xf numFmtId="49" fontId="5" fillId="8" borderId="11" xfId="0" applyNumberFormat="1" applyFont="1" applyFill="1" applyBorder="1" applyAlignment="1">
      <alignment horizontal="center" vertical="top" wrapText="1"/>
    </xf>
    <xf numFmtId="49" fontId="5" fillId="8" borderId="12" xfId="0" applyNumberFormat="1" applyFont="1" applyFill="1" applyBorder="1" applyAlignment="1">
      <alignment horizontal="center" vertical="top" wrapText="1"/>
    </xf>
    <xf numFmtId="49" fontId="6" fillId="4" borderId="80" xfId="0" applyNumberFormat="1" applyFont="1" applyFill="1" applyBorder="1" applyAlignment="1">
      <alignment horizontal="left" vertical="top"/>
    </xf>
    <xf numFmtId="49" fontId="6" fillId="4" borderId="81" xfId="0" applyNumberFormat="1" applyFont="1" applyFill="1" applyBorder="1" applyAlignment="1">
      <alignment horizontal="left" vertical="top"/>
    </xf>
    <xf numFmtId="49" fontId="6" fillId="4" borderId="16" xfId="0" applyNumberFormat="1" applyFont="1" applyFill="1" applyBorder="1" applyAlignment="1">
      <alignment horizontal="left" vertical="top"/>
    </xf>
    <xf numFmtId="49" fontId="6" fillId="4" borderId="40" xfId="0" applyNumberFormat="1" applyFont="1" applyFill="1" applyBorder="1" applyAlignment="1">
      <alignment horizontal="left" vertical="top"/>
    </xf>
    <xf numFmtId="0" fontId="27" fillId="0" borderId="54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10" fillId="0" borderId="49" xfId="0" applyFont="1" applyFill="1" applyBorder="1" applyAlignment="1">
      <alignment horizontal="center" vertical="center" textRotation="90" wrapText="1"/>
    </xf>
    <xf numFmtId="0" fontId="10" fillId="0" borderId="89" xfId="0" applyFont="1" applyFill="1" applyBorder="1" applyAlignment="1">
      <alignment horizontal="center" vertical="center" textRotation="90" wrapText="1"/>
    </xf>
    <xf numFmtId="188" fontId="27" fillId="0" borderId="90" xfId="0" applyNumberFormat="1" applyFont="1" applyFill="1" applyBorder="1" applyAlignment="1">
      <alignment horizontal="center" vertical="top" wrapText="1"/>
    </xf>
    <xf numFmtId="188" fontId="27" fillId="0" borderId="30" xfId="0" applyNumberFormat="1" applyFont="1" applyFill="1" applyBorder="1" applyAlignment="1">
      <alignment horizontal="center" vertical="top" wrapText="1"/>
    </xf>
    <xf numFmtId="49" fontId="6" fillId="0" borderId="61" xfId="0" applyNumberFormat="1" applyFont="1" applyFill="1" applyBorder="1" applyAlignment="1">
      <alignment horizontal="center" vertical="top"/>
    </xf>
    <xf numFmtId="49" fontId="6" fillId="0" borderId="55" xfId="0" applyNumberFormat="1" applyFont="1" applyFill="1" applyBorder="1" applyAlignment="1">
      <alignment horizontal="center" vertical="top"/>
    </xf>
    <xf numFmtId="49" fontId="6" fillId="0" borderId="51" xfId="0" applyNumberFormat="1" applyFont="1" applyFill="1" applyBorder="1" applyAlignment="1">
      <alignment horizontal="center" vertical="top"/>
    </xf>
    <xf numFmtId="0" fontId="4" fillId="0" borderId="62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55" xfId="0" applyNumberFormat="1" applyFont="1" applyFill="1" applyBorder="1" applyAlignment="1">
      <alignment horizontal="center" vertical="top"/>
    </xf>
    <xf numFmtId="49" fontId="5" fillId="0" borderId="89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49" fontId="13" fillId="3" borderId="27" xfId="0" applyNumberFormat="1" applyFont="1" applyFill="1" applyBorder="1" applyAlignment="1">
      <alignment horizontal="left" vertical="top" wrapText="1"/>
    </xf>
    <xf numFmtId="49" fontId="13" fillId="3" borderId="75" xfId="0" applyNumberFormat="1" applyFont="1" applyFill="1" applyBorder="1" applyAlignment="1">
      <alignment horizontal="left" vertical="top" wrapText="1"/>
    </xf>
    <xf numFmtId="49" fontId="13" fillId="3" borderId="38" xfId="0" applyNumberFormat="1" applyFont="1" applyFill="1" applyBorder="1" applyAlignment="1">
      <alignment horizontal="left" vertical="top" wrapText="1"/>
    </xf>
    <xf numFmtId="0" fontId="10" fillId="0" borderId="62" xfId="0" applyNumberFormat="1" applyFont="1" applyBorder="1" applyAlignment="1">
      <alignment horizontal="center" vertical="center" textRotation="90" wrapText="1"/>
    </xf>
    <xf numFmtId="0" fontId="10" fillId="0" borderId="56" xfId="0" applyNumberFormat="1" applyFont="1" applyBorder="1" applyAlignment="1">
      <alignment horizontal="center" vertical="center" textRotation="90" wrapText="1"/>
    </xf>
    <xf numFmtId="0" fontId="10" fillId="0" borderId="71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0" fillId="0" borderId="59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textRotation="90" wrapText="1"/>
    </xf>
    <xf numFmtId="0" fontId="10" fillId="0" borderId="55" xfId="0" applyFont="1" applyBorder="1" applyAlignment="1">
      <alignment horizontal="center" vertical="center" textRotation="90" wrapText="1"/>
    </xf>
    <xf numFmtId="0" fontId="10" fillId="0" borderId="89" xfId="0" applyFont="1" applyBorder="1" applyAlignment="1">
      <alignment horizontal="center" vertical="center" textRotation="90" wrapText="1"/>
    </xf>
    <xf numFmtId="49" fontId="6" fillId="0" borderId="49" xfId="0" applyNumberFormat="1" applyFont="1" applyFill="1" applyBorder="1" applyAlignment="1">
      <alignment horizontal="center" vertical="top"/>
    </xf>
    <xf numFmtId="49" fontId="6" fillId="0" borderId="89" xfId="0" applyNumberFormat="1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textRotation="90" wrapText="1"/>
    </xf>
    <xf numFmtId="49" fontId="8" fillId="0" borderId="24" xfId="0" applyNumberFormat="1" applyFont="1" applyFill="1" applyBorder="1" applyAlignment="1">
      <alignment horizontal="center" vertical="top"/>
    </xf>
    <xf numFmtId="188" fontId="27" fillId="0" borderId="91" xfId="0" applyNumberFormat="1" applyFont="1" applyFill="1" applyBorder="1" applyAlignment="1">
      <alignment horizontal="center" vertical="top" wrapText="1"/>
    </xf>
    <xf numFmtId="188" fontId="27" fillId="0" borderId="57" xfId="0" applyNumberFormat="1" applyFont="1" applyFill="1" applyBorder="1" applyAlignment="1">
      <alignment horizontal="center" vertical="top" wrapText="1"/>
    </xf>
    <xf numFmtId="49" fontId="5" fillId="25" borderId="61" xfId="0" applyNumberFormat="1" applyFont="1" applyFill="1" applyBorder="1" applyAlignment="1">
      <alignment horizontal="center" vertical="top"/>
    </xf>
    <xf numFmtId="49" fontId="5" fillId="25" borderId="55" xfId="0" applyNumberFormat="1" applyFont="1" applyFill="1" applyBorder="1" applyAlignment="1">
      <alignment horizontal="center" vertical="top"/>
    </xf>
    <xf numFmtId="49" fontId="5" fillId="25" borderId="89" xfId="0" applyNumberFormat="1" applyFont="1" applyFill="1" applyBorder="1" applyAlignment="1">
      <alignment horizontal="center" vertical="top"/>
    </xf>
    <xf numFmtId="49" fontId="8" fillId="0" borderId="56" xfId="0" applyNumberFormat="1" applyFont="1" applyFill="1" applyBorder="1" applyAlignment="1">
      <alignment horizontal="left" vertical="top" wrapText="1"/>
    </xf>
    <xf numFmtId="49" fontId="8" fillId="0" borderId="71" xfId="0" applyNumberFormat="1" applyFont="1" applyFill="1" applyBorder="1" applyAlignment="1">
      <alignment horizontal="left" vertical="top" wrapText="1"/>
    </xf>
    <xf numFmtId="188" fontId="27" fillId="0" borderId="54" xfId="0" applyNumberFormat="1" applyFont="1" applyFill="1" applyBorder="1" applyAlignment="1">
      <alignment horizontal="center" vertical="top" wrapText="1"/>
    </xf>
    <xf numFmtId="188" fontId="27" fillId="0" borderId="10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/>
    </xf>
    <xf numFmtId="0" fontId="9" fillId="24" borderId="26" xfId="0" applyFont="1" applyFill="1" applyBorder="1" applyAlignment="1">
      <alignment horizontal="left" vertical="top" wrapText="1"/>
    </xf>
    <xf numFmtId="0" fontId="9" fillId="24" borderId="22" xfId="0" applyFont="1" applyFill="1" applyBorder="1" applyAlignment="1">
      <alignment horizontal="left" vertical="top" wrapText="1"/>
    </xf>
    <xf numFmtId="0" fontId="9" fillId="24" borderId="33" xfId="0" applyFont="1" applyFill="1" applyBorder="1" applyAlignment="1">
      <alignment horizontal="left" vertical="top" wrapText="1"/>
    </xf>
    <xf numFmtId="49" fontId="6" fillId="4" borderId="77" xfId="0" applyNumberFormat="1" applyFont="1" applyFill="1" applyBorder="1" applyAlignment="1">
      <alignment horizontal="left" vertical="top"/>
    </xf>
    <xf numFmtId="49" fontId="6" fillId="4" borderId="84" xfId="0" applyNumberFormat="1" applyFont="1" applyFill="1" applyBorder="1" applyAlignment="1">
      <alignment horizontal="left" vertical="top"/>
    </xf>
    <xf numFmtId="49" fontId="6" fillId="4" borderId="83" xfId="0" applyNumberFormat="1" applyFont="1" applyFill="1" applyBorder="1" applyAlignment="1">
      <alignment horizontal="left" vertical="top"/>
    </xf>
    <xf numFmtId="49" fontId="6" fillId="0" borderId="66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49" fontId="6" fillId="0" borderId="73" xfId="0" applyNumberFormat="1" applyFont="1" applyFill="1" applyBorder="1" applyAlignment="1">
      <alignment horizontal="left" vertical="top" wrapText="1"/>
    </xf>
    <xf numFmtId="188" fontId="27" fillId="0" borderId="12" xfId="0" applyNumberFormat="1" applyFont="1" applyFill="1" applyBorder="1" applyAlignment="1">
      <alignment horizontal="center" vertical="top" wrapText="1"/>
    </xf>
    <xf numFmtId="49" fontId="6" fillId="8" borderId="21" xfId="0" applyNumberFormat="1" applyFont="1" applyFill="1" applyBorder="1" applyAlignment="1">
      <alignment horizontal="left" vertical="top"/>
    </xf>
    <xf numFmtId="49" fontId="6" fillId="8" borderId="22" xfId="0" applyNumberFormat="1" applyFont="1" applyFill="1" applyBorder="1" applyAlignment="1">
      <alignment horizontal="left" vertical="top"/>
    </xf>
    <xf numFmtId="49" fontId="6" fillId="8" borderId="33" xfId="0" applyNumberFormat="1" applyFont="1" applyFill="1" applyBorder="1" applyAlignment="1">
      <alignment horizontal="left" vertical="top"/>
    </xf>
    <xf numFmtId="0" fontId="27" fillId="0" borderId="6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textRotation="90" wrapText="1"/>
    </xf>
    <xf numFmtId="49" fontId="5" fillId="8" borderId="91" xfId="0" applyNumberFormat="1" applyFont="1" applyFill="1" applyBorder="1" applyAlignment="1">
      <alignment horizontal="center" vertical="top"/>
    </xf>
    <xf numFmtId="49" fontId="5" fillId="8" borderId="57" xfId="0" applyNumberFormat="1" applyFont="1" applyFill="1" applyBorder="1" applyAlignment="1">
      <alignment horizontal="center" vertical="top"/>
    </xf>
    <xf numFmtId="49" fontId="5" fillId="8" borderId="35" xfId="0" applyNumberFormat="1" applyFont="1" applyFill="1" applyBorder="1" applyAlignment="1">
      <alignment horizontal="center" vertical="top"/>
    </xf>
    <xf numFmtId="0" fontId="6" fillId="0" borderId="39" xfId="52" applyFont="1" applyFill="1" applyBorder="1" applyAlignment="1">
      <alignment horizontal="left" vertical="top" wrapText="1"/>
      <protection/>
    </xf>
    <xf numFmtId="0" fontId="6" fillId="0" borderId="73" xfId="52" applyFont="1" applyFill="1" applyBorder="1" applyAlignment="1">
      <alignment horizontal="left" vertical="top" wrapText="1"/>
      <protection/>
    </xf>
    <xf numFmtId="0" fontId="27" fillId="0" borderId="54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8" fillId="25" borderId="26" xfId="0" applyFont="1" applyFill="1" applyBorder="1" applyAlignment="1">
      <alignment horizontal="left" vertical="top" wrapText="1"/>
    </xf>
    <xf numFmtId="0" fontId="8" fillId="25" borderId="22" xfId="0" applyFont="1" applyFill="1" applyBorder="1" applyAlignment="1">
      <alignment horizontal="left" vertical="top" wrapText="1"/>
    </xf>
    <xf numFmtId="0" fontId="8" fillId="25" borderId="33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8" fillId="25" borderId="27" xfId="0" applyFont="1" applyFill="1" applyBorder="1" applyAlignment="1">
      <alignment horizontal="left" vertical="top" wrapText="1"/>
    </xf>
    <xf numFmtId="0" fontId="8" fillId="25" borderId="75" xfId="0" applyFont="1" applyFill="1" applyBorder="1" applyAlignment="1">
      <alignment horizontal="left" vertical="top" wrapText="1"/>
    </xf>
    <xf numFmtId="0" fontId="8" fillId="25" borderId="38" xfId="0" applyFont="1" applyFill="1" applyBorder="1" applyAlignment="1">
      <alignment horizontal="left" vertical="top" wrapText="1"/>
    </xf>
    <xf numFmtId="188" fontId="8" fillId="0" borderId="27" xfId="0" applyNumberFormat="1" applyFont="1" applyBorder="1" applyAlignment="1">
      <alignment horizontal="center" vertical="top" wrapText="1"/>
    </xf>
    <xf numFmtId="188" fontId="8" fillId="0" borderId="75" xfId="0" applyNumberFormat="1" applyFont="1" applyBorder="1" applyAlignment="1">
      <alignment horizontal="center" vertical="top" wrapText="1"/>
    </xf>
    <xf numFmtId="188" fontId="8" fillId="0" borderId="38" xfId="0" applyNumberFormat="1" applyFont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188" fontId="8" fillId="0" borderId="26" xfId="0" applyNumberFormat="1" applyFont="1" applyBorder="1" applyAlignment="1">
      <alignment horizontal="center" vertical="top" wrapText="1"/>
    </xf>
    <xf numFmtId="188" fontId="8" fillId="0" borderId="22" xfId="0" applyNumberFormat="1" applyFont="1" applyBorder="1" applyAlignment="1">
      <alignment horizontal="center" vertical="top" wrapText="1"/>
    </xf>
    <xf numFmtId="188" fontId="8" fillId="0" borderId="33" xfId="0" applyNumberFormat="1" applyFont="1" applyBorder="1" applyAlignment="1">
      <alignment horizontal="center" vertical="top" wrapText="1"/>
    </xf>
    <xf numFmtId="0" fontId="6" fillId="24" borderId="19" xfId="0" applyFont="1" applyFill="1" applyBorder="1" applyAlignment="1">
      <alignment horizontal="right" vertical="top" wrapText="1"/>
    </xf>
    <xf numFmtId="0" fontId="6" fillId="24" borderId="81" xfId="0" applyFont="1" applyFill="1" applyBorder="1" applyAlignment="1">
      <alignment horizontal="right" vertical="top" wrapText="1"/>
    </xf>
    <xf numFmtId="0" fontId="6" fillId="24" borderId="40" xfId="0" applyFont="1" applyFill="1" applyBorder="1" applyAlignment="1">
      <alignment horizontal="right" vertical="top" wrapText="1"/>
    </xf>
    <xf numFmtId="49" fontId="5" fillId="8" borderId="27" xfId="0" applyNumberFormat="1" applyFont="1" applyFill="1" applyBorder="1" applyAlignment="1">
      <alignment horizontal="right" vertical="top"/>
    </xf>
    <xf numFmtId="49" fontId="5" fillId="8" borderId="75" xfId="0" applyNumberFormat="1" applyFont="1" applyFill="1" applyBorder="1" applyAlignment="1">
      <alignment horizontal="right" vertical="top"/>
    </xf>
    <xf numFmtId="0" fontId="6" fillId="24" borderId="76" xfId="0" applyFont="1" applyFill="1" applyBorder="1" applyAlignment="1">
      <alignment horizontal="right" vertical="top" wrapText="1"/>
    </xf>
    <xf numFmtId="0" fontId="6" fillId="24" borderId="84" xfId="0" applyFont="1" applyFill="1" applyBorder="1" applyAlignment="1">
      <alignment horizontal="right" vertical="top" wrapText="1"/>
    </xf>
    <xf numFmtId="0" fontId="6" fillId="24" borderId="83" xfId="0" applyFont="1" applyFill="1" applyBorder="1" applyAlignment="1">
      <alignment horizontal="right" vertical="top" wrapText="1"/>
    </xf>
    <xf numFmtId="188" fontId="6" fillId="16" borderId="76" xfId="0" applyNumberFormat="1" applyFont="1" applyFill="1" applyBorder="1" applyAlignment="1">
      <alignment horizontal="center" vertical="top" wrapText="1"/>
    </xf>
    <xf numFmtId="188" fontId="6" fillId="16" borderId="84" xfId="0" applyNumberFormat="1" applyFont="1" applyFill="1" applyBorder="1" applyAlignment="1">
      <alignment horizontal="center" vertical="top" wrapText="1"/>
    </xf>
    <xf numFmtId="188" fontId="6" fillId="16" borderId="83" xfId="0" applyNumberFormat="1" applyFont="1" applyFill="1" applyBorder="1" applyAlignment="1">
      <alignment horizontal="center" vertical="top" wrapText="1"/>
    </xf>
    <xf numFmtId="188" fontId="6" fillId="24" borderId="19" xfId="0" applyNumberFormat="1" applyFont="1" applyFill="1" applyBorder="1" applyAlignment="1">
      <alignment horizontal="center" vertical="top" wrapText="1"/>
    </xf>
    <xf numFmtId="188" fontId="6" fillId="24" borderId="81" xfId="0" applyNumberFormat="1" applyFont="1" applyFill="1" applyBorder="1" applyAlignment="1">
      <alignment horizontal="center" vertical="top" wrapText="1"/>
    </xf>
    <xf numFmtId="188" fontId="6" fillId="24" borderId="40" xfId="0" applyNumberFormat="1" applyFont="1" applyFill="1" applyBorder="1" applyAlignment="1">
      <alignment horizontal="center" vertical="top" wrapText="1"/>
    </xf>
    <xf numFmtId="188" fontId="8" fillId="0" borderId="26" xfId="0" applyNumberFormat="1" applyFont="1" applyFill="1" applyBorder="1" applyAlignment="1">
      <alignment horizontal="center" vertical="top" wrapText="1"/>
    </xf>
    <xf numFmtId="188" fontId="8" fillId="0" borderId="22" xfId="0" applyNumberFormat="1" applyFont="1" applyFill="1" applyBorder="1" applyAlignment="1">
      <alignment horizontal="center" vertical="top" wrapText="1"/>
    </xf>
    <xf numFmtId="188" fontId="8" fillId="0" borderId="33" xfId="0" applyNumberFormat="1" applyFont="1" applyFill="1" applyBorder="1" applyAlignment="1">
      <alignment horizontal="center" vertical="top" wrapText="1"/>
    </xf>
    <xf numFmtId="0" fontId="6" fillId="16" borderId="76" xfId="0" applyFont="1" applyFill="1" applyBorder="1" applyAlignment="1">
      <alignment horizontal="right" vertical="top" wrapText="1"/>
    </xf>
    <xf numFmtId="0" fontId="6" fillId="16" borderId="84" xfId="0" applyFont="1" applyFill="1" applyBorder="1" applyAlignment="1">
      <alignment horizontal="right" vertical="top" wrapText="1"/>
    </xf>
    <xf numFmtId="0" fontId="6" fillId="16" borderId="83" xfId="0" applyFont="1" applyFill="1" applyBorder="1" applyAlignment="1">
      <alignment horizontal="right" vertical="top" wrapText="1"/>
    </xf>
    <xf numFmtId="49" fontId="5" fillId="4" borderId="80" xfId="0" applyNumberFormat="1" applyFont="1" applyFill="1" applyBorder="1" applyAlignment="1">
      <alignment horizontal="right" vertical="top"/>
    </xf>
    <xf numFmtId="49" fontId="5" fillId="4" borderId="81" xfId="0" applyNumberFormat="1" applyFont="1" applyFill="1" applyBorder="1" applyAlignment="1">
      <alignment horizontal="right" vertical="top"/>
    </xf>
    <xf numFmtId="49" fontId="5" fillId="0" borderId="61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88" fontId="6" fillId="24" borderId="76" xfId="0" applyNumberFormat="1" applyFont="1" applyFill="1" applyBorder="1" applyAlignment="1">
      <alignment horizontal="center" vertical="top" wrapText="1"/>
    </xf>
    <xf numFmtId="188" fontId="6" fillId="24" borderId="84" xfId="0" applyNumberFormat="1" applyFont="1" applyFill="1" applyBorder="1" applyAlignment="1">
      <alignment horizontal="center" vertical="top" wrapText="1"/>
    </xf>
    <xf numFmtId="188" fontId="6" fillId="24" borderId="83" xfId="0" applyNumberFormat="1" applyFont="1" applyFill="1" applyBorder="1" applyAlignment="1">
      <alignment horizontal="center" vertical="top" wrapText="1"/>
    </xf>
    <xf numFmtId="0" fontId="27" fillId="0" borderId="54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5" fillId="4" borderId="80" xfId="0" applyFont="1" applyFill="1" applyBorder="1" applyAlignment="1">
      <alignment horizontal="left" vertical="top" wrapText="1"/>
    </xf>
    <xf numFmtId="0" fontId="5" fillId="4" borderId="8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49" fontId="8" fillId="0" borderId="56" xfId="0" applyNumberFormat="1" applyFont="1" applyFill="1" applyBorder="1" applyAlignment="1">
      <alignment horizontal="left" vertical="top" wrapText="1"/>
    </xf>
    <xf numFmtId="49" fontId="4" fillId="25" borderId="60" xfId="0" applyNumberFormat="1" applyFont="1" applyFill="1" applyBorder="1" applyAlignment="1">
      <alignment horizontal="center" vertical="top"/>
    </xf>
    <xf numFmtId="49" fontId="4" fillId="25" borderId="17" xfId="0" applyNumberFormat="1" applyFont="1" applyFill="1" applyBorder="1" applyAlignment="1">
      <alignment horizontal="center" vertical="top"/>
    </xf>
    <xf numFmtId="49" fontId="4" fillId="25" borderId="13" xfId="0" applyNumberFormat="1" applyFont="1" applyFill="1" applyBorder="1" applyAlignment="1">
      <alignment horizontal="center" vertical="top"/>
    </xf>
    <xf numFmtId="0" fontId="6" fillId="25" borderId="66" xfId="0" applyFont="1" applyFill="1" applyBorder="1" applyAlignment="1">
      <alignment horizontal="left" vertical="top" wrapText="1"/>
    </xf>
    <xf numFmtId="0" fontId="6" fillId="25" borderId="39" xfId="0" applyFont="1" applyFill="1" applyBorder="1" applyAlignment="1">
      <alignment horizontal="left" vertical="top" wrapText="1"/>
    </xf>
    <xf numFmtId="0" fontId="6" fillId="25" borderId="73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8" fillId="0" borderId="73" xfId="0" applyFont="1" applyFill="1" applyBorder="1" applyAlignment="1">
      <alignment vertical="top" wrapText="1"/>
    </xf>
    <xf numFmtId="0" fontId="6" fillId="4" borderId="80" xfId="0" applyFont="1" applyFill="1" applyBorder="1" applyAlignment="1">
      <alignment horizontal="left" vertical="top" wrapText="1"/>
    </xf>
    <xf numFmtId="0" fontId="6" fillId="4" borderId="81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40" xfId="0" applyFont="1" applyFill="1" applyBorder="1" applyAlignment="1">
      <alignment horizontal="left" vertical="top" wrapText="1"/>
    </xf>
    <xf numFmtId="49" fontId="6" fillId="4" borderId="80" xfId="0" applyNumberFormat="1" applyFont="1" applyFill="1" applyBorder="1" applyAlignment="1">
      <alignment horizontal="right" vertical="top"/>
    </xf>
    <xf numFmtId="49" fontId="6" fillId="4" borderId="81" xfId="0" applyNumberFormat="1" applyFont="1" applyFill="1" applyBorder="1" applyAlignment="1">
      <alignment horizontal="right" vertical="top"/>
    </xf>
    <xf numFmtId="49" fontId="27" fillId="25" borderId="59" xfId="0" applyNumberFormat="1" applyFont="1" applyFill="1" applyBorder="1" applyAlignment="1">
      <alignment horizontal="center" vertical="center"/>
    </xf>
    <xf numFmtId="49" fontId="27" fillId="25" borderId="11" xfId="0" applyNumberFormat="1" applyFont="1" applyFill="1" applyBorder="1" applyAlignment="1">
      <alignment horizontal="center" vertical="center"/>
    </xf>
    <xf numFmtId="49" fontId="27" fillId="25" borderId="12" xfId="0" applyNumberFormat="1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wrapText="1"/>
    </xf>
    <xf numFmtId="0" fontId="6" fillId="25" borderId="62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91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0" fillId="0" borderId="20" xfId="5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0" fillId="0" borderId="24" xfId="51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6" fillId="16" borderId="76" xfId="0" applyFont="1" applyFill="1" applyBorder="1" applyAlignment="1">
      <alignment horizontal="right" vertical="top" wrapText="1"/>
    </xf>
    <xf numFmtId="0" fontId="6" fillId="16" borderId="84" xfId="0" applyFont="1" applyFill="1" applyBorder="1" applyAlignment="1">
      <alignment horizontal="right" vertical="top" wrapText="1"/>
    </xf>
    <xf numFmtId="0" fontId="6" fillId="16" borderId="83" xfId="0" applyFont="1" applyFill="1" applyBorder="1" applyAlignment="1">
      <alignment horizontal="right" vertical="top" wrapText="1"/>
    </xf>
    <xf numFmtId="188" fontId="6" fillId="16" borderId="76" xfId="0" applyNumberFormat="1" applyFont="1" applyFill="1" applyBorder="1" applyAlignment="1">
      <alignment horizontal="center" vertical="top" wrapText="1"/>
    </xf>
    <xf numFmtId="188" fontId="6" fillId="16" borderId="84" xfId="0" applyNumberFormat="1" applyFont="1" applyFill="1" applyBorder="1" applyAlignment="1">
      <alignment horizontal="center" vertical="top" wrapText="1"/>
    </xf>
    <xf numFmtId="188" fontId="6" fillId="16" borderId="83" xfId="0" applyNumberFormat="1" applyFont="1" applyFill="1" applyBorder="1" applyAlignment="1">
      <alignment horizontal="center" vertical="top" wrapText="1"/>
    </xf>
    <xf numFmtId="0" fontId="8" fillId="25" borderId="26" xfId="0" applyFont="1" applyFill="1" applyBorder="1" applyAlignment="1">
      <alignment horizontal="left" vertical="top" wrapText="1"/>
    </xf>
    <xf numFmtId="0" fontId="8" fillId="25" borderId="22" xfId="0" applyFont="1" applyFill="1" applyBorder="1" applyAlignment="1">
      <alignment horizontal="left" vertical="top" wrapText="1"/>
    </xf>
    <xf numFmtId="0" fontId="8" fillId="25" borderId="33" xfId="0" applyFont="1" applyFill="1" applyBorder="1" applyAlignment="1">
      <alignment horizontal="left" vertical="top" wrapText="1"/>
    </xf>
    <xf numFmtId="188" fontId="8" fillId="0" borderId="26" xfId="0" applyNumberFormat="1" applyFont="1" applyBorder="1" applyAlignment="1">
      <alignment horizontal="center" vertical="top" wrapText="1"/>
    </xf>
    <xf numFmtId="188" fontId="8" fillId="0" borderId="22" xfId="0" applyNumberFormat="1" applyFont="1" applyBorder="1" applyAlignment="1">
      <alignment horizontal="center" vertical="top" wrapText="1"/>
    </xf>
    <xf numFmtId="188" fontId="8" fillId="0" borderId="33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6" fillId="24" borderId="76" xfId="0" applyFont="1" applyFill="1" applyBorder="1" applyAlignment="1">
      <alignment horizontal="right" vertical="top" wrapText="1"/>
    </xf>
    <xf numFmtId="0" fontId="6" fillId="24" borderId="84" xfId="0" applyFont="1" applyFill="1" applyBorder="1" applyAlignment="1">
      <alignment horizontal="right" vertical="top" wrapText="1"/>
    </xf>
    <xf numFmtId="0" fontId="6" fillId="24" borderId="83" xfId="0" applyFont="1" applyFill="1" applyBorder="1" applyAlignment="1">
      <alignment horizontal="right" vertical="top" wrapText="1"/>
    </xf>
    <xf numFmtId="188" fontId="6" fillId="24" borderId="76" xfId="0" applyNumberFormat="1" applyFont="1" applyFill="1" applyBorder="1" applyAlignment="1">
      <alignment horizontal="center" vertical="top" wrapText="1"/>
    </xf>
    <xf numFmtId="188" fontId="6" fillId="24" borderId="84" xfId="0" applyNumberFormat="1" applyFont="1" applyFill="1" applyBorder="1" applyAlignment="1">
      <alignment horizontal="center" vertical="top" wrapText="1"/>
    </xf>
    <xf numFmtId="188" fontId="6" fillId="24" borderId="83" xfId="0" applyNumberFormat="1" applyFont="1" applyFill="1" applyBorder="1" applyAlignment="1">
      <alignment horizontal="center" vertical="top" wrapText="1"/>
    </xf>
    <xf numFmtId="0" fontId="8" fillId="25" borderId="27" xfId="0" applyFont="1" applyFill="1" applyBorder="1" applyAlignment="1">
      <alignment horizontal="left" vertical="top" wrapText="1"/>
    </xf>
    <xf numFmtId="0" fontId="8" fillId="25" borderId="75" xfId="0" applyFont="1" applyFill="1" applyBorder="1" applyAlignment="1">
      <alignment horizontal="left" vertical="top" wrapText="1"/>
    </xf>
    <xf numFmtId="0" fontId="8" fillId="25" borderId="38" xfId="0" applyFont="1" applyFill="1" applyBorder="1" applyAlignment="1">
      <alignment horizontal="left" vertical="top" wrapText="1"/>
    </xf>
    <xf numFmtId="188" fontId="8" fillId="0" borderId="27" xfId="0" applyNumberFormat="1" applyFont="1" applyBorder="1" applyAlignment="1">
      <alignment horizontal="center" vertical="top" wrapText="1"/>
    </xf>
    <xf numFmtId="188" fontId="8" fillId="0" borderId="75" xfId="0" applyNumberFormat="1" applyFont="1" applyBorder="1" applyAlignment="1">
      <alignment horizontal="center" vertical="top" wrapText="1"/>
    </xf>
    <xf numFmtId="188" fontId="8" fillId="0" borderId="38" xfId="0" applyNumberFormat="1" applyFont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188" fontId="8" fillId="0" borderId="26" xfId="0" applyNumberFormat="1" applyFont="1" applyFill="1" applyBorder="1" applyAlignment="1">
      <alignment horizontal="center" vertical="top" wrapText="1"/>
    </xf>
    <xf numFmtId="188" fontId="8" fillId="0" borderId="22" xfId="0" applyNumberFormat="1" applyFont="1" applyFill="1" applyBorder="1" applyAlignment="1">
      <alignment horizontal="center" vertical="top" wrapText="1"/>
    </xf>
    <xf numFmtId="188" fontId="8" fillId="0" borderId="33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right" vertical="top" wrapText="1"/>
    </xf>
    <xf numFmtId="0" fontId="6" fillId="24" borderId="81" xfId="0" applyFont="1" applyFill="1" applyBorder="1" applyAlignment="1">
      <alignment horizontal="right" vertical="top" wrapText="1"/>
    </xf>
    <xf numFmtId="0" fontId="6" fillId="24" borderId="40" xfId="0" applyFont="1" applyFill="1" applyBorder="1" applyAlignment="1">
      <alignment horizontal="right" vertical="top" wrapText="1"/>
    </xf>
    <xf numFmtId="188" fontId="6" fillId="24" borderId="19" xfId="0" applyNumberFormat="1" applyFont="1" applyFill="1" applyBorder="1" applyAlignment="1">
      <alignment horizontal="center" vertical="top" wrapText="1"/>
    </xf>
    <xf numFmtId="188" fontId="6" fillId="24" borderId="81" xfId="0" applyNumberFormat="1" applyFont="1" applyFill="1" applyBorder="1" applyAlignment="1">
      <alignment horizontal="center" vertical="top" wrapText="1"/>
    </xf>
    <xf numFmtId="188" fontId="6" fillId="24" borderId="40" xfId="0" applyNumberFormat="1" applyFont="1" applyFill="1" applyBorder="1" applyAlignment="1">
      <alignment horizontal="center" vertical="top" wrapText="1"/>
    </xf>
    <xf numFmtId="49" fontId="8" fillId="0" borderId="66" xfId="0" applyNumberFormat="1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/>
    </xf>
    <xf numFmtId="49" fontId="8" fillId="0" borderId="73" xfId="0" applyNumberFormat="1" applyFont="1" applyBorder="1" applyAlignment="1">
      <alignment horizontal="center" vertical="top"/>
    </xf>
    <xf numFmtId="49" fontId="5" fillId="4" borderId="80" xfId="0" applyNumberFormat="1" applyFont="1" applyFill="1" applyBorder="1" applyAlignment="1">
      <alignment horizontal="right" vertical="top"/>
    </xf>
    <xf numFmtId="49" fontId="5" fillId="4" borderId="81" xfId="0" applyNumberFormat="1" applyFont="1" applyFill="1" applyBorder="1" applyAlignment="1">
      <alignment horizontal="right" vertical="top"/>
    </xf>
    <xf numFmtId="49" fontId="5" fillId="4" borderId="40" xfId="0" applyNumberFormat="1" applyFont="1" applyFill="1" applyBorder="1" applyAlignment="1">
      <alignment horizontal="right" vertical="top"/>
    </xf>
    <xf numFmtId="49" fontId="5" fillId="8" borderId="52" xfId="0" applyNumberFormat="1" applyFont="1" applyFill="1" applyBorder="1" applyAlignment="1">
      <alignment horizontal="right" vertical="top"/>
    </xf>
    <xf numFmtId="49" fontId="5" fillId="8" borderId="64" xfId="0" applyNumberFormat="1" applyFont="1" applyFill="1" applyBorder="1" applyAlignment="1">
      <alignment horizontal="right" vertical="top"/>
    </xf>
    <xf numFmtId="49" fontId="5" fillId="8" borderId="32" xfId="0" applyNumberFormat="1" applyFont="1" applyFill="1" applyBorder="1" applyAlignment="1">
      <alignment horizontal="right" vertical="top"/>
    </xf>
    <xf numFmtId="49" fontId="5" fillId="24" borderId="88" xfId="0" applyNumberFormat="1" applyFont="1" applyFill="1" applyBorder="1" applyAlignment="1">
      <alignment horizontal="right" vertical="top"/>
    </xf>
    <xf numFmtId="49" fontId="5" fillId="24" borderId="16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right" vertical="top" wrapText="1"/>
    </xf>
    <xf numFmtId="49" fontId="5" fillId="8" borderId="41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36" xfId="0" applyNumberFormat="1" applyFont="1" applyFill="1" applyBorder="1" applyAlignment="1">
      <alignment horizontal="center" vertical="top"/>
    </xf>
    <xf numFmtId="49" fontId="5" fillId="4" borderId="42" xfId="0" applyNumberFormat="1" applyFont="1" applyFill="1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50" fillId="0" borderId="43" xfId="0" applyFont="1" applyFill="1" applyBorder="1" applyAlignment="1">
      <alignment horizontal="left" vertical="top" wrapText="1"/>
    </xf>
    <xf numFmtId="0" fontId="50" fillId="0" borderId="55" xfId="0" applyFont="1" applyFill="1" applyBorder="1" applyAlignment="1">
      <alignment horizontal="left" vertical="top" wrapText="1"/>
    </xf>
    <xf numFmtId="0" fontId="50" fillId="0" borderId="85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5" fillId="8" borderId="46" xfId="0" applyNumberFormat="1" applyFont="1" applyFill="1" applyBorder="1" applyAlignment="1">
      <alignment horizontal="center" vertical="top"/>
    </xf>
    <xf numFmtId="49" fontId="5" fillId="4" borderId="20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8" fillId="0" borderId="43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 wrapText="1"/>
    </xf>
    <xf numFmtId="49" fontId="5" fillId="8" borderId="10" xfId="0" applyNumberFormat="1" applyFont="1" applyFill="1" applyBorder="1" applyAlignment="1">
      <alignment horizontal="center" vertical="top"/>
    </xf>
    <xf numFmtId="49" fontId="5" fillId="4" borderId="25" xfId="0" applyNumberFormat="1" applyFont="1" applyFill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50" fillId="0" borderId="51" xfId="0" applyFont="1" applyFill="1" applyBorder="1" applyAlignment="1">
      <alignment horizontal="left" vertical="top" wrapText="1"/>
    </xf>
    <xf numFmtId="0" fontId="8" fillId="0" borderId="61" xfId="0" applyFont="1" applyFill="1" applyBorder="1" applyAlignment="1">
      <alignment vertical="top" wrapText="1"/>
    </xf>
    <xf numFmtId="0" fontId="8" fillId="0" borderId="55" xfId="0" applyFont="1" applyFill="1" applyBorder="1" applyAlignment="1">
      <alignment vertical="top" wrapText="1"/>
    </xf>
    <xf numFmtId="0" fontId="8" fillId="0" borderId="89" xfId="0" applyFont="1" applyFill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8" fillId="0" borderId="38" xfId="0" applyNumberFormat="1" applyFont="1" applyBorder="1" applyAlignment="1">
      <alignment horizontal="center" vertical="top"/>
    </xf>
    <xf numFmtId="49" fontId="8" fillId="0" borderId="83" xfId="0" applyNumberFormat="1" applyFont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11" fillId="0" borderId="59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49" fontId="8" fillId="0" borderId="67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55" xfId="0" applyFont="1" applyFill="1" applyBorder="1" applyAlignment="1">
      <alignment horizontal="left" vertical="top" wrapText="1"/>
    </xf>
    <xf numFmtId="49" fontId="5" fillId="8" borderId="59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49" fontId="5" fillId="25" borderId="60" xfId="0" applyNumberFormat="1" applyFont="1" applyFill="1" applyBorder="1" applyAlignment="1">
      <alignment horizontal="center" vertical="top"/>
    </xf>
    <xf numFmtId="49" fontId="5" fillId="25" borderId="17" xfId="0" applyNumberFormat="1" applyFont="1" applyFill="1" applyBorder="1" applyAlignment="1">
      <alignment horizontal="center" vertical="top"/>
    </xf>
    <xf numFmtId="49" fontId="5" fillId="25" borderId="13" xfId="0" applyNumberFormat="1" applyFont="1" applyFill="1" applyBorder="1" applyAlignment="1">
      <alignment horizontal="center" vertical="top"/>
    </xf>
    <xf numFmtId="49" fontId="8" fillId="0" borderId="43" xfId="0" applyNumberFormat="1" applyFont="1" applyFill="1" applyBorder="1" applyAlignment="1">
      <alignment horizontal="left" vertical="top" wrapText="1"/>
    </xf>
    <xf numFmtId="49" fontId="8" fillId="0" borderId="51" xfId="0" applyNumberFormat="1" applyFont="1" applyFill="1" applyBorder="1" applyAlignment="1">
      <alignment horizontal="left" vertical="top" wrapText="1"/>
    </xf>
    <xf numFmtId="49" fontId="8" fillId="0" borderId="47" xfId="0" applyNumberFormat="1" applyFont="1" applyFill="1" applyBorder="1" applyAlignment="1">
      <alignment horizontal="left" vertical="top" wrapText="1"/>
    </xf>
    <xf numFmtId="49" fontId="8" fillId="0" borderId="85" xfId="0" applyNumberFormat="1" applyFont="1" applyFill="1" applyBorder="1" applyAlignment="1">
      <alignment horizontal="left" vertical="top" wrapText="1"/>
    </xf>
    <xf numFmtId="49" fontId="11" fillId="25" borderId="59" xfId="0" applyNumberFormat="1" applyFont="1" applyFill="1" applyBorder="1" applyAlignment="1">
      <alignment horizontal="center" vertical="center" textRotation="90" wrapText="1"/>
    </xf>
    <xf numFmtId="49" fontId="11" fillId="25" borderId="11" xfId="0" applyNumberFormat="1" applyFont="1" applyFill="1" applyBorder="1" applyAlignment="1">
      <alignment horizontal="center" vertical="center" textRotation="90" wrapText="1"/>
    </xf>
    <xf numFmtId="49" fontId="11" fillId="25" borderId="12" xfId="0" applyNumberFormat="1" applyFont="1" applyFill="1" applyBorder="1" applyAlignment="1">
      <alignment horizontal="center" vertical="center" textRotation="90" wrapText="1"/>
    </xf>
    <xf numFmtId="49" fontId="4" fillId="25" borderId="60" xfId="0" applyNumberFormat="1" applyFont="1" applyFill="1" applyBorder="1" applyAlignment="1">
      <alignment horizontal="center" vertical="top"/>
    </xf>
    <xf numFmtId="49" fontId="4" fillId="25" borderId="17" xfId="0" applyNumberFormat="1" applyFont="1" applyFill="1" applyBorder="1" applyAlignment="1">
      <alignment horizontal="center" vertical="top"/>
    </xf>
    <xf numFmtId="49" fontId="4" fillId="25" borderId="13" xfId="0" applyNumberFormat="1" applyFont="1" applyFill="1" applyBorder="1" applyAlignment="1">
      <alignment horizontal="center" vertical="top"/>
    </xf>
    <xf numFmtId="49" fontId="5" fillId="4" borderId="60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49" fontId="5" fillId="0" borderId="6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6" fillId="0" borderId="61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89" xfId="0" applyFont="1" applyFill="1" applyBorder="1" applyAlignment="1">
      <alignment horizontal="left" vertical="top" wrapText="1"/>
    </xf>
    <xf numFmtId="0" fontId="8" fillId="0" borderId="9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88" xfId="0" applyFont="1" applyFill="1" applyBorder="1" applyAlignment="1">
      <alignment horizontal="left" vertical="top" wrapText="1"/>
    </xf>
    <xf numFmtId="0" fontId="6" fillId="25" borderId="61" xfId="0" applyFont="1" applyFill="1" applyBorder="1" applyAlignment="1">
      <alignment horizontal="left" vertical="top" wrapText="1"/>
    </xf>
    <xf numFmtId="0" fontId="6" fillId="25" borderId="55" xfId="0" applyFont="1" applyFill="1" applyBorder="1" applyAlignment="1">
      <alignment horizontal="left" vertical="top" wrapText="1"/>
    </xf>
    <xf numFmtId="0" fontId="6" fillId="25" borderId="89" xfId="0" applyFont="1" applyFill="1" applyBorder="1" applyAlignment="1">
      <alignment horizontal="left" vertical="top" wrapText="1"/>
    </xf>
    <xf numFmtId="0" fontId="5" fillId="4" borderId="80" xfId="0" applyFont="1" applyFill="1" applyBorder="1" applyAlignment="1">
      <alignment horizontal="left" vertical="top" wrapText="1"/>
    </xf>
    <xf numFmtId="0" fontId="5" fillId="4" borderId="81" xfId="0" applyFont="1" applyFill="1" applyBorder="1" applyAlignment="1">
      <alignment horizontal="left" vertical="top" wrapText="1"/>
    </xf>
    <xf numFmtId="0" fontId="8" fillId="0" borderId="81" xfId="0" applyFont="1" applyBorder="1" applyAlignment="1">
      <alignment/>
    </xf>
    <xf numFmtId="49" fontId="5" fillId="8" borderId="54" xfId="0" applyNumberFormat="1" applyFont="1" applyFill="1" applyBorder="1" applyAlignment="1">
      <alignment horizontal="center" vertical="top"/>
    </xf>
    <xf numFmtId="49" fontId="5" fillId="4" borderId="24" xfId="0" applyNumberFormat="1" applyFont="1" applyFill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0" fontId="50" fillId="0" borderId="49" xfId="0" applyFont="1" applyFill="1" applyBorder="1" applyAlignment="1">
      <alignment horizontal="left" vertical="top" wrapText="1"/>
    </xf>
    <xf numFmtId="49" fontId="5" fillId="11" borderId="91" xfId="0" applyNumberFormat="1" applyFont="1" applyFill="1" applyBorder="1" applyAlignment="1">
      <alignment horizontal="right" vertical="top"/>
    </xf>
    <xf numFmtId="49" fontId="5" fillId="11" borderId="67" xfId="0" applyNumberFormat="1" applyFont="1" applyFill="1" applyBorder="1" applyAlignment="1">
      <alignment horizontal="right" vertical="top"/>
    </xf>
    <xf numFmtId="49" fontId="5" fillId="11" borderId="66" xfId="0" applyNumberFormat="1" applyFont="1" applyFill="1" applyBorder="1" applyAlignment="1">
      <alignment horizontal="right" vertical="top"/>
    </xf>
    <xf numFmtId="49" fontId="5" fillId="25" borderId="60" xfId="0" applyNumberFormat="1" applyFont="1" applyFill="1" applyBorder="1" applyAlignment="1">
      <alignment vertical="top"/>
    </xf>
    <xf numFmtId="49" fontId="5" fillId="25" borderId="17" xfId="0" applyNumberFormat="1" applyFont="1" applyFill="1" applyBorder="1" applyAlignment="1">
      <alignment vertical="top"/>
    </xf>
    <xf numFmtId="49" fontId="5" fillId="25" borderId="13" xfId="0" applyNumberFormat="1" applyFont="1" applyFill="1" applyBorder="1" applyAlignment="1">
      <alignment vertical="top"/>
    </xf>
    <xf numFmtId="49" fontId="6" fillId="0" borderId="43" xfId="0" applyNumberFormat="1" applyFont="1" applyFill="1" applyBorder="1" applyAlignment="1">
      <alignment horizontal="left" vertical="top" wrapText="1"/>
    </xf>
    <xf numFmtId="49" fontId="6" fillId="0" borderId="55" xfId="0" applyNumberFormat="1" applyFont="1" applyFill="1" applyBorder="1" applyAlignment="1">
      <alignment horizontal="left" vertical="top" wrapText="1"/>
    </xf>
    <xf numFmtId="49" fontId="6" fillId="0" borderId="85" xfId="0" applyNumberFormat="1" applyFont="1" applyFill="1" applyBorder="1" applyAlignment="1">
      <alignment horizontal="left" vertical="top" wrapText="1"/>
    </xf>
    <xf numFmtId="49" fontId="11" fillId="25" borderId="59" xfId="0" applyNumberFormat="1" applyFont="1" applyFill="1" applyBorder="1" applyAlignment="1">
      <alignment horizontal="center" vertical="center"/>
    </xf>
    <xf numFmtId="49" fontId="11" fillId="25" borderId="11" xfId="0" applyNumberFormat="1" applyFont="1" applyFill="1" applyBorder="1" applyAlignment="1">
      <alignment horizontal="center" vertical="center"/>
    </xf>
    <xf numFmtId="49" fontId="11" fillId="25" borderId="12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8" fillId="0" borderId="61" xfId="0" applyFont="1" applyFill="1" applyBorder="1" applyAlignment="1">
      <alignment horizontal="left" vertical="top" wrapText="1"/>
    </xf>
    <xf numFmtId="0" fontId="8" fillId="0" borderId="89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0" fillId="0" borderId="44" xfId="0" applyFont="1" applyFill="1" applyBorder="1" applyAlignment="1">
      <alignment horizontal="left" vertical="top" wrapText="1"/>
    </xf>
    <xf numFmtId="0" fontId="50" fillId="0" borderId="37" xfId="0" applyFont="1" applyFill="1" applyBorder="1" applyAlignment="1">
      <alignment horizontal="left" vertical="top" wrapText="1"/>
    </xf>
    <xf numFmtId="0" fontId="50" fillId="0" borderId="77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6" fillId="4" borderId="80" xfId="0" applyFont="1" applyFill="1" applyBorder="1" applyAlignment="1">
      <alignment horizontal="left" vertical="top" wrapText="1"/>
    </xf>
    <xf numFmtId="0" fontId="6" fillId="4" borderId="81" xfId="0" applyFont="1" applyFill="1" applyBorder="1" applyAlignment="1">
      <alignment horizontal="left" vertical="top" wrapText="1"/>
    </xf>
    <xf numFmtId="0" fontId="6" fillId="4" borderId="40" xfId="0" applyFont="1" applyFill="1" applyBorder="1" applyAlignment="1">
      <alignment horizontal="left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2" fillId="0" borderId="49" xfId="0" applyNumberFormat="1" applyFont="1" applyFill="1" applyBorder="1" applyAlignment="1">
      <alignment horizontal="left" vertical="top" wrapText="1"/>
    </xf>
    <xf numFmtId="49" fontId="52" fillId="0" borderId="55" xfId="0" applyNumberFormat="1" applyFont="1" applyFill="1" applyBorder="1" applyAlignment="1">
      <alignment horizontal="left" vertical="top" wrapText="1"/>
    </xf>
    <xf numFmtId="49" fontId="52" fillId="0" borderId="89" xfId="0" applyNumberFormat="1" applyFont="1" applyFill="1" applyBorder="1" applyAlignment="1">
      <alignment horizontal="left" vertical="top" wrapText="1"/>
    </xf>
    <xf numFmtId="49" fontId="8" fillId="0" borderId="42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8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8" fillId="0" borderId="83" xfId="0" applyNumberFormat="1" applyFont="1" applyFill="1" applyBorder="1" applyAlignment="1">
      <alignment horizontal="center" vertical="top"/>
    </xf>
    <xf numFmtId="188" fontId="11" fillId="0" borderId="54" xfId="0" applyNumberFormat="1" applyFont="1" applyFill="1" applyBorder="1" applyAlignment="1">
      <alignment horizontal="center" vertical="top" textRotation="90" wrapText="1"/>
    </xf>
    <xf numFmtId="188" fontId="11" fillId="0" borderId="12" xfId="0" applyNumberFormat="1" applyFont="1" applyFill="1" applyBorder="1" applyAlignment="1">
      <alignment horizontal="center" vertical="top" textRotation="90" wrapText="1"/>
    </xf>
    <xf numFmtId="49" fontId="6" fillId="4" borderId="80" xfId="0" applyNumberFormat="1" applyFont="1" applyFill="1" applyBorder="1" applyAlignment="1">
      <alignment horizontal="right" vertical="top"/>
    </xf>
    <xf numFmtId="49" fontId="6" fillId="4" borderId="81" xfId="0" applyNumberFormat="1" applyFont="1" applyFill="1" applyBorder="1" applyAlignment="1">
      <alignment horizontal="right" vertical="top"/>
    </xf>
    <xf numFmtId="49" fontId="6" fillId="4" borderId="40" xfId="0" applyNumberFormat="1" applyFont="1" applyFill="1" applyBorder="1" applyAlignment="1">
      <alignment horizontal="right" vertical="top"/>
    </xf>
    <xf numFmtId="49" fontId="6" fillId="4" borderId="15" xfId="0" applyNumberFormat="1" applyFont="1" applyFill="1" applyBorder="1" applyAlignment="1">
      <alignment horizontal="left" vertical="top"/>
    </xf>
    <xf numFmtId="49" fontId="6" fillId="4" borderId="79" xfId="0" applyNumberFormat="1" applyFont="1" applyFill="1" applyBorder="1" applyAlignment="1">
      <alignment horizontal="left" vertical="top"/>
    </xf>
    <xf numFmtId="49" fontId="5" fillId="8" borderId="41" xfId="0" applyNumberFormat="1" applyFont="1" applyFill="1" applyBorder="1" applyAlignment="1">
      <alignment horizontal="center" vertical="top" wrapText="1"/>
    </xf>
    <xf numFmtId="49" fontId="5" fillId="8" borderId="54" xfId="0" applyNumberFormat="1" applyFont="1" applyFill="1" applyBorder="1" applyAlignment="1">
      <alignment horizontal="center" vertical="top" wrapText="1"/>
    </xf>
    <xf numFmtId="49" fontId="5" fillId="8" borderId="36" xfId="0" applyNumberFormat="1" applyFont="1" applyFill="1" applyBorder="1" applyAlignment="1">
      <alignment horizontal="center" vertical="top" wrapText="1"/>
    </xf>
    <xf numFmtId="49" fontId="5" fillId="0" borderId="42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188" fontId="6" fillId="0" borderId="43" xfId="0" applyNumberFormat="1" applyFont="1" applyFill="1" applyBorder="1" applyAlignment="1">
      <alignment horizontal="left" vertical="top" wrapText="1"/>
    </xf>
    <xf numFmtId="188" fontId="6" fillId="0" borderId="49" xfId="0" applyNumberFormat="1" applyFont="1" applyFill="1" applyBorder="1" applyAlignment="1">
      <alignment horizontal="left" vertical="top" wrapText="1"/>
    </xf>
    <xf numFmtId="188" fontId="6" fillId="0" borderId="85" xfId="0" applyNumberFormat="1" applyFont="1" applyFill="1" applyBorder="1" applyAlignment="1">
      <alignment horizontal="left" vertical="top" wrapText="1"/>
    </xf>
    <xf numFmtId="49" fontId="8" fillId="0" borderId="42" xfId="0" applyNumberFormat="1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49" fontId="8" fillId="0" borderId="33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49" fontId="8" fillId="0" borderId="40" xfId="0" applyNumberFormat="1" applyFont="1" applyFill="1" applyBorder="1" applyAlignment="1">
      <alignment horizontal="center" vertical="top"/>
    </xf>
    <xf numFmtId="188" fontId="6" fillId="0" borderId="54" xfId="0" applyNumberFormat="1" applyFont="1" applyFill="1" applyBorder="1" applyAlignment="1">
      <alignment horizontal="center" vertical="center" textRotation="90" wrapText="1"/>
    </xf>
    <xf numFmtId="188" fontId="6" fillId="0" borderId="11" xfId="0" applyNumberFormat="1" applyFont="1" applyFill="1" applyBorder="1" applyAlignment="1">
      <alignment horizontal="center" vertical="center" textRotation="90" wrapText="1"/>
    </xf>
    <xf numFmtId="188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92" xfId="0" applyNumberFormat="1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left" vertical="top" wrapText="1"/>
    </xf>
    <xf numFmtId="188" fontId="6" fillId="0" borderId="59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top" wrapText="1"/>
    </xf>
    <xf numFmtId="188" fontId="6" fillId="0" borderId="12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49" fontId="5" fillId="4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6" fillId="0" borderId="80" xfId="0" applyFont="1" applyFill="1" applyBorder="1" applyAlignment="1">
      <alignment horizontal="left" vertical="top" wrapText="1"/>
    </xf>
    <xf numFmtId="188" fontId="6" fillId="0" borderId="10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8" fillId="0" borderId="42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31" xfId="0" applyNumberFormat="1" applyFont="1" applyFill="1" applyBorder="1" applyAlignment="1">
      <alignment horizontal="center" vertical="top" wrapText="1"/>
    </xf>
    <xf numFmtId="0" fontId="8" fillId="0" borderId="66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0" fontId="8" fillId="0" borderId="73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5" fillId="0" borderId="60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8" fillId="0" borderId="55" xfId="0" applyNumberFormat="1" applyFont="1" applyFill="1" applyBorder="1" applyAlignment="1">
      <alignment horizontal="left" vertical="top" wrapText="1"/>
    </xf>
    <xf numFmtId="0" fontId="5" fillId="0" borderId="61" xfId="52" applyFont="1" applyFill="1" applyBorder="1" applyAlignment="1">
      <alignment vertical="top" wrapText="1"/>
      <protection/>
    </xf>
    <xf numFmtId="0" fontId="8" fillId="0" borderId="51" xfId="0" applyFont="1" applyFill="1" applyBorder="1" applyAlignment="1">
      <alignment vertical="top" wrapText="1"/>
    </xf>
    <xf numFmtId="0" fontId="5" fillId="0" borderId="49" xfId="52" applyFont="1" applyFill="1" applyBorder="1" applyAlignment="1">
      <alignment horizontal="left" vertical="top" wrapText="1"/>
      <protection/>
    </xf>
    <xf numFmtId="0" fontId="5" fillId="0" borderId="89" xfId="52" applyFont="1" applyFill="1" applyBorder="1" applyAlignment="1">
      <alignment horizontal="left" vertical="top" wrapText="1"/>
      <protection/>
    </xf>
    <xf numFmtId="49" fontId="5" fillId="0" borderId="92" xfId="0" applyNumberFormat="1" applyFont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/>
    </xf>
    <xf numFmtId="49" fontId="5" fillId="0" borderId="88" xfId="0" applyNumberFormat="1" applyFont="1" applyBorder="1" applyAlignment="1">
      <alignment horizontal="center" vertical="top"/>
    </xf>
    <xf numFmtId="49" fontId="6" fillId="0" borderId="88" xfId="0" applyNumberFormat="1" applyFont="1" applyFill="1" applyBorder="1" applyAlignment="1">
      <alignment horizontal="left" vertical="top" wrapText="1"/>
    </xf>
    <xf numFmtId="49" fontId="8" fillId="0" borderId="25" xfId="0" applyNumberFormat="1" applyFont="1" applyFill="1" applyBorder="1" applyAlignment="1">
      <alignment horizontal="center" vertical="top"/>
    </xf>
    <xf numFmtId="188" fontId="5" fillId="0" borderId="54" xfId="0" applyNumberFormat="1" applyFont="1" applyFill="1" applyBorder="1" applyAlignment="1">
      <alignment horizontal="center" vertical="center" textRotation="90" wrapText="1"/>
    </xf>
    <xf numFmtId="49" fontId="5" fillId="11" borderId="19" xfId="0" applyNumberFormat="1" applyFont="1" applyFill="1" applyBorder="1" applyAlignment="1">
      <alignment horizontal="right" vertical="top"/>
    </xf>
    <xf numFmtId="49" fontId="5" fillId="11" borderId="81" xfId="0" applyNumberFormat="1" applyFont="1" applyFill="1" applyBorder="1" applyAlignment="1">
      <alignment horizontal="right" vertical="top"/>
    </xf>
    <xf numFmtId="49" fontId="5" fillId="11" borderId="40" xfId="0" applyNumberFormat="1" applyFont="1" applyFill="1" applyBorder="1" applyAlignment="1">
      <alignment horizontal="right" vertical="top"/>
    </xf>
    <xf numFmtId="49" fontId="5" fillId="4" borderId="92" xfId="0" applyNumberFormat="1" applyFont="1" applyFill="1" applyBorder="1" applyAlignment="1">
      <alignment horizontal="center" vertical="top"/>
    </xf>
    <xf numFmtId="49" fontId="5" fillId="4" borderId="37" xfId="0" applyNumberFormat="1" applyFont="1" applyFill="1" applyBorder="1" applyAlignment="1">
      <alignment horizontal="center" vertical="top"/>
    </xf>
    <xf numFmtId="49" fontId="5" fillId="4" borderId="88" xfId="0" applyNumberFormat="1" applyFont="1" applyFill="1" applyBorder="1" applyAlignment="1">
      <alignment horizontal="center" vertical="top"/>
    </xf>
    <xf numFmtId="49" fontId="8" fillId="0" borderId="92" xfId="0" applyNumberFormat="1" applyFont="1" applyFill="1" applyBorder="1" applyAlignment="1">
      <alignment horizontal="left" vertical="top" wrapText="1"/>
    </xf>
    <xf numFmtId="49" fontId="8" fillId="0" borderId="37" xfId="0" applyNumberFormat="1" applyFont="1" applyFill="1" applyBorder="1" applyAlignment="1">
      <alignment horizontal="left" vertical="top" wrapText="1"/>
    </xf>
    <xf numFmtId="49" fontId="8" fillId="0" borderId="88" xfId="0" applyNumberFormat="1" applyFont="1" applyFill="1" applyBorder="1" applyAlignment="1">
      <alignment horizontal="left" vertical="top" wrapText="1"/>
    </xf>
    <xf numFmtId="49" fontId="8" fillId="0" borderId="39" xfId="0" applyNumberFormat="1" applyFont="1" applyFill="1" applyBorder="1" applyAlignment="1">
      <alignment horizontal="center" vertical="top"/>
    </xf>
    <xf numFmtId="188" fontId="29" fillId="0" borderId="54" xfId="0" applyNumberFormat="1" applyFont="1" applyFill="1" applyBorder="1" applyAlignment="1">
      <alignment horizontal="center" vertical="top" textRotation="90" wrapText="1"/>
    </xf>
    <xf numFmtId="188" fontId="29" fillId="0" borderId="12" xfId="0" applyNumberFormat="1" applyFont="1" applyFill="1" applyBorder="1" applyAlignment="1">
      <alignment horizontal="center" vertical="top" textRotation="90" wrapText="1"/>
    </xf>
    <xf numFmtId="188" fontId="5" fillId="0" borderId="54" xfId="0" applyNumberFormat="1" applyFont="1" applyFill="1" applyBorder="1" applyAlignment="1">
      <alignment horizontal="center" vertical="top" textRotation="90" wrapText="1"/>
    </xf>
    <xf numFmtId="188" fontId="5" fillId="0" borderId="12" xfId="0" applyNumberFormat="1" applyFont="1" applyFill="1" applyBorder="1" applyAlignment="1">
      <alignment horizontal="center" vertical="top" textRotation="90" wrapText="1"/>
    </xf>
    <xf numFmtId="0" fontId="6" fillId="0" borderId="92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188" fontId="29" fillId="0" borderId="54" xfId="0" applyNumberFormat="1" applyFont="1" applyFill="1" applyBorder="1" applyAlignment="1">
      <alignment horizontal="center" vertical="center" textRotation="90" wrapText="1"/>
    </xf>
    <xf numFmtId="188" fontId="29" fillId="0" borderId="12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49" fontId="52" fillId="0" borderId="39" xfId="0" applyNumberFormat="1" applyFont="1" applyFill="1" applyBorder="1" applyAlignment="1">
      <alignment horizontal="left" vertical="top" wrapText="1"/>
    </xf>
    <xf numFmtId="49" fontId="52" fillId="0" borderId="73" xfId="0" applyNumberFormat="1" applyFont="1" applyFill="1" applyBorder="1" applyAlignment="1">
      <alignment horizontal="left" vertical="top" wrapText="1"/>
    </xf>
    <xf numFmtId="188" fontId="5" fillId="0" borderId="11" xfId="0" applyNumberFormat="1" applyFont="1" applyFill="1" applyBorder="1" applyAlignment="1">
      <alignment horizontal="center" vertical="center" textRotation="90" wrapText="1"/>
    </xf>
    <xf numFmtId="49" fontId="5" fillId="11" borderId="35" xfId="0" applyNumberFormat="1" applyFont="1" applyFill="1" applyBorder="1" applyAlignment="1">
      <alignment horizontal="right" vertical="top"/>
    </xf>
    <xf numFmtId="49" fontId="5" fillId="11" borderId="16" xfId="0" applyNumberFormat="1" applyFont="1" applyFill="1" applyBorder="1" applyAlignment="1">
      <alignment horizontal="right" vertical="top"/>
    </xf>
    <xf numFmtId="49" fontId="5" fillId="11" borderId="73" xfId="0" applyNumberFormat="1" applyFont="1" applyFill="1" applyBorder="1" applyAlignment="1">
      <alignment horizontal="right" vertical="top"/>
    </xf>
    <xf numFmtId="49" fontId="52" fillId="0" borderId="92" xfId="0" applyNumberFormat="1" applyFont="1" applyFill="1" applyBorder="1" applyAlignment="1">
      <alignment horizontal="left" vertical="top" wrapText="1"/>
    </xf>
    <xf numFmtId="49" fontId="52" fillId="0" borderId="37" xfId="0" applyNumberFormat="1" applyFont="1" applyFill="1" applyBorder="1" applyAlignment="1">
      <alignment horizontal="left" vertical="top" wrapText="1"/>
    </xf>
    <xf numFmtId="49" fontId="52" fillId="0" borderId="88" xfId="0" applyNumberFormat="1" applyFont="1" applyFill="1" applyBorder="1" applyAlignment="1">
      <alignment horizontal="left" vertical="top" wrapText="1"/>
    </xf>
    <xf numFmtId="0" fontId="6" fillId="0" borderId="88" xfId="0" applyFont="1" applyFill="1" applyBorder="1" applyAlignment="1">
      <alignment horizontal="left" vertical="top" wrapText="1"/>
    </xf>
    <xf numFmtId="49" fontId="6" fillId="0" borderId="60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6" fillId="0" borderId="90" xfId="0" applyNumberFormat="1" applyFont="1" applyFill="1" applyBorder="1" applyAlignment="1">
      <alignment horizontal="center" vertical="top" wrapText="1"/>
    </xf>
    <xf numFmtId="188" fontId="6" fillId="0" borderId="30" xfId="0" applyNumberFormat="1" applyFont="1" applyFill="1" applyBorder="1" applyAlignment="1">
      <alignment horizontal="center" vertical="top" wrapText="1"/>
    </xf>
    <xf numFmtId="188" fontId="6" fillId="0" borderId="72" xfId="0" applyNumberFormat="1" applyFont="1" applyFill="1" applyBorder="1" applyAlignment="1">
      <alignment horizontal="center" vertical="top" wrapText="1"/>
    </xf>
    <xf numFmtId="49" fontId="6" fillId="8" borderId="52" xfId="0" applyNumberFormat="1" applyFont="1" applyFill="1" applyBorder="1" applyAlignment="1">
      <alignment horizontal="left" vertical="top"/>
    </xf>
    <xf numFmtId="49" fontId="6" fillId="8" borderId="64" xfId="0" applyNumberFormat="1" applyFont="1" applyFill="1" applyBorder="1" applyAlignment="1">
      <alignment horizontal="left" vertical="top"/>
    </xf>
    <xf numFmtId="49" fontId="6" fillId="8" borderId="32" xfId="0" applyNumberFormat="1" applyFont="1" applyFill="1" applyBorder="1" applyAlignment="1">
      <alignment horizontal="left" vertical="top"/>
    </xf>
    <xf numFmtId="49" fontId="6" fillId="4" borderId="77" xfId="0" applyNumberFormat="1" applyFont="1" applyFill="1" applyBorder="1" applyAlignment="1">
      <alignment horizontal="left" vertical="top"/>
    </xf>
    <xf numFmtId="0" fontId="6" fillId="4" borderId="84" xfId="0" applyFont="1" applyFill="1" applyBorder="1" applyAlignment="1">
      <alignment horizontal="left"/>
    </xf>
    <xf numFmtId="0" fontId="6" fillId="4" borderId="83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textRotation="90" wrapText="1"/>
    </xf>
    <xf numFmtId="0" fontId="10" fillId="0" borderId="89" xfId="0" applyFont="1" applyFill="1" applyBorder="1" applyAlignment="1">
      <alignment horizontal="center" vertical="center" textRotation="90" wrapText="1"/>
    </xf>
    <xf numFmtId="0" fontId="10" fillId="0" borderId="87" xfId="0" applyFont="1" applyBorder="1" applyAlignment="1">
      <alignment horizontal="center" vertical="center" textRotation="90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textRotation="90" wrapText="1"/>
    </xf>
    <xf numFmtId="0" fontId="10" fillId="0" borderId="88" xfId="0" applyFont="1" applyFill="1" applyBorder="1" applyAlignment="1">
      <alignment horizontal="center" vertical="center" textRotation="90" wrapText="1"/>
    </xf>
    <xf numFmtId="49" fontId="13" fillId="3" borderId="27" xfId="0" applyNumberFormat="1" applyFont="1" applyFill="1" applyBorder="1" applyAlignment="1">
      <alignment horizontal="left" vertical="top" wrapText="1"/>
    </xf>
    <xf numFmtId="49" fontId="13" fillId="3" borderId="75" xfId="0" applyNumberFormat="1" applyFont="1" applyFill="1" applyBorder="1" applyAlignment="1">
      <alignment horizontal="left" vertical="top" wrapText="1"/>
    </xf>
    <xf numFmtId="49" fontId="13" fillId="3" borderId="38" xfId="0" applyNumberFormat="1" applyFont="1" applyFill="1" applyBorder="1" applyAlignment="1">
      <alignment horizontal="left" vertical="top" wrapText="1"/>
    </xf>
    <xf numFmtId="0" fontId="9" fillId="24" borderId="26" xfId="0" applyFont="1" applyFill="1" applyBorder="1" applyAlignment="1">
      <alignment horizontal="left" vertical="top" wrapText="1"/>
    </xf>
    <xf numFmtId="0" fontId="9" fillId="24" borderId="22" xfId="0" applyFont="1" applyFill="1" applyBorder="1" applyAlignment="1">
      <alignment horizontal="left" vertical="top" wrapText="1"/>
    </xf>
    <xf numFmtId="0" fontId="9" fillId="24" borderId="33" xfId="0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60" xfId="0" applyNumberFormat="1" applyFont="1" applyBorder="1" applyAlignment="1">
      <alignment horizontal="center" vertical="center" textRotation="90" wrapText="1"/>
    </xf>
    <xf numFmtId="0" fontId="10" fillId="0" borderId="17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73" xfId="0" applyFont="1" applyBorder="1" applyAlignment="1">
      <alignment horizontal="center" vertical="center" textRotation="90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spėjimo tekstas" xfId="47"/>
    <cellStyle name="Išvestis" xfId="48"/>
    <cellStyle name="Įvestis" xfId="49"/>
    <cellStyle name="Neutralus" xfId="50"/>
    <cellStyle name="Normal_biudz uz 2001 atskaitomybe3" xfId="51"/>
    <cellStyle name="Normal_sam_pried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85" customWidth="1"/>
    <col min="2" max="3" width="2.421875" style="85" customWidth="1"/>
    <col min="4" max="4" width="60.7109375" style="85" customWidth="1"/>
    <col min="5" max="5" width="2.7109375" style="512" customWidth="1"/>
    <col min="6" max="6" width="2.7109375" style="98" customWidth="1"/>
    <col min="7" max="7" width="2.7109375" style="85" customWidth="1"/>
    <col min="8" max="8" width="7.7109375" style="98" customWidth="1"/>
    <col min="9" max="22" width="7.7109375" style="85" customWidth="1"/>
    <col min="23" max="16384" width="9.140625" style="85" customWidth="1"/>
  </cols>
  <sheetData>
    <row r="1" ht="12.75">
      <c r="V1" s="379" t="s">
        <v>230</v>
      </c>
    </row>
    <row r="2" spans="1:22" ht="26.25" customHeight="1">
      <c r="A2" s="886" t="s">
        <v>231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</row>
    <row r="3" spans="1:22" ht="15" customHeight="1">
      <c r="A3" s="886" t="s">
        <v>196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</row>
    <row r="4" spans="1:22" ht="15" customHeight="1" thickBot="1">
      <c r="A4" s="1"/>
      <c r="B4" s="1"/>
      <c r="C4" s="1"/>
      <c r="D4" s="100"/>
      <c r="E4" s="513"/>
      <c r="F4" s="30"/>
      <c r="G4" s="1"/>
      <c r="H4" s="14"/>
      <c r="I4" s="92"/>
      <c r="J4" s="92"/>
      <c r="K4" s="92"/>
      <c r="L4" s="92"/>
      <c r="M4" s="1"/>
      <c r="N4" s="1"/>
      <c r="O4" s="1"/>
      <c r="P4" s="1"/>
      <c r="Q4" s="1"/>
      <c r="R4" s="1"/>
      <c r="S4" s="1"/>
      <c r="T4" s="1"/>
      <c r="U4" s="1"/>
      <c r="V4" s="325" t="s">
        <v>32</v>
      </c>
    </row>
    <row r="5" spans="1:22" s="82" customFormat="1" ht="36.75" customHeight="1">
      <c r="A5" s="887" t="s">
        <v>0</v>
      </c>
      <c r="B5" s="890" t="s">
        <v>1</v>
      </c>
      <c r="C5" s="890" t="s">
        <v>2</v>
      </c>
      <c r="D5" s="893" t="s">
        <v>47</v>
      </c>
      <c r="E5" s="936" t="s">
        <v>3</v>
      </c>
      <c r="F5" s="896" t="s">
        <v>130</v>
      </c>
      <c r="G5" s="883" t="s">
        <v>4</v>
      </c>
      <c r="H5" s="903" t="s">
        <v>5</v>
      </c>
      <c r="I5" s="909" t="s">
        <v>149</v>
      </c>
      <c r="J5" s="907"/>
      <c r="K5" s="907"/>
      <c r="L5" s="910"/>
      <c r="M5" s="909" t="s">
        <v>178</v>
      </c>
      <c r="N5" s="907"/>
      <c r="O5" s="907"/>
      <c r="P5" s="910"/>
      <c r="Q5" s="906" t="s">
        <v>156</v>
      </c>
      <c r="R5" s="907"/>
      <c r="S5" s="907"/>
      <c r="T5" s="908"/>
      <c r="U5" s="871" t="s">
        <v>165</v>
      </c>
      <c r="V5" s="871" t="s">
        <v>166</v>
      </c>
    </row>
    <row r="6" spans="1:22" s="82" customFormat="1" ht="15" customHeight="1">
      <c r="A6" s="888"/>
      <c r="B6" s="891"/>
      <c r="C6" s="891"/>
      <c r="D6" s="894"/>
      <c r="E6" s="937"/>
      <c r="F6" s="897"/>
      <c r="G6" s="884"/>
      <c r="H6" s="904"/>
      <c r="I6" s="911" t="s">
        <v>6</v>
      </c>
      <c r="J6" s="901" t="s">
        <v>7</v>
      </c>
      <c r="K6" s="902"/>
      <c r="L6" s="864" t="s">
        <v>126</v>
      </c>
      <c r="M6" s="911" t="s">
        <v>6</v>
      </c>
      <c r="N6" s="901" t="s">
        <v>7</v>
      </c>
      <c r="O6" s="902"/>
      <c r="P6" s="864" t="s">
        <v>126</v>
      </c>
      <c r="Q6" s="911" t="s">
        <v>6</v>
      </c>
      <c r="R6" s="901" t="s">
        <v>7</v>
      </c>
      <c r="S6" s="902"/>
      <c r="T6" s="864" t="s">
        <v>126</v>
      </c>
      <c r="U6" s="872"/>
      <c r="V6" s="872"/>
    </row>
    <row r="7" spans="1:22" s="82" customFormat="1" ht="88.5" customHeight="1" thickBot="1">
      <c r="A7" s="889"/>
      <c r="B7" s="892"/>
      <c r="C7" s="892"/>
      <c r="D7" s="895"/>
      <c r="E7" s="938"/>
      <c r="F7" s="898"/>
      <c r="G7" s="885"/>
      <c r="H7" s="905"/>
      <c r="I7" s="889"/>
      <c r="J7" s="90" t="s">
        <v>6</v>
      </c>
      <c r="K7" s="91" t="s">
        <v>127</v>
      </c>
      <c r="L7" s="865"/>
      <c r="M7" s="889"/>
      <c r="N7" s="90" t="s">
        <v>6</v>
      </c>
      <c r="O7" s="91" t="s">
        <v>127</v>
      </c>
      <c r="P7" s="865"/>
      <c r="Q7" s="889"/>
      <c r="R7" s="90" t="s">
        <v>6</v>
      </c>
      <c r="S7" s="91" t="s">
        <v>127</v>
      </c>
      <c r="T7" s="865"/>
      <c r="U7" s="873"/>
      <c r="V7" s="873"/>
    </row>
    <row r="8" spans="1:22" ht="15.75" customHeight="1">
      <c r="A8" s="880" t="s">
        <v>115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2"/>
    </row>
    <row r="9" spans="1:22" ht="15.75" customHeight="1">
      <c r="A9" s="923" t="s">
        <v>31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5"/>
    </row>
    <row r="10" spans="1:22" ht="15.75" customHeight="1">
      <c r="A10" s="2" t="s">
        <v>8</v>
      </c>
      <c r="B10" s="933" t="s">
        <v>37</v>
      </c>
      <c r="C10" s="934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4"/>
      <c r="V10" s="935"/>
    </row>
    <row r="11" spans="1:22" ht="15.75" customHeight="1" thickBot="1">
      <c r="A11" s="103" t="s">
        <v>8</v>
      </c>
      <c r="B11" s="106" t="s">
        <v>8</v>
      </c>
      <c r="C11" s="926" t="s">
        <v>48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8"/>
    </row>
    <row r="12" spans="1:22" ht="15" customHeight="1">
      <c r="A12" s="832" t="s">
        <v>8</v>
      </c>
      <c r="B12" s="800" t="s">
        <v>8</v>
      </c>
      <c r="C12" s="797" t="s">
        <v>8</v>
      </c>
      <c r="D12" s="232" t="s">
        <v>160</v>
      </c>
      <c r="E12" s="866" t="s">
        <v>22</v>
      </c>
      <c r="F12" s="768" t="s">
        <v>12</v>
      </c>
      <c r="G12" s="868" t="s">
        <v>145</v>
      </c>
      <c r="H12" s="247" t="s">
        <v>11</v>
      </c>
      <c r="I12" s="128">
        <f aca="true" t="shared" si="0" ref="I12:I18">J12+L12</f>
        <v>0</v>
      </c>
      <c r="J12" s="129"/>
      <c r="K12" s="129"/>
      <c r="L12" s="130"/>
      <c r="M12" s="128">
        <f aca="true" t="shared" si="1" ref="M12:M18">N12+P12</f>
        <v>0</v>
      </c>
      <c r="N12" s="241"/>
      <c r="O12" s="241"/>
      <c r="P12" s="242"/>
      <c r="Q12" s="443">
        <f aca="true" t="shared" si="2" ref="Q12:Q18">R12+T12</f>
        <v>0</v>
      </c>
      <c r="R12" s="435"/>
      <c r="S12" s="435"/>
      <c r="T12" s="436"/>
      <c r="U12" s="243"/>
      <c r="V12" s="243"/>
    </row>
    <row r="13" spans="1:22" ht="15" customHeight="1">
      <c r="A13" s="833"/>
      <c r="B13" s="801"/>
      <c r="C13" s="798"/>
      <c r="D13" s="233" t="s">
        <v>206</v>
      </c>
      <c r="E13" s="867"/>
      <c r="F13" s="763"/>
      <c r="G13" s="869"/>
      <c r="H13" s="248" t="s">
        <v>186</v>
      </c>
      <c r="I13" s="239">
        <f t="shared" si="0"/>
        <v>0</v>
      </c>
      <c r="J13" s="238"/>
      <c r="K13" s="238"/>
      <c r="L13" s="240"/>
      <c r="M13" s="239">
        <f t="shared" si="1"/>
        <v>513.5</v>
      </c>
      <c r="N13" s="238"/>
      <c r="O13" s="238"/>
      <c r="P13" s="240">
        <v>513.5</v>
      </c>
      <c r="Q13" s="446">
        <f t="shared" si="2"/>
        <v>513.5</v>
      </c>
      <c r="R13" s="492"/>
      <c r="S13" s="492"/>
      <c r="T13" s="493">
        <v>513.5</v>
      </c>
      <c r="U13" s="244">
        <v>513.5</v>
      </c>
      <c r="V13" s="244"/>
    </row>
    <row r="14" spans="1:22" ht="15" customHeight="1">
      <c r="A14" s="833"/>
      <c r="B14" s="801"/>
      <c r="C14" s="798"/>
      <c r="D14" s="234" t="s">
        <v>207</v>
      </c>
      <c r="E14" s="867"/>
      <c r="F14" s="763"/>
      <c r="G14" s="869"/>
      <c r="H14" s="248" t="s">
        <v>18</v>
      </c>
      <c r="I14" s="239">
        <f t="shared" si="0"/>
        <v>1381.1</v>
      </c>
      <c r="J14" s="238"/>
      <c r="K14" s="238"/>
      <c r="L14" s="240">
        <v>1381.1</v>
      </c>
      <c r="M14" s="239">
        <f t="shared" si="1"/>
        <v>1385.4</v>
      </c>
      <c r="N14" s="238"/>
      <c r="O14" s="238"/>
      <c r="P14" s="240">
        <v>1385.4</v>
      </c>
      <c r="Q14" s="446">
        <f t="shared" si="2"/>
        <v>1385.4</v>
      </c>
      <c r="R14" s="438"/>
      <c r="S14" s="438"/>
      <c r="T14" s="439">
        <v>1385.4</v>
      </c>
      <c r="U14" s="244">
        <f>1385.4+643</f>
        <v>2028.4</v>
      </c>
      <c r="V14" s="244">
        <v>643</v>
      </c>
    </row>
    <row r="15" spans="1:22" ht="15" customHeight="1">
      <c r="A15" s="833"/>
      <c r="B15" s="801"/>
      <c r="C15" s="798"/>
      <c r="D15" s="234" t="s">
        <v>208</v>
      </c>
      <c r="E15" s="824" t="s">
        <v>139</v>
      </c>
      <c r="F15" s="763"/>
      <c r="G15" s="869"/>
      <c r="H15" s="248" t="s">
        <v>53</v>
      </c>
      <c r="I15" s="239">
        <f t="shared" si="0"/>
        <v>400</v>
      </c>
      <c r="J15" s="238"/>
      <c r="K15" s="238"/>
      <c r="L15" s="240">
        <v>400</v>
      </c>
      <c r="M15" s="239">
        <f t="shared" si="1"/>
        <v>0</v>
      </c>
      <c r="N15" s="238"/>
      <c r="O15" s="238"/>
      <c r="P15" s="240"/>
      <c r="Q15" s="446">
        <f t="shared" si="2"/>
        <v>0</v>
      </c>
      <c r="R15" s="438"/>
      <c r="S15" s="438"/>
      <c r="T15" s="439"/>
      <c r="U15" s="244">
        <f>1139.4</f>
        <v>1139.4</v>
      </c>
      <c r="V15" s="244"/>
    </row>
    <row r="16" spans="1:22" ht="15" customHeight="1">
      <c r="A16" s="833"/>
      <c r="B16" s="801"/>
      <c r="C16" s="798"/>
      <c r="D16" s="809" t="s">
        <v>205</v>
      </c>
      <c r="E16" s="824"/>
      <c r="F16" s="763"/>
      <c r="G16" s="869"/>
      <c r="H16" s="249" t="s">
        <v>110</v>
      </c>
      <c r="I16" s="239">
        <f t="shared" si="0"/>
        <v>0</v>
      </c>
      <c r="J16" s="236"/>
      <c r="K16" s="236"/>
      <c r="L16" s="237"/>
      <c r="M16" s="239">
        <f t="shared" si="1"/>
        <v>171.1</v>
      </c>
      <c r="N16" s="236"/>
      <c r="O16" s="236"/>
      <c r="P16" s="237">
        <v>171.1</v>
      </c>
      <c r="Q16" s="446">
        <f t="shared" si="2"/>
        <v>171.1</v>
      </c>
      <c r="R16" s="438"/>
      <c r="S16" s="438"/>
      <c r="T16" s="487">
        <v>171.1</v>
      </c>
      <c r="U16" s="244">
        <f>171.1+79.4</f>
        <v>250.5</v>
      </c>
      <c r="V16" s="245">
        <v>79.4</v>
      </c>
    </row>
    <row r="17" spans="1:22" ht="15" customHeight="1">
      <c r="A17" s="833"/>
      <c r="B17" s="801"/>
      <c r="C17" s="798"/>
      <c r="D17" s="809"/>
      <c r="E17" s="824"/>
      <c r="F17" s="763"/>
      <c r="G17" s="869"/>
      <c r="H17" s="249" t="s">
        <v>25</v>
      </c>
      <c r="I17" s="239">
        <f t="shared" si="0"/>
        <v>0</v>
      </c>
      <c r="J17" s="236"/>
      <c r="K17" s="236"/>
      <c r="L17" s="237"/>
      <c r="M17" s="239">
        <f t="shared" si="1"/>
        <v>0</v>
      </c>
      <c r="N17" s="236"/>
      <c r="O17" s="236"/>
      <c r="P17" s="237"/>
      <c r="Q17" s="446">
        <f t="shared" si="2"/>
        <v>0</v>
      </c>
      <c r="R17" s="438"/>
      <c r="S17" s="438"/>
      <c r="T17" s="487"/>
      <c r="U17" s="244">
        <v>659.1</v>
      </c>
      <c r="V17" s="245">
        <v>659.1</v>
      </c>
    </row>
    <row r="18" spans="1:22" ht="15" customHeight="1">
      <c r="A18" s="833"/>
      <c r="B18" s="801"/>
      <c r="C18" s="798"/>
      <c r="D18" s="287"/>
      <c r="E18" s="824"/>
      <c r="F18" s="763"/>
      <c r="G18" s="869"/>
      <c r="H18" s="249" t="s">
        <v>30</v>
      </c>
      <c r="I18" s="239">
        <f t="shared" si="0"/>
        <v>200</v>
      </c>
      <c r="J18" s="236"/>
      <c r="K18" s="236"/>
      <c r="L18" s="237">
        <v>200</v>
      </c>
      <c r="M18" s="239">
        <f t="shared" si="1"/>
        <v>200</v>
      </c>
      <c r="N18" s="236"/>
      <c r="O18" s="236"/>
      <c r="P18" s="237">
        <v>200</v>
      </c>
      <c r="Q18" s="474">
        <f t="shared" si="2"/>
        <v>200</v>
      </c>
      <c r="R18" s="441"/>
      <c r="S18" s="441"/>
      <c r="T18" s="478">
        <v>200</v>
      </c>
      <c r="U18" s="250"/>
      <c r="V18" s="245"/>
    </row>
    <row r="19" spans="1:22" ht="15" customHeight="1" thickBot="1">
      <c r="A19" s="834"/>
      <c r="B19" s="802"/>
      <c r="C19" s="799"/>
      <c r="D19" s="276"/>
      <c r="E19" s="807"/>
      <c r="F19" s="764"/>
      <c r="G19" s="900"/>
      <c r="H19" s="494" t="s">
        <v>20</v>
      </c>
      <c r="I19" s="406">
        <f aca="true" t="shared" si="3" ref="I19:V19">SUM(I12:I18)</f>
        <v>1981.1</v>
      </c>
      <c r="J19" s="469">
        <f t="shared" si="3"/>
        <v>0</v>
      </c>
      <c r="K19" s="469">
        <f t="shared" si="3"/>
        <v>0</v>
      </c>
      <c r="L19" s="391">
        <f t="shared" si="3"/>
        <v>1981.1</v>
      </c>
      <c r="M19" s="406">
        <f t="shared" si="3"/>
        <v>2270</v>
      </c>
      <c r="N19" s="469">
        <f t="shared" si="3"/>
        <v>0</v>
      </c>
      <c r="O19" s="469">
        <f t="shared" si="3"/>
        <v>0</v>
      </c>
      <c r="P19" s="391">
        <f t="shared" si="3"/>
        <v>2270</v>
      </c>
      <c r="Q19" s="406">
        <f t="shared" si="3"/>
        <v>2270</v>
      </c>
      <c r="R19" s="469">
        <f t="shared" si="3"/>
        <v>0</v>
      </c>
      <c r="S19" s="469">
        <f t="shared" si="3"/>
        <v>0</v>
      </c>
      <c r="T19" s="391">
        <f t="shared" si="3"/>
        <v>2270</v>
      </c>
      <c r="U19" s="393">
        <f t="shared" si="3"/>
        <v>4590.900000000001</v>
      </c>
      <c r="V19" s="393">
        <f t="shared" si="3"/>
        <v>1381.5</v>
      </c>
    </row>
    <row r="20" spans="1:22" ht="15.75" customHeight="1">
      <c r="A20" s="832" t="s">
        <v>8</v>
      </c>
      <c r="B20" s="800" t="s">
        <v>8</v>
      </c>
      <c r="C20" s="915" t="s">
        <v>9</v>
      </c>
      <c r="D20" s="235" t="s">
        <v>161</v>
      </c>
      <c r="E20" s="913" t="s">
        <v>22</v>
      </c>
      <c r="F20" s="768" t="s">
        <v>12</v>
      </c>
      <c r="G20" s="868" t="s">
        <v>145</v>
      </c>
      <c r="H20" s="247" t="s">
        <v>11</v>
      </c>
      <c r="I20" s="128">
        <f aca="true" t="shared" si="4" ref="I20:I26">J20+L20</f>
        <v>0</v>
      </c>
      <c r="J20" s="129"/>
      <c r="K20" s="129"/>
      <c r="L20" s="130"/>
      <c r="M20" s="128">
        <f aca="true" t="shared" si="5" ref="M20:M26">N20+P20</f>
        <v>0</v>
      </c>
      <c r="N20" s="241"/>
      <c r="O20" s="241"/>
      <c r="P20" s="242"/>
      <c r="Q20" s="443">
        <f aca="true" t="shared" si="6" ref="Q20:Q26">R20+T20</f>
        <v>0</v>
      </c>
      <c r="R20" s="435"/>
      <c r="S20" s="435"/>
      <c r="T20" s="436"/>
      <c r="U20" s="243"/>
      <c r="V20" s="243"/>
    </row>
    <row r="21" spans="1:22" ht="15.75" customHeight="1">
      <c r="A21" s="833"/>
      <c r="B21" s="801"/>
      <c r="C21" s="916"/>
      <c r="D21" s="809" t="s">
        <v>211</v>
      </c>
      <c r="E21" s="914"/>
      <c r="F21" s="763"/>
      <c r="G21" s="869"/>
      <c r="H21" s="248" t="s">
        <v>186</v>
      </c>
      <c r="I21" s="239">
        <f t="shared" si="4"/>
        <v>0</v>
      </c>
      <c r="J21" s="238"/>
      <c r="K21" s="238"/>
      <c r="L21" s="240"/>
      <c r="M21" s="239">
        <f t="shared" si="5"/>
        <v>0</v>
      </c>
      <c r="N21" s="238"/>
      <c r="O21" s="238"/>
      <c r="P21" s="240"/>
      <c r="Q21" s="446">
        <f t="shared" si="6"/>
        <v>0</v>
      </c>
      <c r="R21" s="492"/>
      <c r="S21" s="492"/>
      <c r="T21" s="493"/>
      <c r="U21" s="244"/>
      <c r="V21" s="244">
        <v>2500</v>
      </c>
    </row>
    <row r="22" spans="1:22" ht="15.75" customHeight="1">
      <c r="A22" s="833"/>
      <c r="B22" s="801"/>
      <c r="C22" s="916"/>
      <c r="D22" s="809"/>
      <c r="E22" s="914"/>
      <c r="F22" s="763"/>
      <c r="G22" s="869"/>
      <c r="H22" s="248" t="s">
        <v>18</v>
      </c>
      <c r="I22" s="239">
        <f t="shared" si="4"/>
        <v>0</v>
      </c>
      <c r="J22" s="238"/>
      <c r="K22" s="238"/>
      <c r="L22" s="240"/>
      <c r="M22" s="239">
        <f t="shared" si="5"/>
        <v>0</v>
      </c>
      <c r="N22" s="238"/>
      <c r="O22" s="238"/>
      <c r="P22" s="240"/>
      <c r="Q22" s="446">
        <f t="shared" si="6"/>
        <v>0</v>
      </c>
      <c r="R22" s="438"/>
      <c r="S22" s="438"/>
      <c r="T22" s="439"/>
      <c r="U22" s="244"/>
      <c r="V22" s="244"/>
    </row>
    <row r="23" spans="1:22" ht="15.75" customHeight="1">
      <c r="A23" s="833"/>
      <c r="B23" s="801"/>
      <c r="C23" s="916"/>
      <c r="D23" s="231" t="s">
        <v>209</v>
      </c>
      <c r="E23" s="824" t="s">
        <v>163</v>
      </c>
      <c r="F23" s="763"/>
      <c r="G23" s="869"/>
      <c r="H23" s="248" t="s">
        <v>53</v>
      </c>
      <c r="I23" s="239">
        <f t="shared" si="4"/>
        <v>1750</v>
      </c>
      <c r="J23" s="238"/>
      <c r="K23" s="238"/>
      <c r="L23" s="240">
        <f>1700+50</f>
        <v>1750</v>
      </c>
      <c r="M23" s="239">
        <f t="shared" si="5"/>
        <v>470</v>
      </c>
      <c r="N23" s="238"/>
      <c r="O23" s="238"/>
      <c r="P23" s="240">
        <f>100+20+350</f>
        <v>470</v>
      </c>
      <c r="Q23" s="446">
        <f t="shared" si="6"/>
        <v>470</v>
      </c>
      <c r="R23" s="438"/>
      <c r="S23" s="438"/>
      <c r="T23" s="439">
        <f>100+350+20</f>
        <v>470</v>
      </c>
      <c r="U23" s="244">
        <f>3376.8+50+562</f>
        <v>3988.8</v>
      </c>
      <c r="V23" s="244">
        <v>3151</v>
      </c>
    </row>
    <row r="24" spans="1:22" ht="15.75" customHeight="1">
      <c r="A24" s="833"/>
      <c r="B24" s="801"/>
      <c r="C24" s="916"/>
      <c r="D24" s="231" t="s">
        <v>210</v>
      </c>
      <c r="E24" s="824"/>
      <c r="F24" s="763"/>
      <c r="G24" s="869"/>
      <c r="H24" s="249" t="s">
        <v>110</v>
      </c>
      <c r="I24" s="239">
        <f t="shared" si="4"/>
        <v>0</v>
      </c>
      <c r="J24" s="238"/>
      <c r="K24" s="238"/>
      <c r="L24" s="240"/>
      <c r="M24" s="239">
        <f t="shared" si="5"/>
        <v>0</v>
      </c>
      <c r="N24" s="238"/>
      <c r="O24" s="238"/>
      <c r="P24" s="240"/>
      <c r="Q24" s="446">
        <f t="shared" si="6"/>
        <v>0</v>
      </c>
      <c r="R24" s="438"/>
      <c r="S24" s="438"/>
      <c r="T24" s="439"/>
      <c r="U24" s="244"/>
      <c r="V24" s="244"/>
    </row>
    <row r="25" spans="1:22" ht="29.25" customHeight="1">
      <c r="A25" s="833"/>
      <c r="B25" s="801"/>
      <c r="C25" s="916"/>
      <c r="D25" s="231" t="s">
        <v>229</v>
      </c>
      <c r="E25" s="824"/>
      <c r="F25" s="763"/>
      <c r="G25" s="869"/>
      <c r="H25" s="249" t="s">
        <v>25</v>
      </c>
      <c r="I25" s="239">
        <f t="shared" si="4"/>
        <v>0</v>
      </c>
      <c r="J25" s="236"/>
      <c r="K25" s="236"/>
      <c r="L25" s="237"/>
      <c r="M25" s="239">
        <f t="shared" si="5"/>
        <v>0</v>
      </c>
      <c r="N25" s="236"/>
      <c r="O25" s="236"/>
      <c r="P25" s="237"/>
      <c r="Q25" s="446">
        <f t="shared" si="6"/>
        <v>0</v>
      </c>
      <c r="R25" s="438"/>
      <c r="S25" s="438"/>
      <c r="T25" s="439"/>
      <c r="U25" s="245"/>
      <c r="V25" s="245"/>
    </row>
    <row r="26" spans="1:22" ht="15.75" customHeight="1">
      <c r="A26" s="833"/>
      <c r="B26" s="801"/>
      <c r="C26" s="916"/>
      <c r="D26" s="231" t="s">
        <v>185</v>
      </c>
      <c r="E26" s="824"/>
      <c r="F26" s="763"/>
      <c r="G26" s="869"/>
      <c r="H26" s="248" t="s">
        <v>30</v>
      </c>
      <c r="I26" s="239">
        <f t="shared" si="4"/>
        <v>0</v>
      </c>
      <c r="J26" s="238"/>
      <c r="K26" s="238"/>
      <c r="L26" s="240"/>
      <c r="M26" s="239">
        <f t="shared" si="5"/>
        <v>0</v>
      </c>
      <c r="N26" s="238"/>
      <c r="O26" s="238"/>
      <c r="P26" s="240"/>
      <c r="Q26" s="446">
        <f t="shared" si="6"/>
        <v>0</v>
      </c>
      <c r="R26" s="475"/>
      <c r="S26" s="475"/>
      <c r="T26" s="490"/>
      <c r="U26" s="244">
        <v>870</v>
      </c>
      <c r="V26" s="244">
        <v>910</v>
      </c>
    </row>
    <row r="27" spans="1:22" ht="16.5" customHeight="1" thickBot="1">
      <c r="A27" s="834"/>
      <c r="B27" s="802"/>
      <c r="C27" s="917"/>
      <c r="D27" s="378" t="s">
        <v>197</v>
      </c>
      <c r="E27" s="514"/>
      <c r="F27" s="764"/>
      <c r="G27" s="900"/>
      <c r="H27" s="501" t="s">
        <v>20</v>
      </c>
      <c r="I27" s="388">
        <f aca="true" t="shared" si="7" ref="I27:V27">SUM(I20:I26)</f>
        <v>1750</v>
      </c>
      <c r="J27" s="390">
        <f t="shared" si="7"/>
        <v>0</v>
      </c>
      <c r="K27" s="390">
        <f t="shared" si="7"/>
        <v>0</v>
      </c>
      <c r="L27" s="500">
        <f t="shared" si="7"/>
        <v>1750</v>
      </c>
      <c r="M27" s="388">
        <f t="shared" si="7"/>
        <v>470</v>
      </c>
      <c r="N27" s="390">
        <f t="shared" si="7"/>
        <v>0</v>
      </c>
      <c r="O27" s="390">
        <f t="shared" si="7"/>
        <v>0</v>
      </c>
      <c r="P27" s="500">
        <f t="shared" si="7"/>
        <v>470</v>
      </c>
      <c r="Q27" s="388">
        <f t="shared" si="7"/>
        <v>470</v>
      </c>
      <c r="R27" s="390">
        <f t="shared" si="7"/>
        <v>0</v>
      </c>
      <c r="S27" s="390">
        <f t="shared" si="7"/>
        <v>0</v>
      </c>
      <c r="T27" s="500">
        <f t="shared" si="7"/>
        <v>470</v>
      </c>
      <c r="U27" s="495">
        <f t="shared" si="7"/>
        <v>4858.8</v>
      </c>
      <c r="V27" s="495">
        <f t="shared" si="7"/>
        <v>6561</v>
      </c>
    </row>
    <row r="28" spans="1:22" ht="15" customHeight="1">
      <c r="A28" s="832" t="s">
        <v>8</v>
      </c>
      <c r="B28" s="800" t="s">
        <v>8</v>
      </c>
      <c r="C28" s="797" t="s">
        <v>10</v>
      </c>
      <c r="D28" s="246" t="s">
        <v>212</v>
      </c>
      <c r="E28" s="766" t="s">
        <v>22</v>
      </c>
      <c r="F28" s="768" t="s">
        <v>12</v>
      </c>
      <c r="G28" s="868" t="s">
        <v>145</v>
      </c>
      <c r="H28" s="284" t="s">
        <v>11</v>
      </c>
      <c r="I28" s="128">
        <f aca="true" t="shared" si="8" ref="I28:I50">J28+L28</f>
        <v>0</v>
      </c>
      <c r="J28" s="129"/>
      <c r="K28" s="129"/>
      <c r="L28" s="130"/>
      <c r="M28" s="163">
        <f aca="true" t="shared" si="9" ref="M28:M34">N28+P28</f>
        <v>0</v>
      </c>
      <c r="N28" s="241"/>
      <c r="O28" s="241"/>
      <c r="P28" s="242"/>
      <c r="Q28" s="443">
        <f aca="true" t="shared" si="10" ref="Q28:Q34">R28+T28</f>
        <v>0</v>
      </c>
      <c r="R28" s="435"/>
      <c r="S28" s="435"/>
      <c r="T28" s="436"/>
      <c r="U28" s="243"/>
      <c r="V28" s="243"/>
    </row>
    <row r="29" spans="1:22" ht="14.25" customHeight="1">
      <c r="A29" s="833"/>
      <c r="B29" s="801"/>
      <c r="C29" s="798"/>
      <c r="D29" s="695" t="s">
        <v>213</v>
      </c>
      <c r="E29" s="767"/>
      <c r="F29" s="763"/>
      <c r="G29" s="869"/>
      <c r="H29" s="248" t="s">
        <v>186</v>
      </c>
      <c r="I29" s="239">
        <f t="shared" si="8"/>
        <v>0</v>
      </c>
      <c r="J29" s="238"/>
      <c r="K29" s="238"/>
      <c r="L29" s="240"/>
      <c r="M29" s="282">
        <f t="shared" si="9"/>
        <v>100</v>
      </c>
      <c r="N29" s="238"/>
      <c r="O29" s="238"/>
      <c r="P29" s="240">
        <v>100</v>
      </c>
      <c r="Q29" s="446">
        <f t="shared" si="10"/>
        <v>0</v>
      </c>
      <c r="R29" s="492"/>
      <c r="S29" s="492"/>
      <c r="T29" s="493"/>
      <c r="U29" s="244">
        <v>300</v>
      </c>
      <c r="V29" s="244"/>
    </row>
    <row r="30" spans="1:22" ht="27" customHeight="1">
      <c r="A30" s="833"/>
      <c r="B30" s="801"/>
      <c r="C30" s="798"/>
      <c r="D30" s="686" t="s">
        <v>214</v>
      </c>
      <c r="E30" s="767"/>
      <c r="F30" s="763"/>
      <c r="G30" s="869"/>
      <c r="H30" s="285" t="s">
        <v>18</v>
      </c>
      <c r="I30" s="239">
        <f t="shared" si="8"/>
        <v>0</v>
      </c>
      <c r="J30" s="238"/>
      <c r="K30" s="238"/>
      <c r="L30" s="240"/>
      <c r="M30" s="282">
        <f t="shared" si="9"/>
        <v>0</v>
      </c>
      <c r="N30" s="238"/>
      <c r="O30" s="238"/>
      <c r="P30" s="240"/>
      <c r="Q30" s="446">
        <f t="shared" si="10"/>
        <v>0</v>
      </c>
      <c r="R30" s="438"/>
      <c r="S30" s="438"/>
      <c r="T30" s="439"/>
      <c r="U30" s="244"/>
      <c r="V30" s="244"/>
    </row>
    <row r="31" spans="1:22" ht="15" customHeight="1">
      <c r="A31" s="833"/>
      <c r="B31" s="801"/>
      <c r="C31" s="798"/>
      <c r="D31" s="234" t="s">
        <v>215</v>
      </c>
      <c r="E31" s="767"/>
      <c r="F31" s="763"/>
      <c r="G31" s="869"/>
      <c r="H31" s="285" t="s">
        <v>53</v>
      </c>
      <c r="I31" s="239">
        <f t="shared" si="8"/>
        <v>10030</v>
      </c>
      <c r="J31" s="238"/>
      <c r="K31" s="238"/>
      <c r="L31" s="240">
        <f>10000+30</f>
        <v>10030</v>
      </c>
      <c r="M31" s="282">
        <f t="shared" si="9"/>
        <v>3963</v>
      </c>
      <c r="N31" s="238"/>
      <c r="O31" s="238"/>
      <c r="P31" s="240">
        <v>3963</v>
      </c>
      <c r="Q31" s="689">
        <f t="shared" si="10"/>
        <v>2700</v>
      </c>
      <c r="R31" s="475"/>
      <c r="S31" s="475"/>
      <c r="T31" s="687">
        <f>3963-1263</f>
        <v>2700</v>
      </c>
      <c r="U31" s="244">
        <f>4000+100+100</f>
        <v>4200</v>
      </c>
      <c r="V31" s="244">
        <f>1995+200+482+361</f>
        <v>3038</v>
      </c>
    </row>
    <row r="32" spans="1:22" ht="27" customHeight="1">
      <c r="A32" s="833"/>
      <c r="B32" s="801"/>
      <c r="C32" s="798"/>
      <c r="D32" s="234" t="s">
        <v>216</v>
      </c>
      <c r="E32" s="767"/>
      <c r="F32" s="763"/>
      <c r="G32" s="869"/>
      <c r="H32" s="286" t="s">
        <v>110</v>
      </c>
      <c r="I32" s="239">
        <f t="shared" si="8"/>
        <v>0</v>
      </c>
      <c r="J32" s="236"/>
      <c r="K32" s="236"/>
      <c r="L32" s="237"/>
      <c r="M32" s="282">
        <f t="shared" si="9"/>
        <v>0</v>
      </c>
      <c r="N32" s="236"/>
      <c r="O32" s="236"/>
      <c r="P32" s="237"/>
      <c r="Q32" s="446">
        <f t="shared" si="10"/>
        <v>0</v>
      </c>
      <c r="R32" s="475"/>
      <c r="S32" s="475"/>
      <c r="T32" s="476"/>
      <c r="U32" s="245"/>
      <c r="V32" s="245"/>
    </row>
    <row r="33" spans="1:22" ht="27.75" customHeight="1">
      <c r="A33" s="833"/>
      <c r="B33" s="801"/>
      <c r="C33" s="798"/>
      <c r="D33" s="234" t="s">
        <v>217</v>
      </c>
      <c r="E33" s="767"/>
      <c r="F33" s="763"/>
      <c r="G33" s="869"/>
      <c r="H33" s="286" t="s">
        <v>25</v>
      </c>
      <c r="I33" s="239">
        <f t="shared" si="8"/>
        <v>0</v>
      </c>
      <c r="J33" s="236"/>
      <c r="K33" s="236"/>
      <c r="L33" s="237"/>
      <c r="M33" s="282">
        <f t="shared" si="9"/>
        <v>7000</v>
      </c>
      <c r="N33" s="236"/>
      <c r="O33" s="236"/>
      <c r="P33" s="237">
        <v>7000</v>
      </c>
      <c r="Q33" s="446">
        <f t="shared" si="10"/>
        <v>7000</v>
      </c>
      <c r="R33" s="475"/>
      <c r="S33" s="475"/>
      <c r="T33" s="476">
        <v>7000</v>
      </c>
      <c r="U33" s="245"/>
      <c r="V33" s="245"/>
    </row>
    <row r="34" spans="1:22" ht="15" customHeight="1">
      <c r="A34" s="833"/>
      <c r="B34" s="801"/>
      <c r="C34" s="798"/>
      <c r="D34" s="918" t="s">
        <v>150</v>
      </c>
      <c r="E34" s="767"/>
      <c r="F34" s="763"/>
      <c r="G34" s="869"/>
      <c r="H34" s="286" t="s">
        <v>30</v>
      </c>
      <c r="I34" s="281">
        <f t="shared" si="8"/>
        <v>0</v>
      </c>
      <c r="J34" s="236"/>
      <c r="K34" s="236"/>
      <c r="L34" s="237"/>
      <c r="M34" s="282">
        <f t="shared" si="9"/>
        <v>0</v>
      </c>
      <c r="N34" s="238"/>
      <c r="O34" s="238"/>
      <c r="P34" s="240"/>
      <c r="Q34" s="446">
        <f t="shared" si="10"/>
        <v>0</v>
      </c>
      <c r="R34" s="475"/>
      <c r="S34" s="475"/>
      <c r="T34" s="476"/>
      <c r="U34" s="244">
        <v>2837.3</v>
      </c>
      <c r="V34" s="244">
        <f>110+6000</f>
        <v>6110</v>
      </c>
    </row>
    <row r="35" spans="1:22" ht="15" customHeight="1" thickBot="1">
      <c r="A35" s="834"/>
      <c r="B35" s="802"/>
      <c r="C35" s="799"/>
      <c r="D35" s="919"/>
      <c r="E35" s="921"/>
      <c r="F35" s="922"/>
      <c r="G35" s="870"/>
      <c r="H35" s="499" t="s">
        <v>20</v>
      </c>
      <c r="I35" s="388">
        <f aca="true" t="shared" si="11" ref="I35:V35">SUM(I28:I34)</f>
        <v>10030</v>
      </c>
      <c r="J35" s="390">
        <f t="shared" si="11"/>
        <v>0</v>
      </c>
      <c r="K35" s="390">
        <f t="shared" si="11"/>
        <v>0</v>
      </c>
      <c r="L35" s="391">
        <f t="shared" si="11"/>
        <v>10030</v>
      </c>
      <c r="M35" s="500">
        <f t="shared" si="11"/>
        <v>11063</v>
      </c>
      <c r="N35" s="496">
        <f t="shared" si="11"/>
        <v>0</v>
      </c>
      <c r="O35" s="496">
        <f t="shared" si="11"/>
        <v>0</v>
      </c>
      <c r="P35" s="497">
        <f t="shared" si="11"/>
        <v>11063</v>
      </c>
      <c r="Q35" s="495">
        <f t="shared" si="11"/>
        <v>9700</v>
      </c>
      <c r="R35" s="496">
        <f t="shared" si="11"/>
        <v>0</v>
      </c>
      <c r="S35" s="496">
        <f t="shared" si="11"/>
        <v>0</v>
      </c>
      <c r="T35" s="497">
        <f t="shared" si="11"/>
        <v>9700</v>
      </c>
      <c r="U35" s="498">
        <f t="shared" si="11"/>
        <v>7337.3</v>
      </c>
      <c r="V35" s="498">
        <f t="shared" si="11"/>
        <v>9148</v>
      </c>
    </row>
    <row r="36" spans="1:22" ht="15.75" customHeight="1">
      <c r="A36" s="832" t="s">
        <v>8</v>
      </c>
      <c r="B36" s="800" t="s">
        <v>8</v>
      </c>
      <c r="C36" s="797" t="s">
        <v>12</v>
      </c>
      <c r="D36" s="232" t="s">
        <v>162</v>
      </c>
      <c r="E36" s="920" t="s">
        <v>22</v>
      </c>
      <c r="F36" s="912" t="s">
        <v>12</v>
      </c>
      <c r="G36" s="899" t="s">
        <v>145</v>
      </c>
      <c r="H36" s="283" t="s">
        <v>11</v>
      </c>
      <c r="I36" s="152">
        <f t="shared" si="8"/>
        <v>0</v>
      </c>
      <c r="J36" s="143"/>
      <c r="K36" s="143"/>
      <c r="L36" s="144"/>
      <c r="M36" s="128">
        <f aca="true" t="shared" si="12" ref="M36:M42">N36+P36</f>
        <v>0</v>
      </c>
      <c r="N36" s="241"/>
      <c r="O36" s="241"/>
      <c r="P36" s="242"/>
      <c r="Q36" s="443">
        <f aca="true" t="shared" si="13" ref="Q36:Q42">R36+T36</f>
        <v>0</v>
      </c>
      <c r="R36" s="435"/>
      <c r="S36" s="435"/>
      <c r="T36" s="436"/>
      <c r="U36" s="243"/>
      <c r="V36" s="243"/>
    </row>
    <row r="37" spans="1:22" ht="15.75" customHeight="1">
      <c r="A37" s="833"/>
      <c r="B37" s="801"/>
      <c r="C37" s="798"/>
      <c r="D37" s="233" t="s">
        <v>104</v>
      </c>
      <c r="E37" s="767"/>
      <c r="F37" s="763"/>
      <c r="G37" s="869"/>
      <c r="H37" s="248" t="s">
        <v>186</v>
      </c>
      <c r="I37" s="239">
        <f t="shared" si="8"/>
        <v>0</v>
      </c>
      <c r="J37" s="238"/>
      <c r="K37" s="238"/>
      <c r="L37" s="240"/>
      <c r="M37" s="239">
        <f t="shared" si="12"/>
        <v>0</v>
      </c>
      <c r="N37" s="238"/>
      <c r="O37" s="238"/>
      <c r="P37" s="240"/>
      <c r="Q37" s="446">
        <f t="shared" si="13"/>
        <v>0</v>
      </c>
      <c r="R37" s="492"/>
      <c r="S37" s="492"/>
      <c r="T37" s="493"/>
      <c r="U37" s="244"/>
      <c r="V37" s="244"/>
    </row>
    <row r="38" spans="1:22" ht="15.75" customHeight="1">
      <c r="A38" s="833"/>
      <c r="B38" s="801"/>
      <c r="C38" s="798"/>
      <c r="D38" s="234" t="s">
        <v>218</v>
      </c>
      <c r="E38" s="767"/>
      <c r="F38" s="763"/>
      <c r="G38" s="869"/>
      <c r="H38" s="248" t="s">
        <v>18</v>
      </c>
      <c r="I38" s="239">
        <f t="shared" si="8"/>
        <v>0</v>
      </c>
      <c r="J38" s="238"/>
      <c r="K38" s="238"/>
      <c r="L38" s="240"/>
      <c r="M38" s="239">
        <f t="shared" si="12"/>
        <v>0</v>
      </c>
      <c r="N38" s="238"/>
      <c r="O38" s="238"/>
      <c r="P38" s="240"/>
      <c r="Q38" s="446">
        <f t="shared" si="13"/>
        <v>0</v>
      </c>
      <c r="R38" s="438"/>
      <c r="S38" s="438"/>
      <c r="T38" s="439"/>
      <c r="U38" s="244"/>
      <c r="V38" s="244"/>
    </row>
    <row r="39" spans="1:22" ht="15.75" customHeight="1">
      <c r="A39" s="833"/>
      <c r="B39" s="801"/>
      <c r="C39" s="798"/>
      <c r="D39" s="234"/>
      <c r="E39" s="767"/>
      <c r="F39" s="763"/>
      <c r="G39" s="869"/>
      <c r="H39" s="248" t="s">
        <v>53</v>
      </c>
      <c r="I39" s="239">
        <f t="shared" si="8"/>
        <v>50</v>
      </c>
      <c r="J39" s="238"/>
      <c r="K39" s="238"/>
      <c r="L39" s="240">
        <v>50</v>
      </c>
      <c r="M39" s="239">
        <f t="shared" si="12"/>
        <v>0</v>
      </c>
      <c r="N39" s="238"/>
      <c r="O39" s="238"/>
      <c r="P39" s="240"/>
      <c r="Q39" s="446">
        <f t="shared" si="13"/>
        <v>0</v>
      </c>
      <c r="R39" s="438"/>
      <c r="S39" s="438"/>
      <c r="T39" s="439"/>
      <c r="U39" s="244">
        <f>400+300</f>
        <v>700</v>
      </c>
      <c r="V39" s="244">
        <f>286+156</f>
        <v>442</v>
      </c>
    </row>
    <row r="40" spans="1:22" ht="15.75" customHeight="1">
      <c r="A40" s="833"/>
      <c r="B40" s="801"/>
      <c r="C40" s="798"/>
      <c r="D40" s="234"/>
      <c r="E40" s="767"/>
      <c r="F40" s="763"/>
      <c r="G40" s="869"/>
      <c r="H40" s="249" t="s">
        <v>110</v>
      </c>
      <c r="I40" s="239">
        <f t="shared" si="8"/>
        <v>0</v>
      </c>
      <c r="J40" s="236"/>
      <c r="K40" s="236"/>
      <c r="L40" s="237"/>
      <c r="M40" s="239">
        <f t="shared" si="12"/>
        <v>0</v>
      </c>
      <c r="N40" s="236"/>
      <c r="O40" s="236"/>
      <c r="P40" s="237"/>
      <c r="Q40" s="446">
        <f t="shared" si="13"/>
        <v>0</v>
      </c>
      <c r="R40" s="438"/>
      <c r="S40" s="438"/>
      <c r="T40" s="439"/>
      <c r="U40" s="245"/>
      <c r="V40" s="245"/>
    </row>
    <row r="41" spans="1:22" ht="15.75" customHeight="1">
      <c r="A41" s="833"/>
      <c r="B41" s="801"/>
      <c r="C41" s="798"/>
      <c r="D41" s="234"/>
      <c r="E41" s="767"/>
      <c r="F41" s="763"/>
      <c r="G41" s="869"/>
      <c r="H41" s="249" t="s">
        <v>25</v>
      </c>
      <c r="I41" s="239">
        <f t="shared" si="8"/>
        <v>0</v>
      </c>
      <c r="J41" s="236"/>
      <c r="K41" s="236"/>
      <c r="L41" s="237"/>
      <c r="M41" s="239">
        <f t="shared" si="12"/>
        <v>0</v>
      </c>
      <c r="N41" s="236"/>
      <c r="O41" s="236"/>
      <c r="P41" s="237"/>
      <c r="Q41" s="446">
        <f t="shared" si="13"/>
        <v>0</v>
      </c>
      <c r="R41" s="438"/>
      <c r="S41" s="438"/>
      <c r="T41" s="439"/>
      <c r="U41" s="245"/>
      <c r="V41" s="245"/>
    </row>
    <row r="42" spans="1:22" ht="15.75" customHeight="1">
      <c r="A42" s="833"/>
      <c r="B42" s="801"/>
      <c r="C42" s="798"/>
      <c r="D42" s="234"/>
      <c r="E42" s="767"/>
      <c r="F42" s="763"/>
      <c r="G42" s="869"/>
      <c r="H42" s="249" t="s">
        <v>30</v>
      </c>
      <c r="I42" s="239">
        <f t="shared" si="8"/>
        <v>0</v>
      </c>
      <c r="J42" s="238"/>
      <c r="K42" s="238"/>
      <c r="L42" s="240"/>
      <c r="M42" s="239">
        <f t="shared" si="12"/>
        <v>0</v>
      </c>
      <c r="N42" s="238"/>
      <c r="O42" s="238"/>
      <c r="P42" s="240"/>
      <c r="Q42" s="446">
        <f t="shared" si="13"/>
        <v>0</v>
      </c>
      <c r="R42" s="475"/>
      <c r="S42" s="475"/>
      <c r="T42" s="476"/>
      <c r="U42" s="244"/>
      <c r="V42" s="244"/>
    </row>
    <row r="43" spans="1:22" ht="15.75" customHeight="1" thickBot="1">
      <c r="A43" s="834"/>
      <c r="B43" s="802"/>
      <c r="C43" s="799"/>
      <c r="D43" s="276"/>
      <c r="E43" s="921"/>
      <c r="F43" s="922"/>
      <c r="G43" s="870"/>
      <c r="H43" s="494" t="s">
        <v>20</v>
      </c>
      <c r="I43" s="495">
        <f aca="true" t="shared" si="14" ref="I43:V43">SUM(I36:I42)</f>
        <v>50</v>
      </c>
      <c r="J43" s="496">
        <f t="shared" si="14"/>
        <v>0</v>
      </c>
      <c r="K43" s="496">
        <f t="shared" si="14"/>
        <v>0</v>
      </c>
      <c r="L43" s="497">
        <f t="shared" si="14"/>
        <v>50</v>
      </c>
      <c r="M43" s="495">
        <f t="shared" si="14"/>
        <v>0</v>
      </c>
      <c r="N43" s="496">
        <f t="shared" si="14"/>
        <v>0</v>
      </c>
      <c r="O43" s="496">
        <f t="shared" si="14"/>
        <v>0</v>
      </c>
      <c r="P43" s="497">
        <f t="shared" si="14"/>
        <v>0</v>
      </c>
      <c r="Q43" s="495">
        <f t="shared" si="14"/>
        <v>0</v>
      </c>
      <c r="R43" s="496">
        <f t="shared" si="14"/>
        <v>0</v>
      </c>
      <c r="S43" s="496">
        <f t="shared" si="14"/>
        <v>0</v>
      </c>
      <c r="T43" s="497">
        <f t="shared" si="14"/>
        <v>0</v>
      </c>
      <c r="U43" s="498">
        <f t="shared" si="14"/>
        <v>700</v>
      </c>
      <c r="V43" s="498">
        <f t="shared" si="14"/>
        <v>442</v>
      </c>
    </row>
    <row r="44" spans="1:22" ht="15.75" customHeight="1">
      <c r="A44" s="832" t="s">
        <v>8</v>
      </c>
      <c r="B44" s="800" t="s">
        <v>8</v>
      </c>
      <c r="C44" s="797" t="s">
        <v>38</v>
      </c>
      <c r="D44" s="232" t="s">
        <v>164</v>
      </c>
      <c r="E44" s="920" t="s">
        <v>22</v>
      </c>
      <c r="F44" s="912" t="s">
        <v>12</v>
      </c>
      <c r="G44" s="899" t="s">
        <v>145</v>
      </c>
      <c r="H44" s="247" t="s">
        <v>11</v>
      </c>
      <c r="I44" s="128">
        <f t="shared" si="8"/>
        <v>0</v>
      </c>
      <c r="J44" s="129"/>
      <c r="K44" s="129"/>
      <c r="L44" s="130"/>
      <c r="M44" s="128">
        <f aca="true" t="shared" si="15" ref="M44:M50">N44+P44</f>
        <v>0</v>
      </c>
      <c r="N44" s="241"/>
      <c r="O44" s="241"/>
      <c r="P44" s="242"/>
      <c r="Q44" s="443">
        <f aca="true" t="shared" si="16" ref="Q44:Q50">R44+T44</f>
        <v>0</v>
      </c>
      <c r="R44" s="435"/>
      <c r="S44" s="435"/>
      <c r="T44" s="436"/>
      <c r="U44" s="243"/>
      <c r="V44" s="243"/>
    </row>
    <row r="45" spans="1:22" ht="15.75" customHeight="1">
      <c r="A45" s="833"/>
      <c r="B45" s="801"/>
      <c r="C45" s="798"/>
      <c r="D45" s="233" t="s">
        <v>219</v>
      </c>
      <c r="E45" s="767"/>
      <c r="F45" s="763"/>
      <c r="G45" s="869"/>
      <c r="H45" s="248" t="s">
        <v>186</v>
      </c>
      <c r="I45" s="239">
        <f t="shared" si="8"/>
        <v>0</v>
      </c>
      <c r="J45" s="238"/>
      <c r="K45" s="238"/>
      <c r="L45" s="240"/>
      <c r="M45" s="239">
        <f t="shared" si="15"/>
        <v>0</v>
      </c>
      <c r="N45" s="238"/>
      <c r="O45" s="238"/>
      <c r="P45" s="240"/>
      <c r="Q45" s="446">
        <f t="shared" si="16"/>
        <v>0</v>
      </c>
      <c r="R45" s="492"/>
      <c r="S45" s="492"/>
      <c r="T45" s="493"/>
      <c r="U45" s="244"/>
      <c r="V45" s="244"/>
    </row>
    <row r="46" spans="1:22" ht="15.75" customHeight="1">
      <c r="A46" s="833"/>
      <c r="B46" s="801"/>
      <c r="C46" s="798"/>
      <c r="D46" s="234"/>
      <c r="E46" s="767"/>
      <c r="F46" s="763"/>
      <c r="G46" s="869"/>
      <c r="H46" s="248" t="s">
        <v>18</v>
      </c>
      <c r="I46" s="239">
        <f t="shared" si="8"/>
        <v>0</v>
      </c>
      <c r="J46" s="238"/>
      <c r="K46" s="238"/>
      <c r="L46" s="240"/>
      <c r="M46" s="239">
        <f t="shared" si="15"/>
        <v>0</v>
      </c>
      <c r="N46" s="238"/>
      <c r="O46" s="238"/>
      <c r="P46" s="240"/>
      <c r="Q46" s="446">
        <f t="shared" si="16"/>
        <v>0</v>
      </c>
      <c r="R46" s="438"/>
      <c r="S46" s="438"/>
      <c r="T46" s="439"/>
      <c r="U46" s="244"/>
      <c r="V46" s="244"/>
    </row>
    <row r="47" spans="1:22" ht="15.75" customHeight="1">
      <c r="A47" s="833"/>
      <c r="B47" s="801"/>
      <c r="C47" s="798"/>
      <c r="D47" s="234"/>
      <c r="E47" s="767"/>
      <c r="F47" s="763"/>
      <c r="G47" s="869"/>
      <c r="H47" s="248" t="s">
        <v>53</v>
      </c>
      <c r="I47" s="239">
        <f t="shared" si="8"/>
        <v>250</v>
      </c>
      <c r="J47" s="251"/>
      <c r="K47" s="251"/>
      <c r="L47" s="252">
        <v>250</v>
      </c>
      <c r="M47" s="239">
        <f t="shared" si="15"/>
        <v>370.4</v>
      </c>
      <c r="N47" s="251"/>
      <c r="O47" s="251"/>
      <c r="P47" s="252">
        <v>370.4</v>
      </c>
      <c r="Q47" s="446">
        <f t="shared" si="16"/>
        <v>370.4</v>
      </c>
      <c r="R47" s="475"/>
      <c r="S47" s="475"/>
      <c r="T47" s="476">
        <v>370.4</v>
      </c>
      <c r="U47" s="253">
        <v>4000</v>
      </c>
      <c r="V47" s="253">
        <v>2000</v>
      </c>
    </row>
    <row r="48" spans="1:22" ht="15.75" customHeight="1">
      <c r="A48" s="833"/>
      <c r="B48" s="801"/>
      <c r="C48" s="798"/>
      <c r="D48" s="234"/>
      <c r="E48" s="767"/>
      <c r="F48" s="763"/>
      <c r="G48" s="869"/>
      <c r="H48" s="249" t="s">
        <v>110</v>
      </c>
      <c r="I48" s="239">
        <f t="shared" si="8"/>
        <v>0</v>
      </c>
      <c r="J48" s="238"/>
      <c r="K48" s="238"/>
      <c r="L48" s="240"/>
      <c r="M48" s="239">
        <f t="shared" si="15"/>
        <v>0</v>
      </c>
      <c r="N48" s="238"/>
      <c r="O48" s="238"/>
      <c r="P48" s="240"/>
      <c r="Q48" s="446">
        <f t="shared" si="16"/>
        <v>0</v>
      </c>
      <c r="R48" s="438"/>
      <c r="S48" s="438"/>
      <c r="T48" s="487"/>
      <c r="U48" s="244"/>
      <c r="V48" s="244"/>
    </row>
    <row r="49" spans="1:22" ht="15.75" customHeight="1">
      <c r="A49" s="833"/>
      <c r="B49" s="801"/>
      <c r="C49" s="798"/>
      <c r="D49" s="234"/>
      <c r="E49" s="767"/>
      <c r="F49" s="763"/>
      <c r="G49" s="869"/>
      <c r="H49" s="249" t="s">
        <v>25</v>
      </c>
      <c r="I49" s="239">
        <f t="shared" si="8"/>
        <v>0</v>
      </c>
      <c r="J49" s="238"/>
      <c r="K49" s="238"/>
      <c r="L49" s="240"/>
      <c r="M49" s="239">
        <f t="shared" si="15"/>
        <v>0</v>
      </c>
      <c r="N49" s="238"/>
      <c r="O49" s="238"/>
      <c r="P49" s="240"/>
      <c r="Q49" s="446">
        <f t="shared" si="16"/>
        <v>0</v>
      </c>
      <c r="R49" s="438"/>
      <c r="S49" s="438"/>
      <c r="T49" s="487"/>
      <c r="U49" s="244"/>
      <c r="V49" s="244"/>
    </row>
    <row r="50" spans="1:22" ht="15.75" customHeight="1">
      <c r="A50" s="833"/>
      <c r="B50" s="801"/>
      <c r="C50" s="798"/>
      <c r="D50" s="234"/>
      <c r="E50" s="767"/>
      <c r="F50" s="763"/>
      <c r="G50" s="869"/>
      <c r="H50" s="249" t="s">
        <v>30</v>
      </c>
      <c r="I50" s="239">
        <f t="shared" si="8"/>
        <v>0</v>
      </c>
      <c r="J50" s="238"/>
      <c r="K50" s="238"/>
      <c r="L50" s="240"/>
      <c r="M50" s="239">
        <f t="shared" si="15"/>
        <v>0</v>
      </c>
      <c r="N50" s="238"/>
      <c r="O50" s="238"/>
      <c r="P50" s="240"/>
      <c r="Q50" s="446">
        <f t="shared" si="16"/>
        <v>0</v>
      </c>
      <c r="R50" s="438"/>
      <c r="S50" s="438"/>
      <c r="T50" s="487"/>
      <c r="U50" s="244"/>
      <c r="V50" s="244"/>
    </row>
    <row r="51" spans="1:22" ht="15.75" customHeight="1" thickBot="1">
      <c r="A51" s="834"/>
      <c r="B51" s="802"/>
      <c r="C51" s="799"/>
      <c r="D51" s="276"/>
      <c r="E51" s="932"/>
      <c r="F51" s="764"/>
      <c r="G51" s="900"/>
      <c r="H51" s="494" t="s">
        <v>20</v>
      </c>
      <c r="I51" s="495">
        <f aca="true" t="shared" si="17" ref="I51:V51">SUM(I44:I50)</f>
        <v>250</v>
      </c>
      <c r="J51" s="496">
        <f t="shared" si="17"/>
        <v>0</v>
      </c>
      <c r="K51" s="496">
        <f t="shared" si="17"/>
        <v>0</v>
      </c>
      <c r="L51" s="497">
        <f t="shared" si="17"/>
        <v>250</v>
      </c>
      <c r="M51" s="495">
        <f t="shared" si="17"/>
        <v>370.4</v>
      </c>
      <c r="N51" s="496">
        <f t="shared" si="17"/>
        <v>0</v>
      </c>
      <c r="O51" s="496">
        <f t="shared" si="17"/>
        <v>0</v>
      </c>
      <c r="P51" s="497">
        <f t="shared" si="17"/>
        <v>370.4</v>
      </c>
      <c r="Q51" s="495">
        <f t="shared" si="17"/>
        <v>370.4</v>
      </c>
      <c r="R51" s="496">
        <f t="shared" si="17"/>
        <v>0</v>
      </c>
      <c r="S51" s="496">
        <f t="shared" si="17"/>
        <v>0</v>
      </c>
      <c r="T51" s="497">
        <f t="shared" si="17"/>
        <v>370.4</v>
      </c>
      <c r="U51" s="498">
        <f t="shared" si="17"/>
        <v>4000</v>
      </c>
      <c r="V51" s="498">
        <f t="shared" si="17"/>
        <v>2000</v>
      </c>
    </row>
    <row r="52" spans="1:22" ht="15.75" customHeight="1">
      <c r="A52" s="832" t="s">
        <v>8</v>
      </c>
      <c r="B52" s="800" t="s">
        <v>8</v>
      </c>
      <c r="C52" s="797" t="s">
        <v>13</v>
      </c>
      <c r="D52" s="929" t="s">
        <v>26</v>
      </c>
      <c r="E52" s="516" t="s">
        <v>22</v>
      </c>
      <c r="F52" s="768" t="s">
        <v>12</v>
      </c>
      <c r="G52" s="770" t="s">
        <v>145</v>
      </c>
      <c r="H52" s="123" t="s">
        <v>11</v>
      </c>
      <c r="I52" s="134">
        <f>J52+L52</f>
        <v>0</v>
      </c>
      <c r="J52" s="135"/>
      <c r="K52" s="135"/>
      <c r="L52" s="136"/>
      <c r="M52" s="134">
        <f>N52+P52</f>
        <v>0</v>
      </c>
      <c r="N52" s="148"/>
      <c r="O52" s="148"/>
      <c r="P52" s="153"/>
      <c r="Q52" s="446">
        <f>R52+T52</f>
        <v>0</v>
      </c>
      <c r="R52" s="435"/>
      <c r="S52" s="435"/>
      <c r="T52" s="436"/>
      <c r="U52" s="154"/>
      <c r="V52" s="154"/>
    </row>
    <row r="53" spans="1:22" ht="15.75" customHeight="1">
      <c r="A53" s="833"/>
      <c r="B53" s="801"/>
      <c r="C53" s="798"/>
      <c r="D53" s="930"/>
      <c r="E53" s="811" t="s">
        <v>142</v>
      </c>
      <c r="F53" s="763"/>
      <c r="G53" s="771"/>
      <c r="H53" s="248" t="s">
        <v>186</v>
      </c>
      <c r="I53" s="134">
        <f>J53+L53</f>
        <v>0</v>
      </c>
      <c r="J53" s="135"/>
      <c r="K53" s="135"/>
      <c r="L53" s="136"/>
      <c r="M53" s="134">
        <f>N53+P53</f>
        <v>451.4</v>
      </c>
      <c r="N53" s="148"/>
      <c r="O53" s="148"/>
      <c r="P53" s="153">
        <v>451.4</v>
      </c>
      <c r="Q53" s="446">
        <f>R53+T53</f>
        <v>451.4</v>
      </c>
      <c r="R53" s="475"/>
      <c r="S53" s="475"/>
      <c r="T53" s="476">
        <v>451.4</v>
      </c>
      <c r="U53" s="154">
        <v>451.3</v>
      </c>
      <c r="V53" s="154"/>
    </row>
    <row r="54" spans="1:22" ht="15.75" customHeight="1">
      <c r="A54" s="833"/>
      <c r="B54" s="801"/>
      <c r="C54" s="798"/>
      <c r="D54" s="930"/>
      <c r="E54" s="812"/>
      <c r="F54" s="763"/>
      <c r="G54" s="771"/>
      <c r="H54" s="123" t="s">
        <v>18</v>
      </c>
      <c r="I54" s="134">
        <f>J54+L54</f>
        <v>2762.8</v>
      </c>
      <c r="J54" s="135"/>
      <c r="K54" s="135"/>
      <c r="L54" s="136">
        <v>2762.8</v>
      </c>
      <c r="M54" s="134">
        <f>N54+P54</f>
        <v>3743.2</v>
      </c>
      <c r="N54" s="148"/>
      <c r="O54" s="148"/>
      <c r="P54" s="153">
        <v>3743.2</v>
      </c>
      <c r="Q54" s="446">
        <f>R54+T54</f>
        <v>3743.2</v>
      </c>
      <c r="R54" s="438"/>
      <c r="S54" s="438"/>
      <c r="T54" s="439">
        <v>3743.2</v>
      </c>
      <c r="U54" s="154">
        <v>3743.2</v>
      </c>
      <c r="V54" s="154"/>
    </row>
    <row r="55" spans="1:22" ht="15.75" customHeight="1">
      <c r="A55" s="833"/>
      <c r="B55" s="801"/>
      <c r="C55" s="798"/>
      <c r="D55" s="930"/>
      <c r="E55" s="812"/>
      <c r="F55" s="763"/>
      <c r="G55" s="771"/>
      <c r="H55" s="94" t="s">
        <v>110</v>
      </c>
      <c r="I55" s="134">
        <f>J55+L55</f>
        <v>0</v>
      </c>
      <c r="J55" s="135"/>
      <c r="K55" s="135"/>
      <c r="L55" s="136"/>
      <c r="M55" s="134">
        <f>N55+P55</f>
        <v>462.4</v>
      </c>
      <c r="N55" s="148"/>
      <c r="O55" s="148"/>
      <c r="P55" s="153">
        <v>462.4</v>
      </c>
      <c r="Q55" s="446">
        <f>R55+T55</f>
        <v>462.4</v>
      </c>
      <c r="R55" s="438"/>
      <c r="S55" s="438"/>
      <c r="T55" s="439">
        <v>462.4</v>
      </c>
      <c r="U55" s="154">
        <v>462.4</v>
      </c>
      <c r="V55" s="154"/>
    </row>
    <row r="56" spans="1:22" ht="15.75" customHeight="1" thickBot="1">
      <c r="A56" s="834"/>
      <c r="B56" s="802"/>
      <c r="C56" s="799"/>
      <c r="D56" s="931"/>
      <c r="E56" s="813"/>
      <c r="F56" s="764"/>
      <c r="G56" s="772"/>
      <c r="H56" s="422" t="s">
        <v>20</v>
      </c>
      <c r="I56" s="471">
        <f aca="true" t="shared" si="18" ref="I56:V56">SUM(I52:I55)</f>
        <v>2762.8</v>
      </c>
      <c r="J56" s="454">
        <f t="shared" si="18"/>
        <v>0</v>
      </c>
      <c r="K56" s="472">
        <f t="shared" si="18"/>
        <v>0</v>
      </c>
      <c r="L56" s="473">
        <f t="shared" si="18"/>
        <v>2762.8</v>
      </c>
      <c r="M56" s="471">
        <f t="shared" si="18"/>
        <v>4656.999999999999</v>
      </c>
      <c r="N56" s="454">
        <f t="shared" si="18"/>
        <v>0</v>
      </c>
      <c r="O56" s="472">
        <f t="shared" si="18"/>
        <v>0</v>
      </c>
      <c r="P56" s="473">
        <f t="shared" si="18"/>
        <v>4656.999999999999</v>
      </c>
      <c r="Q56" s="471">
        <f t="shared" si="18"/>
        <v>4656.999999999999</v>
      </c>
      <c r="R56" s="454">
        <f t="shared" si="18"/>
        <v>0</v>
      </c>
      <c r="S56" s="472">
        <f t="shared" si="18"/>
        <v>0</v>
      </c>
      <c r="T56" s="473">
        <f t="shared" si="18"/>
        <v>4656.999999999999</v>
      </c>
      <c r="U56" s="427">
        <f t="shared" si="18"/>
        <v>4656.9</v>
      </c>
      <c r="V56" s="427">
        <f t="shared" si="18"/>
        <v>0</v>
      </c>
    </row>
    <row r="57" spans="1:22" ht="15.75" customHeight="1">
      <c r="A57" s="832" t="s">
        <v>8</v>
      </c>
      <c r="B57" s="800" t="s">
        <v>8</v>
      </c>
      <c r="C57" s="797" t="s">
        <v>14</v>
      </c>
      <c r="D57" s="825" t="s">
        <v>132</v>
      </c>
      <c r="E57" s="766" t="s">
        <v>22</v>
      </c>
      <c r="F57" s="768" t="s">
        <v>12</v>
      </c>
      <c r="G57" s="770" t="s">
        <v>145</v>
      </c>
      <c r="H57" s="123" t="s">
        <v>11</v>
      </c>
      <c r="I57" s="152">
        <f>J57+L57</f>
        <v>0</v>
      </c>
      <c r="J57" s="143"/>
      <c r="K57" s="143"/>
      <c r="L57" s="144"/>
      <c r="M57" s="152">
        <f>N57+P57</f>
        <v>0</v>
      </c>
      <c r="N57" s="145"/>
      <c r="O57" s="145"/>
      <c r="P57" s="146"/>
      <c r="Q57" s="474">
        <f>R57+T57</f>
        <v>0</v>
      </c>
      <c r="R57" s="475"/>
      <c r="S57" s="475"/>
      <c r="T57" s="476"/>
      <c r="U57" s="147"/>
      <c r="V57" s="147"/>
    </row>
    <row r="58" spans="1:22" ht="16.5" customHeight="1">
      <c r="A58" s="833"/>
      <c r="B58" s="801"/>
      <c r="C58" s="798"/>
      <c r="D58" s="826"/>
      <c r="E58" s="921"/>
      <c r="F58" s="763"/>
      <c r="G58" s="771"/>
      <c r="H58" s="125" t="s">
        <v>18</v>
      </c>
      <c r="I58" s="134">
        <f>J58+L58</f>
        <v>0</v>
      </c>
      <c r="J58" s="135"/>
      <c r="K58" s="135"/>
      <c r="L58" s="136"/>
      <c r="M58" s="134">
        <f>N58+P58</f>
        <v>932.3</v>
      </c>
      <c r="N58" s="148"/>
      <c r="O58" s="148"/>
      <c r="P58" s="137">
        <v>932.3</v>
      </c>
      <c r="Q58" s="446">
        <f>R58+T58</f>
        <v>932.3</v>
      </c>
      <c r="R58" s="438"/>
      <c r="S58" s="438"/>
      <c r="T58" s="439">
        <v>932.3</v>
      </c>
      <c r="U58" s="138">
        <v>2050.9</v>
      </c>
      <c r="V58" s="138">
        <v>745.9</v>
      </c>
    </row>
    <row r="59" spans="1:22" ht="16.5" customHeight="1">
      <c r="A59" s="833"/>
      <c r="B59" s="801"/>
      <c r="C59" s="798"/>
      <c r="D59" s="295" t="s">
        <v>220</v>
      </c>
      <c r="E59" s="811" t="s">
        <v>141</v>
      </c>
      <c r="F59" s="763"/>
      <c r="G59" s="771"/>
      <c r="H59" s="296" t="s">
        <v>30</v>
      </c>
      <c r="I59" s="134">
        <f>J59+L59</f>
        <v>0</v>
      </c>
      <c r="J59" s="135"/>
      <c r="K59" s="135"/>
      <c r="L59" s="136"/>
      <c r="M59" s="134">
        <f>N59+P59</f>
        <v>0</v>
      </c>
      <c r="N59" s="135"/>
      <c r="O59" s="135"/>
      <c r="P59" s="137"/>
      <c r="Q59" s="446">
        <f>R59+T59</f>
        <v>0</v>
      </c>
      <c r="R59" s="438"/>
      <c r="S59" s="438"/>
      <c r="T59" s="439"/>
      <c r="U59" s="138">
        <v>227.9</v>
      </c>
      <c r="V59" s="138">
        <v>186.4</v>
      </c>
    </row>
    <row r="60" spans="1:22" ht="16.5" customHeight="1">
      <c r="A60" s="833"/>
      <c r="B60" s="801"/>
      <c r="C60" s="798"/>
      <c r="D60" s="295" t="s">
        <v>221</v>
      </c>
      <c r="E60" s="812"/>
      <c r="F60" s="763"/>
      <c r="G60" s="771"/>
      <c r="H60" s="125"/>
      <c r="I60" s="159"/>
      <c r="J60" s="157"/>
      <c r="K60" s="157"/>
      <c r="L60" s="156"/>
      <c r="M60" s="160"/>
      <c r="N60" s="157"/>
      <c r="O60" s="157"/>
      <c r="P60" s="157"/>
      <c r="Q60" s="477"/>
      <c r="R60" s="478"/>
      <c r="S60" s="478"/>
      <c r="T60" s="442"/>
      <c r="U60" s="158"/>
      <c r="V60" s="158"/>
    </row>
    <row r="61" spans="1:22" ht="19.5" customHeight="1">
      <c r="A61" s="833"/>
      <c r="B61" s="801"/>
      <c r="C61" s="798"/>
      <c r="D61" s="942" t="s">
        <v>151</v>
      </c>
      <c r="E61" s="812"/>
      <c r="F61" s="763"/>
      <c r="G61" s="771"/>
      <c r="H61" s="93"/>
      <c r="I61" s="159"/>
      <c r="J61" s="157"/>
      <c r="K61" s="157"/>
      <c r="L61" s="156"/>
      <c r="M61" s="160"/>
      <c r="N61" s="157"/>
      <c r="O61" s="157"/>
      <c r="P61" s="157"/>
      <c r="Q61" s="477"/>
      <c r="R61" s="478"/>
      <c r="S61" s="478"/>
      <c r="T61" s="442"/>
      <c r="U61" s="158"/>
      <c r="V61" s="158"/>
    </row>
    <row r="62" spans="1:22" ht="19.5" customHeight="1" thickBot="1">
      <c r="A62" s="834"/>
      <c r="B62" s="802"/>
      <c r="C62" s="799"/>
      <c r="D62" s="943"/>
      <c r="E62" s="813"/>
      <c r="F62" s="764"/>
      <c r="G62" s="772"/>
      <c r="H62" s="468" t="s">
        <v>20</v>
      </c>
      <c r="I62" s="406">
        <f aca="true" t="shared" si="19" ref="I62:V62">SUM(I57:I61)</f>
        <v>0</v>
      </c>
      <c r="J62" s="469">
        <f t="shared" si="19"/>
        <v>0</v>
      </c>
      <c r="K62" s="469">
        <f t="shared" si="19"/>
        <v>0</v>
      </c>
      <c r="L62" s="391">
        <f t="shared" si="19"/>
        <v>0</v>
      </c>
      <c r="M62" s="406">
        <f t="shared" si="19"/>
        <v>932.3</v>
      </c>
      <c r="N62" s="469">
        <f t="shared" si="19"/>
        <v>0</v>
      </c>
      <c r="O62" s="469">
        <f t="shared" si="19"/>
        <v>0</v>
      </c>
      <c r="P62" s="391">
        <f t="shared" si="19"/>
        <v>932.3</v>
      </c>
      <c r="Q62" s="470">
        <f t="shared" si="19"/>
        <v>932.3</v>
      </c>
      <c r="R62" s="421">
        <f t="shared" si="19"/>
        <v>0</v>
      </c>
      <c r="S62" s="421">
        <f t="shared" si="19"/>
        <v>0</v>
      </c>
      <c r="T62" s="384">
        <f t="shared" si="19"/>
        <v>932.3</v>
      </c>
      <c r="U62" s="393">
        <f t="shared" si="19"/>
        <v>2278.8</v>
      </c>
      <c r="V62" s="393">
        <f t="shared" si="19"/>
        <v>932.3</v>
      </c>
    </row>
    <row r="63" spans="1:22" ht="16.5" customHeight="1">
      <c r="A63" s="832" t="s">
        <v>8</v>
      </c>
      <c r="B63" s="800" t="s">
        <v>8</v>
      </c>
      <c r="C63" s="791" t="s">
        <v>15</v>
      </c>
      <c r="D63" s="808" t="s">
        <v>56</v>
      </c>
      <c r="E63" s="762"/>
      <c r="F63" s="759" t="s">
        <v>12</v>
      </c>
      <c r="G63" s="788" t="s">
        <v>145</v>
      </c>
      <c r="H63" s="306" t="s">
        <v>11</v>
      </c>
      <c r="I63" s="218">
        <f>J63+L63</f>
        <v>60</v>
      </c>
      <c r="J63" s="219"/>
      <c r="K63" s="219"/>
      <c r="L63" s="220">
        <v>60</v>
      </c>
      <c r="M63" s="218">
        <f>N63+P63</f>
        <v>41.4</v>
      </c>
      <c r="N63" s="219"/>
      <c r="O63" s="219"/>
      <c r="P63" s="348">
        <v>41.4</v>
      </c>
      <c r="Q63" s="479">
        <f>R63+T63</f>
        <v>41.4</v>
      </c>
      <c r="R63" s="480"/>
      <c r="S63" s="480"/>
      <c r="T63" s="481">
        <f>9.7+31.7</f>
        <v>41.4</v>
      </c>
      <c r="U63" s="221">
        <v>60</v>
      </c>
      <c r="V63" s="222">
        <v>60</v>
      </c>
    </row>
    <row r="64" spans="1:22" ht="16.5" customHeight="1">
      <c r="A64" s="833"/>
      <c r="B64" s="801"/>
      <c r="C64" s="792"/>
      <c r="D64" s="809"/>
      <c r="E64" s="761"/>
      <c r="F64" s="757"/>
      <c r="G64" s="789"/>
      <c r="H64" s="307" t="s">
        <v>53</v>
      </c>
      <c r="I64" s="223">
        <f>J64+L64</f>
        <v>0</v>
      </c>
      <c r="J64" s="224"/>
      <c r="K64" s="224"/>
      <c r="L64" s="225"/>
      <c r="M64" s="223">
        <f>N64+P64</f>
        <v>0</v>
      </c>
      <c r="N64" s="224"/>
      <c r="O64" s="224"/>
      <c r="P64" s="349"/>
      <c r="Q64" s="482">
        <f>R64+T64</f>
        <v>0</v>
      </c>
      <c r="R64" s="483"/>
      <c r="S64" s="483"/>
      <c r="T64" s="484"/>
      <c r="U64" s="226"/>
      <c r="V64" s="227"/>
    </row>
    <row r="65" spans="1:22" ht="16.5" customHeight="1" thickBot="1">
      <c r="A65" s="834"/>
      <c r="B65" s="802"/>
      <c r="C65" s="793"/>
      <c r="D65" s="810"/>
      <c r="E65" s="760"/>
      <c r="F65" s="758"/>
      <c r="G65" s="790"/>
      <c r="H65" s="457" t="s">
        <v>20</v>
      </c>
      <c r="I65" s="458">
        <f aca="true" t="shared" si="20" ref="I65:V65">SUM(I63:I64)</f>
        <v>60</v>
      </c>
      <c r="J65" s="459">
        <f t="shared" si="20"/>
        <v>0</v>
      </c>
      <c r="K65" s="460">
        <f t="shared" si="20"/>
        <v>0</v>
      </c>
      <c r="L65" s="461">
        <f t="shared" si="20"/>
        <v>60</v>
      </c>
      <c r="M65" s="458">
        <f t="shared" si="20"/>
        <v>41.4</v>
      </c>
      <c r="N65" s="459">
        <f t="shared" si="20"/>
        <v>0</v>
      </c>
      <c r="O65" s="460">
        <f t="shared" si="20"/>
        <v>0</v>
      </c>
      <c r="P65" s="462">
        <f t="shared" si="20"/>
        <v>41.4</v>
      </c>
      <c r="Q65" s="463">
        <f t="shared" si="20"/>
        <v>41.4</v>
      </c>
      <c r="R65" s="464">
        <f t="shared" si="20"/>
        <v>0</v>
      </c>
      <c r="S65" s="464">
        <f t="shared" si="20"/>
        <v>0</v>
      </c>
      <c r="T65" s="465">
        <f t="shared" si="20"/>
        <v>41.4</v>
      </c>
      <c r="U65" s="466">
        <f t="shared" si="20"/>
        <v>60</v>
      </c>
      <c r="V65" s="467">
        <f t="shared" si="20"/>
        <v>60</v>
      </c>
    </row>
    <row r="66" spans="1:22" ht="15.75" customHeight="1">
      <c r="A66" s="832" t="s">
        <v>8</v>
      </c>
      <c r="B66" s="800" t="s">
        <v>8</v>
      </c>
      <c r="C66" s="874" t="s">
        <v>39</v>
      </c>
      <c r="D66" s="877" t="s">
        <v>50</v>
      </c>
      <c r="E66" s="517" t="s">
        <v>22</v>
      </c>
      <c r="F66" s="803" t="s">
        <v>12</v>
      </c>
      <c r="G66" s="780">
        <v>5</v>
      </c>
      <c r="H66" s="126" t="s">
        <v>11</v>
      </c>
      <c r="I66" s="163">
        <f>J66+L66</f>
        <v>15.2</v>
      </c>
      <c r="J66" s="129">
        <v>15.2</v>
      </c>
      <c r="K66" s="129"/>
      <c r="L66" s="130"/>
      <c r="M66" s="163">
        <f>N66+P66</f>
        <v>0</v>
      </c>
      <c r="N66" s="129"/>
      <c r="O66" s="129"/>
      <c r="P66" s="130"/>
      <c r="Q66" s="440">
        <f>R66+T66</f>
        <v>0</v>
      </c>
      <c r="R66" s="475"/>
      <c r="S66" s="475"/>
      <c r="T66" s="476"/>
      <c r="U66" s="164"/>
      <c r="V66" s="164"/>
    </row>
    <row r="67" spans="1:22" ht="15.75" customHeight="1">
      <c r="A67" s="833"/>
      <c r="B67" s="801"/>
      <c r="C67" s="875"/>
      <c r="D67" s="878"/>
      <c r="E67" s="998" t="s">
        <v>138</v>
      </c>
      <c r="F67" s="804"/>
      <c r="G67" s="781"/>
      <c r="H67" s="120" t="s">
        <v>18</v>
      </c>
      <c r="I67" s="165">
        <f>J67+L67</f>
        <v>0</v>
      </c>
      <c r="J67" s="155"/>
      <c r="K67" s="155"/>
      <c r="L67" s="156"/>
      <c r="M67" s="165">
        <f>N67+P67</f>
        <v>0</v>
      </c>
      <c r="N67" s="155"/>
      <c r="O67" s="155"/>
      <c r="P67" s="156"/>
      <c r="Q67" s="485">
        <f>R67+T67</f>
        <v>0</v>
      </c>
      <c r="R67" s="441"/>
      <c r="S67" s="441"/>
      <c r="T67" s="442"/>
      <c r="U67" s="166"/>
      <c r="V67" s="166"/>
    </row>
    <row r="68" spans="1:22" ht="15.75" customHeight="1">
      <c r="A68" s="833"/>
      <c r="B68" s="801"/>
      <c r="C68" s="875"/>
      <c r="D68" s="878"/>
      <c r="E68" s="999"/>
      <c r="F68" s="804"/>
      <c r="G68" s="781"/>
      <c r="H68" s="120" t="s">
        <v>25</v>
      </c>
      <c r="I68" s="167">
        <f>J68+L68</f>
        <v>0</v>
      </c>
      <c r="J68" s="135"/>
      <c r="K68" s="135"/>
      <c r="L68" s="136"/>
      <c r="M68" s="167">
        <f>N68+P68</f>
        <v>0</v>
      </c>
      <c r="N68" s="135"/>
      <c r="O68" s="135"/>
      <c r="P68" s="136"/>
      <c r="Q68" s="437">
        <f>R68+T68</f>
        <v>0</v>
      </c>
      <c r="R68" s="438"/>
      <c r="S68" s="438"/>
      <c r="T68" s="439"/>
      <c r="U68" s="168"/>
      <c r="V68" s="168"/>
    </row>
    <row r="69" spans="1:22" ht="15.75" customHeight="1" thickBot="1">
      <c r="A69" s="834"/>
      <c r="B69" s="802"/>
      <c r="C69" s="876"/>
      <c r="D69" s="879"/>
      <c r="E69" s="1000"/>
      <c r="F69" s="805"/>
      <c r="G69" s="782"/>
      <c r="H69" s="455" t="s">
        <v>20</v>
      </c>
      <c r="I69" s="429">
        <f aca="true" t="shared" si="21" ref="I69:V69">SUM(I66:I68)</f>
        <v>15.2</v>
      </c>
      <c r="J69" s="430">
        <f t="shared" si="21"/>
        <v>15.2</v>
      </c>
      <c r="K69" s="430">
        <f t="shared" si="21"/>
        <v>0</v>
      </c>
      <c r="L69" s="431">
        <f t="shared" si="21"/>
        <v>0</v>
      </c>
      <c r="M69" s="429">
        <f t="shared" si="21"/>
        <v>0</v>
      </c>
      <c r="N69" s="430">
        <f t="shared" si="21"/>
        <v>0</v>
      </c>
      <c r="O69" s="430">
        <f t="shared" si="21"/>
        <v>0</v>
      </c>
      <c r="P69" s="431">
        <f t="shared" si="21"/>
        <v>0</v>
      </c>
      <c r="Q69" s="429">
        <f t="shared" si="21"/>
        <v>0</v>
      </c>
      <c r="R69" s="430">
        <f t="shared" si="21"/>
        <v>0</v>
      </c>
      <c r="S69" s="430">
        <f t="shared" si="21"/>
        <v>0</v>
      </c>
      <c r="T69" s="431">
        <f t="shared" si="21"/>
        <v>0</v>
      </c>
      <c r="U69" s="456">
        <f t="shared" si="21"/>
        <v>0</v>
      </c>
      <c r="V69" s="456">
        <f t="shared" si="21"/>
        <v>0</v>
      </c>
    </row>
    <row r="70" spans="1:22" ht="15.75" customHeight="1">
      <c r="A70" s="832" t="s">
        <v>8</v>
      </c>
      <c r="B70" s="800" t="s">
        <v>8</v>
      </c>
      <c r="C70" s="797" t="s">
        <v>16</v>
      </c>
      <c r="D70" s="773" t="s">
        <v>153</v>
      </c>
      <c r="E70" s="515" t="s">
        <v>22</v>
      </c>
      <c r="F70" s="768" t="s">
        <v>12</v>
      </c>
      <c r="G70" s="770" t="s">
        <v>145</v>
      </c>
      <c r="H70" s="121" t="s">
        <v>186</v>
      </c>
      <c r="I70" s="128">
        <f>J70+L70</f>
        <v>200</v>
      </c>
      <c r="J70" s="129"/>
      <c r="K70" s="129"/>
      <c r="L70" s="130">
        <v>200</v>
      </c>
      <c r="M70" s="128">
        <f>N70+P70</f>
        <v>0</v>
      </c>
      <c r="N70" s="131"/>
      <c r="O70" s="131"/>
      <c r="P70" s="132"/>
      <c r="Q70" s="443">
        <f>R70+T70</f>
        <v>0</v>
      </c>
      <c r="R70" s="435"/>
      <c r="S70" s="435"/>
      <c r="T70" s="486"/>
      <c r="U70" s="133"/>
      <c r="V70" s="133"/>
    </row>
    <row r="71" spans="1:22" ht="15.75" customHeight="1">
      <c r="A71" s="833"/>
      <c r="B71" s="801"/>
      <c r="C71" s="798"/>
      <c r="D71" s="774"/>
      <c r="E71" s="811" t="s">
        <v>143</v>
      </c>
      <c r="F71" s="763"/>
      <c r="G71" s="771"/>
      <c r="H71" s="120" t="s">
        <v>53</v>
      </c>
      <c r="I71" s="134">
        <f>J71+L71</f>
        <v>0</v>
      </c>
      <c r="J71" s="135"/>
      <c r="K71" s="135"/>
      <c r="L71" s="136"/>
      <c r="M71" s="134">
        <f>N71+P71</f>
        <v>0</v>
      </c>
      <c r="N71" s="135"/>
      <c r="O71" s="135"/>
      <c r="P71" s="137"/>
      <c r="Q71" s="446">
        <f>R71+T71</f>
        <v>0</v>
      </c>
      <c r="R71" s="438"/>
      <c r="S71" s="438"/>
      <c r="T71" s="487"/>
      <c r="U71" s="138"/>
      <c r="V71" s="138"/>
    </row>
    <row r="72" spans="1:22" ht="15.75" customHeight="1">
      <c r="A72" s="833"/>
      <c r="B72" s="801"/>
      <c r="C72" s="798"/>
      <c r="D72" s="774"/>
      <c r="E72" s="812"/>
      <c r="F72" s="763"/>
      <c r="G72" s="771"/>
      <c r="H72" s="122" t="s">
        <v>110</v>
      </c>
      <c r="I72" s="139">
        <f>J72+L72</f>
        <v>288.9</v>
      </c>
      <c r="J72" s="140"/>
      <c r="K72" s="140"/>
      <c r="L72" s="141">
        <v>288.9</v>
      </c>
      <c r="M72" s="139">
        <f>N72+P72</f>
        <v>0</v>
      </c>
      <c r="N72" s="140"/>
      <c r="O72" s="140"/>
      <c r="P72" s="140"/>
      <c r="Q72" s="488">
        <f>R72+T72</f>
        <v>13.2</v>
      </c>
      <c r="R72" s="489"/>
      <c r="S72" s="489"/>
      <c r="T72" s="489">
        <v>13.2</v>
      </c>
      <c r="U72" s="142"/>
      <c r="V72" s="142"/>
    </row>
    <row r="73" spans="1:22" ht="15.75" customHeight="1">
      <c r="A73" s="833"/>
      <c r="B73" s="801"/>
      <c r="C73" s="798"/>
      <c r="D73" s="774"/>
      <c r="E73" s="812"/>
      <c r="F73" s="763"/>
      <c r="G73" s="771"/>
      <c r="H73" s="120" t="s">
        <v>18</v>
      </c>
      <c r="I73" s="139">
        <f>J73+L73</f>
        <v>2337.1</v>
      </c>
      <c r="J73" s="140"/>
      <c r="K73" s="140"/>
      <c r="L73" s="141">
        <v>2337.1</v>
      </c>
      <c r="M73" s="139">
        <f>N73+P73</f>
        <v>0</v>
      </c>
      <c r="N73" s="140"/>
      <c r="O73" s="140"/>
      <c r="P73" s="140"/>
      <c r="Q73" s="488">
        <f>R73+T73</f>
        <v>107.1</v>
      </c>
      <c r="R73" s="489"/>
      <c r="S73" s="489"/>
      <c r="T73" s="489">
        <v>107.1</v>
      </c>
      <c r="U73" s="142"/>
      <c r="V73" s="142"/>
    </row>
    <row r="74" spans="1:22" ht="15.75" customHeight="1" thickBot="1">
      <c r="A74" s="834"/>
      <c r="B74" s="802"/>
      <c r="C74" s="799"/>
      <c r="D74" s="765"/>
      <c r="E74" s="813"/>
      <c r="F74" s="764"/>
      <c r="G74" s="772"/>
      <c r="H74" s="422" t="s">
        <v>20</v>
      </c>
      <c r="I74" s="451">
        <f aca="true" t="shared" si="22" ref="I74:V74">SUM(I70:I73)</f>
        <v>2826</v>
      </c>
      <c r="J74" s="452">
        <f t="shared" si="22"/>
        <v>0</v>
      </c>
      <c r="K74" s="453">
        <f t="shared" si="22"/>
        <v>0</v>
      </c>
      <c r="L74" s="454">
        <f t="shared" si="22"/>
        <v>2826</v>
      </c>
      <c r="M74" s="451">
        <f t="shared" si="22"/>
        <v>0</v>
      </c>
      <c r="N74" s="452">
        <f t="shared" si="22"/>
        <v>0</v>
      </c>
      <c r="O74" s="453">
        <f t="shared" si="22"/>
        <v>0</v>
      </c>
      <c r="P74" s="454">
        <f t="shared" si="22"/>
        <v>0</v>
      </c>
      <c r="Q74" s="451">
        <f t="shared" si="22"/>
        <v>120.3</v>
      </c>
      <c r="R74" s="452">
        <f t="shared" si="22"/>
        <v>0</v>
      </c>
      <c r="S74" s="453">
        <f t="shared" si="22"/>
        <v>0</v>
      </c>
      <c r="T74" s="454">
        <f t="shared" si="22"/>
        <v>120.3</v>
      </c>
      <c r="U74" s="427">
        <f t="shared" si="22"/>
        <v>0</v>
      </c>
      <c r="V74" s="427">
        <f t="shared" si="22"/>
        <v>0</v>
      </c>
    </row>
    <row r="75" spans="1:22" ht="15.75" customHeight="1">
      <c r="A75" s="832" t="s">
        <v>8</v>
      </c>
      <c r="B75" s="800" t="s">
        <v>8</v>
      </c>
      <c r="C75" s="797" t="s">
        <v>52</v>
      </c>
      <c r="D75" s="773" t="s">
        <v>154</v>
      </c>
      <c r="E75" s="766" t="s">
        <v>22</v>
      </c>
      <c r="F75" s="768" t="s">
        <v>12</v>
      </c>
      <c r="G75" s="770" t="s">
        <v>145</v>
      </c>
      <c r="H75" s="121" t="s">
        <v>186</v>
      </c>
      <c r="I75" s="128">
        <f>J75+L75</f>
        <v>158.6</v>
      </c>
      <c r="J75" s="143"/>
      <c r="K75" s="143"/>
      <c r="L75" s="144">
        <v>158.6</v>
      </c>
      <c r="M75" s="128">
        <f>N75+P75</f>
        <v>0</v>
      </c>
      <c r="N75" s="145"/>
      <c r="O75" s="145"/>
      <c r="P75" s="146"/>
      <c r="Q75" s="443">
        <f>R75+T75</f>
        <v>0</v>
      </c>
      <c r="R75" s="435"/>
      <c r="S75" s="435"/>
      <c r="T75" s="486"/>
      <c r="U75" s="133"/>
      <c r="V75" s="147"/>
    </row>
    <row r="76" spans="1:22" ht="15.75" customHeight="1">
      <c r="A76" s="833"/>
      <c r="B76" s="801"/>
      <c r="C76" s="798"/>
      <c r="D76" s="774"/>
      <c r="E76" s="921"/>
      <c r="F76" s="763"/>
      <c r="G76" s="771"/>
      <c r="H76" s="123" t="s">
        <v>11</v>
      </c>
      <c r="I76" s="134">
        <f>J76+L76</f>
        <v>1.4</v>
      </c>
      <c r="J76" s="143">
        <v>1.4</v>
      </c>
      <c r="K76" s="143"/>
      <c r="L76" s="144"/>
      <c r="M76" s="134">
        <f>N76+P76</f>
        <v>0</v>
      </c>
      <c r="N76" s="145"/>
      <c r="O76" s="145"/>
      <c r="P76" s="146"/>
      <c r="Q76" s="446">
        <f>R76+T76</f>
        <v>0</v>
      </c>
      <c r="R76" s="475"/>
      <c r="S76" s="475"/>
      <c r="T76" s="490"/>
      <c r="U76" s="147"/>
      <c r="V76" s="147"/>
    </row>
    <row r="77" spans="1:22" ht="15.75" customHeight="1">
      <c r="A77" s="833"/>
      <c r="B77" s="801"/>
      <c r="C77" s="798"/>
      <c r="D77" s="774"/>
      <c r="E77" s="811" t="s">
        <v>143</v>
      </c>
      <c r="F77" s="763"/>
      <c r="G77" s="771"/>
      <c r="H77" s="120" t="s">
        <v>110</v>
      </c>
      <c r="I77" s="139">
        <f>J77+L77</f>
        <v>218</v>
      </c>
      <c r="J77" s="135"/>
      <c r="K77" s="135"/>
      <c r="L77" s="136">
        <v>218</v>
      </c>
      <c r="M77" s="139">
        <f>N77+P77</f>
        <v>0</v>
      </c>
      <c r="N77" s="135"/>
      <c r="O77" s="135"/>
      <c r="P77" s="137"/>
      <c r="Q77" s="488">
        <f>R77+T77</f>
        <v>0</v>
      </c>
      <c r="R77" s="438"/>
      <c r="S77" s="438"/>
      <c r="T77" s="487"/>
      <c r="U77" s="138"/>
      <c r="V77" s="138"/>
    </row>
    <row r="78" spans="1:22" ht="15.75" customHeight="1">
      <c r="A78" s="833"/>
      <c r="B78" s="801"/>
      <c r="C78" s="798"/>
      <c r="D78" s="774"/>
      <c r="E78" s="812"/>
      <c r="F78" s="763"/>
      <c r="G78" s="771"/>
      <c r="H78" s="120" t="s">
        <v>18</v>
      </c>
      <c r="I78" s="139">
        <f>J78+L78</f>
        <v>1765</v>
      </c>
      <c r="J78" s="140"/>
      <c r="K78" s="140"/>
      <c r="L78" s="141">
        <v>1765</v>
      </c>
      <c r="M78" s="139">
        <f>N78+P78</f>
        <v>0</v>
      </c>
      <c r="N78" s="140"/>
      <c r="O78" s="140"/>
      <c r="P78" s="140"/>
      <c r="Q78" s="488">
        <f>R78+T78</f>
        <v>0</v>
      </c>
      <c r="R78" s="489"/>
      <c r="S78" s="489"/>
      <c r="T78" s="489"/>
      <c r="U78" s="142"/>
      <c r="V78" s="142"/>
    </row>
    <row r="79" spans="1:22" ht="15.75" customHeight="1" thickBot="1">
      <c r="A79" s="834"/>
      <c r="B79" s="802"/>
      <c r="C79" s="799"/>
      <c r="D79" s="765"/>
      <c r="E79" s="813"/>
      <c r="F79" s="764"/>
      <c r="G79" s="772"/>
      <c r="H79" s="422" t="s">
        <v>20</v>
      </c>
      <c r="I79" s="451">
        <f aca="true" t="shared" si="23" ref="I79:V79">SUM(I75:I78)</f>
        <v>2143</v>
      </c>
      <c r="J79" s="452">
        <f t="shared" si="23"/>
        <v>1.4</v>
      </c>
      <c r="K79" s="453">
        <f t="shared" si="23"/>
        <v>0</v>
      </c>
      <c r="L79" s="454">
        <f t="shared" si="23"/>
        <v>2141.6</v>
      </c>
      <c r="M79" s="451">
        <f t="shared" si="23"/>
        <v>0</v>
      </c>
      <c r="N79" s="452">
        <f t="shared" si="23"/>
        <v>0</v>
      </c>
      <c r="O79" s="453">
        <f t="shared" si="23"/>
        <v>0</v>
      </c>
      <c r="P79" s="454">
        <f t="shared" si="23"/>
        <v>0</v>
      </c>
      <c r="Q79" s="451">
        <f t="shared" si="23"/>
        <v>0</v>
      </c>
      <c r="R79" s="452">
        <f t="shared" si="23"/>
        <v>0</v>
      </c>
      <c r="S79" s="453">
        <f t="shared" si="23"/>
        <v>0</v>
      </c>
      <c r="T79" s="454">
        <f t="shared" si="23"/>
        <v>0</v>
      </c>
      <c r="U79" s="427">
        <f t="shared" si="23"/>
        <v>0</v>
      </c>
      <c r="V79" s="427">
        <f t="shared" si="23"/>
        <v>0</v>
      </c>
    </row>
    <row r="80" spans="1:22" ht="15.75" customHeight="1">
      <c r="A80" s="832" t="s">
        <v>8</v>
      </c>
      <c r="B80" s="800" t="s">
        <v>8</v>
      </c>
      <c r="C80" s="797" t="s">
        <v>17</v>
      </c>
      <c r="D80" s="786" t="s">
        <v>103</v>
      </c>
      <c r="E80" s="766" t="s">
        <v>22</v>
      </c>
      <c r="F80" s="768" t="s">
        <v>12</v>
      </c>
      <c r="G80" s="770" t="s">
        <v>145</v>
      </c>
      <c r="H80" s="94" t="s">
        <v>53</v>
      </c>
      <c r="I80" s="134">
        <f>J80+L80</f>
        <v>495.1</v>
      </c>
      <c r="J80" s="135"/>
      <c r="K80" s="135"/>
      <c r="L80" s="136">
        <v>495.1</v>
      </c>
      <c r="M80" s="134">
        <f>N80+P80</f>
        <v>0</v>
      </c>
      <c r="N80" s="148"/>
      <c r="O80" s="148"/>
      <c r="P80" s="137"/>
      <c r="Q80" s="446">
        <f>R80+T80</f>
        <v>0</v>
      </c>
      <c r="R80" s="435"/>
      <c r="S80" s="435"/>
      <c r="T80" s="436"/>
      <c r="U80" s="138"/>
      <c r="V80" s="133"/>
    </row>
    <row r="81" spans="1:22" ht="15.75" customHeight="1">
      <c r="A81" s="833"/>
      <c r="B81" s="801"/>
      <c r="C81" s="798"/>
      <c r="D81" s="787"/>
      <c r="E81" s="767"/>
      <c r="F81" s="763"/>
      <c r="G81" s="771"/>
      <c r="H81" s="95"/>
      <c r="I81" s="149">
        <f>J81+L81</f>
        <v>0</v>
      </c>
      <c r="J81" s="150"/>
      <c r="K81" s="150"/>
      <c r="L81" s="141"/>
      <c r="M81" s="149">
        <f>N81+P81</f>
        <v>0</v>
      </c>
      <c r="N81" s="151"/>
      <c r="O81" s="151"/>
      <c r="P81" s="140"/>
      <c r="Q81" s="491">
        <f>R81+T81</f>
        <v>0</v>
      </c>
      <c r="R81" s="492"/>
      <c r="S81" s="492"/>
      <c r="T81" s="493"/>
      <c r="U81" s="142"/>
      <c r="V81" s="142"/>
    </row>
    <row r="82" spans="1:22" ht="15.75" customHeight="1" thickBot="1">
      <c r="A82" s="833"/>
      <c r="B82" s="801"/>
      <c r="C82" s="799"/>
      <c r="D82" s="787"/>
      <c r="E82" s="767"/>
      <c r="F82" s="764"/>
      <c r="G82" s="771"/>
      <c r="H82" s="449" t="s">
        <v>20</v>
      </c>
      <c r="I82" s="423">
        <f>SUM(I80:I81)</f>
        <v>495.1</v>
      </c>
      <c r="J82" s="425">
        <f>SUM(J80,J81)</f>
        <v>0</v>
      </c>
      <c r="K82" s="425">
        <f>SUM(K80,K81)</f>
        <v>0</v>
      </c>
      <c r="L82" s="426">
        <f>SUM(L80,L81)</f>
        <v>495.1</v>
      </c>
      <c r="M82" s="423">
        <f>SUM(M80:M81)</f>
        <v>0</v>
      </c>
      <c r="N82" s="425">
        <f>SUM(N80,N81)</f>
        <v>0</v>
      </c>
      <c r="O82" s="425">
        <f>SUM(O80,O81)</f>
        <v>0</v>
      </c>
      <c r="P82" s="426">
        <f>SUM(P80,P81)</f>
        <v>0</v>
      </c>
      <c r="Q82" s="423">
        <f>SUM(Q80:Q81)</f>
        <v>0</v>
      </c>
      <c r="R82" s="425">
        <f>SUM(R80,R81)</f>
        <v>0</v>
      </c>
      <c r="S82" s="425">
        <f>SUM(S80,S81)</f>
        <v>0</v>
      </c>
      <c r="T82" s="426">
        <f>SUM(T80,T81)</f>
        <v>0</v>
      </c>
      <c r="U82" s="450">
        <f>SUM(U80,U81)</f>
        <v>0</v>
      </c>
      <c r="V82" s="450">
        <f>SUM(V80,V81)</f>
        <v>0</v>
      </c>
    </row>
    <row r="83" spans="1:22" ht="15.75" customHeight="1" thickBot="1">
      <c r="A83" s="27" t="s">
        <v>8</v>
      </c>
      <c r="B83" s="7" t="s">
        <v>8</v>
      </c>
      <c r="C83" s="1018" t="s">
        <v>19</v>
      </c>
      <c r="D83" s="1019"/>
      <c r="E83" s="1019"/>
      <c r="F83" s="1019"/>
      <c r="G83" s="1019"/>
      <c r="H83" s="1019"/>
      <c r="I83" s="174">
        <f aca="true" t="shared" si="24" ref="I83:V83">SUM(I82,I79,I74,I69,I65,I62,I56,I51,I43,I35,I27,I19)</f>
        <v>22363.199999999997</v>
      </c>
      <c r="J83" s="360">
        <f t="shared" si="24"/>
        <v>16.599999999999998</v>
      </c>
      <c r="K83" s="360">
        <f t="shared" si="24"/>
        <v>0</v>
      </c>
      <c r="L83" s="362">
        <f t="shared" si="24"/>
        <v>22346.6</v>
      </c>
      <c r="M83" s="174">
        <f t="shared" si="24"/>
        <v>19804.1</v>
      </c>
      <c r="N83" s="360">
        <f t="shared" si="24"/>
        <v>0</v>
      </c>
      <c r="O83" s="360">
        <f t="shared" si="24"/>
        <v>0</v>
      </c>
      <c r="P83" s="362">
        <f t="shared" si="24"/>
        <v>19804.1</v>
      </c>
      <c r="Q83" s="174">
        <f>SUM(Q82,Q79,Q74,Q69,Q65,Q62,Q56,Q51,Q43,Q35,Q27,Q19)</f>
        <v>18561.399999999998</v>
      </c>
      <c r="R83" s="360">
        <f t="shared" si="24"/>
        <v>0</v>
      </c>
      <c r="S83" s="360">
        <f t="shared" si="24"/>
        <v>0</v>
      </c>
      <c r="T83" s="361">
        <f t="shared" si="24"/>
        <v>18561.399999999998</v>
      </c>
      <c r="U83" s="363">
        <f t="shared" si="24"/>
        <v>28482.7</v>
      </c>
      <c r="V83" s="169">
        <f t="shared" si="24"/>
        <v>20524.8</v>
      </c>
    </row>
    <row r="84" spans="1:22" ht="15.75" customHeight="1" thickBot="1">
      <c r="A84" s="28" t="s">
        <v>8</v>
      </c>
      <c r="B84" s="23" t="s">
        <v>9</v>
      </c>
      <c r="C84" s="857" t="s">
        <v>49</v>
      </c>
      <c r="D84" s="858"/>
      <c r="E84" s="858"/>
      <c r="F84" s="858"/>
      <c r="G84" s="858"/>
      <c r="H84" s="858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8"/>
      <c r="V84" s="860"/>
    </row>
    <row r="85" spans="1:22" ht="15.75" customHeight="1">
      <c r="A85" s="854" t="s">
        <v>8</v>
      </c>
      <c r="B85" s="821" t="s">
        <v>9</v>
      </c>
      <c r="C85" s="851" t="s">
        <v>8</v>
      </c>
      <c r="D85" s="783" t="s">
        <v>222</v>
      </c>
      <c r="E85" s="518" t="s">
        <v>22</v>
      </c>
      <c r="F85" s="794" t="s">
        <v>12</v>
      </c>
      <c r="G85" s="788" t="s">
        <v>145</v>
      </c>
      <c r="H85" s="314" t="s">
        <v>11</v>
      </c>
      <c r="I85" s="128">
        <f>J85+L85</f>
        <v>0</v>
      </c>
      <c r="J85" s="129"/>
      <c r="K85" s="129"/>
      <c r="L85" s="130"/>
      <c r="M85" s="163">
        <f>N85+P85</f>
        <v>0</v>
      </c>
      <c r="N85" s="129"/>
      <c r="O85" s="129"/>
      <c r="P85" s="130"/>
      <c r="Q85" s="434">
        <f>R85+T85</f>
        <v>0</v>
      </c>
      <c r="R85" s="435"/>
      <c r="S85" s="435"/>
      <c r="T85" s="436"/>
      <c r="U85" s="315"/>
      <c r="V85" s="316"/>
    </row>
    <row r="86" spans="1:22" ht="15.75" customHeight="1">
      <c r="A86" s="855"/>
      <c r="B86" s="822"/>
      <c r="C86" s="852"/>
      <c r="D86" s="784"/>
      <c r="E86" s="861" t="s">
        <v>137</v>
      </c>
      <c r="F86" s="795"/>
      <c r="G86" s="789"/>
      <c r="H86" s="297" t="s">
        <v>186</v>
      </c>
      <c r="I86" s="134">
        <f>J86+L86</f>
        <v>0</v>
      </c>
      <c r="J86" s="135"/>
      <c r="K86" s="135"/>
      <c r="L86" s="136"/>
      <c r="M86" s="167">
        <f>N86+P86</f>
        <v>69</v>
      </c>
      <c r="N86" s="135"/>
      <c r="O86" s="135"/>
      <c r="P86" s="136">
        <v>69</v>
      </c>
      <c r="Q86" s="437">
        <f>R86+T86</f>
        <v>69</v>
      </c>
      <c r="R86" s="438"/>
      <c r="S86" s="438"/>
      <c r="T86" s="439">
        <v>69</v>
      </c>
      <c r="U86" s="170"/>
      <c r="V86" s="171"/>
    </row>
    <row r="87" spans="1:22" ht="15.75" customHeight="1">
      <c r="A87" s="855"/>
      <c r="B87" s="822"/>
      <c r="C87" s="852"/>
      <c r="D87" s="784"/>
      <c r="E87" s="862"/>
      <c r="F87" s="795"/>
      <c r="G87" s="789"/>
      <c r="H87" s="317" t="s">
        <v>18</v>
      </c>
      <c r="I87" s="152">
        <f>J87+L87</f>
        <v>5834.9</v>
      </c>
      <c r="J87" s="155"/>
      <c r="K87" s="155"/>
      <c r="L87" s="156">
        <v>5834.9</v>
      </c>
      <c r="M87" s="318">
        <f>N87+P87</f>
        <v>9954</v>
      </c>
      <c r="N87" s="155"/>
      <c r="O87" s="155"/>
      <c r="P87" s="156">
        <v>9954</v>
      </c>
      <c r="Q87" s="440">
        <f>R87+T87</f>
        <v>9954</v>
      </c>
      <c r="R87" s="441"/>
      <c r="S87" s="441"/>
      <c r="T87" s="442">
        <v>9954</v>
      </c>
      <c r="U87" s="319"/>
      <c r="V87" s="320"/>
    </row>
    <row r="88" spans="1:22" ht="15.75" customHeight="1" thickBot="1">
      <c r="A88" s="856"/>
      <c r="B88" s="823"/>
      <c r="C88" s="853"/>
      <c r="D88" s="785"/>
      <c r="E88" s="863"/>
      <c r="F88" s="796"/>
      <c r="G88" s="790"/>
      <c r="H88" s="428" t="s">
        <v>20</v>
      </c>
      <c r="I88" s="429">
        <f aca="true" t="shared" si="25" ref="I88:V88">SUM(I85:I87)</f>
        <v>5834.9</v>
      </c>
      <c r="J88" s="430">
        <f t="shared" si="25"/>
        <v>0</v>
      </c>
      <c r="K88" s="430">
        <f t="shared" si="25"/>
        <v>0</v>
      </c>
      <c r="L88" s="431">
        <f t="shared" si="25"/>
        <v>5834.9</v>
      </c>
      <c r="M88" s="429">
        <f t="shared" si="25"/>
        <v>10023</v>
      </c>
      <c r="N88" s="430">
        <f t="shared" si="25"/>
        <v>0</v>
      </c>
      <c r="O88" s="430">
        <f t="shared" si="25"/>
        <v>0</v>
      </c>
      <c r="P88" s="431">
        <f t="shared" si="25"/>
        <v>10023</v>
      </c>
      <c r="Q88" s="429">
        <f t="shared" si="25"/>
        <v>10023</v>
      </c>
      <c r="R88" s="430">
        <f t="shared" si="25"/>
        <v>0</v>
      </c>
      <c r="S88" s="430">
        <f t="shared" si="25"/>
        <v>0</v>
      </c>
      <c r="T88" s="431">
        <f t="shared" si="25"/>
        <v>10023</v>
      </c>
      <c r="U88" s="432">
        <f t="shared" si="25"/>
        <v>0</v>
      </c>
      <c r="V88" s="433">
        <f t="shared" si="25"/>
        <v>0</v>
      </c>
    </row>
    <row r="89" spans="1:22" ht="15.75" customHeight="1">
      <c r="A89" s="832" t="s">
        <v>8</v>
      </c>
      <c r="B89" s="800" t="s">
        <v>9</v>
      </c>
      <c r="C89" s="797" t="s">
        <v>9</v>
      </c>
      <c r="D89" s="776" t="s">
        <v>290</v>
      </c>
      <c r="E89" s="515" t="s">
        <v>22</v>
      </c>
      <c r="F89" s="768" t="s">
        <v>12</v>
      </c>
      <c r="G89" s="770" t="s">
        <v>145</v>
      </c>
      <c r="H89" s="94" t="s">
        <v>11</v>
      </c>
      <c r="I89" s="128">
        <f>J89+L89</f>
        <v>0</v>
      </c>
      <c r="J89" s="161"/>
      <c r="K89" s="161"/>
      <c r="L89" s="162"/>
      <c r="M89" s="128">
        <f>N89+P89</f>
        <v>0</v>
      </c>
      <c r="N89" s="148"/>
      <c r="O89" s="148"/>
      <c r="P89" s="153"/>
      <c r="Q89" s="443">
        <f>R89+T89</f>
        <v>0</v>
      </c>
      <c r="R89" s="444"/>
      <c r="S89" s="444"/>
      <c r="T89" s="445"/>
      <c r="U89" s="133"/>
      <c r="V89" s="133"/>
    </row>
    <row r="90" spans="1:22" ht="15.75" customHeight="1">
      <c r="A90" s="833"/>
      <c r="B90" s="801"/>
      <c r="C90" s="798"/>
      <c r="D90" s="775"/>
      <c r="E90" s="806" t="s">
        <v>140</v>
      </c>
      <c r="F90" s="763"/>
      <c r="G90" s="771"/>
      <c r="H90" s="94" t="s">
        <v>53</v>
      </c>
      <c r="I90" s="134">
        <f>J90+L90</f>
        <v>0</v>
      </c>
      <c r="J90" s="135"/>
      <c r="K90" s="135"/>
      <c r="L90" s="136"/>
      <c r="M90" s="134">
        <f>N90+P90</f>
        <v>3000</v>
      </c>
      <c r="N90" s="148"/>
      <c r="O90" s="148"/>
      <c r="P90" s="153">
        <v>3000</v>
      </c>
      <c r="Q90" s="689">
        <f>R90+T90</f>
        <v>1300</v>
      </c>
      <c r="R90" s="438"/>
      <c r="S90" s="438"/>
      <c r="T90" s="688">
        <f>3000-1700</f>
        <v>1300</v>
      </c>
      <c r="U90" s="154">
        <v>6001.4</v>
      </c>
      <c r="V90" s="138"/>
    </row>
    <row r="91" spans="1:22" ht="15.75" customHeight="1" thickBot="1">
      <c r="A91" s="834"/>
      <c r="B91" s="802"/>
      <c r="C91" s="799"/>
      <c r="D91" s="769"/>
      <c r="E91" s="807"/>
      <c r="F91" s="764"/>
      <c r="G91" s="772"/>
      <c r="H91" s="422" t="s">
        <v>20</v>
      </c>
      <c r="I91" s="423">
        <f aca="true" t="shared" si="26" ref="I91:V91">SUM(I89:I90)</f>
        <v>0</v>
      </c>
      <c r="J91" s="424">
        <f t="shared" si="26"/>
        <v>0</v>
      </c>
      <c r="K91" s="425">
        <f t="shared" si="26"/>
        <v>0</v>
      </c>
      <c r="L91" s="426">
        <f t="shared" si="26"/>
        <v>0</v>
      </c>
      <c r="M91" s="423">
        <f t="shared" si="26"/>
        <v>3000</v>
      </c>
      <c r="N91" s="424">
        <f t="shared" si="26"/>
        <v>0</v>
      </c>
      <c r="O91" s="425">
        <f t="shared" si="26"/>
        <v>0</v>
      </c>
      <c r="P91" s="426">
        <f t="shared" si="26"/>
        <v>3000</v>
      </c>
      <c r="Q91" s="423">
        <f t="shared" si="26"/>
        <v>1300</v>
      </c>
      <c r="R91" s="424">
        <f t="shared" si="26"/>
        <v>0</v>
      </c>
      <c r="S91" s="425">
        <f t="shared" si="26"/>
        <v>0</v>
      </c>
      <c r="T91" s="426">
        <f t="shared" si="26"/>
        <v>1300</v>
      </c>
      <c r="U91" s="427">
        <f t="shared" si="26"/>
        <v>6001.4</v>
      </c>
      <c r="V91" s="427">
        <f t="shared" si="26"/>
        <v>0</v>
      </c>
    </row>
    <row r="92" spans="1:22" ht="15.75" customHeight="1" thickBot="1">
      <c r="A92" s="27" t="s">
        <v>8</v>
      </c>
      <c r="B92" s="7" t="s">
        <v>9</v>
      </c>
      <c r="C92" s="843" t="s">
        <v>19</v>
      </c>
      <c r="D92" s="844"/>
      <c r="E92" s="844"/>
      <c r="F92" s="844"/>
      <c r="G92" s="844"/>
      <c r="H92" s="844"/>
      <c r="I92" s="174">
        <f>SUM(I91,I88)</f>
        <v>5834.9</v>
      </c>
      <c r="J92" s="360">
        <f aca="true" t="shared" si="27" ref="J92:V92">SUM(J91,J88)</f>
        <v>0</v>
      </c>
      <c r="K92" s="360">
        <f t="shared" si="27"/>
        <v>0</v>
      </c>
      <c r="L92" s="361">
        <f t="shared" si="27"/>
        <v>5834.9</v>
      </c>
      <c r="M92" s="359">
        <f t="shared" si="27"/>
        <v>13023</v>
      </c>
      <c r="N92" s="360">
        <f t="shared" si="27"/>
        <v>0</v>
      </c>
      <c r="O92" s="360">
        <f t="shared" si="27"/>
        <v>0</v>
      </c>
      <c r="P92" s="362">
        <f t="shared" si="27"/>
        <v>13023</v>
      </c>
      <c r="Q92" s="174">
        <f t="shared" si="27"/>
        <v>11323</v>
      </c>
      <c r="R92" s="360">
        <f t="shared" si="27"/>
        <v>0</v>
      </c>
      <c r="S92" s="360">
        <f t="shared" si="27"/>
        <v>0</v>
      </c>
      <c r="T92" s="361">
        <f t="shared" si="27"/>
        <v>11323</v>
      </c>
      <c r="U92" s="359">
        <f t="shared" si="27"/>
        <v>6001.4</v>
      </c>
      <c r="V92" s="174">
        <f t="shared" si="27"/>
        <v>0</v>
      </c>
    </row>
    <row r="93" spans="1:22" ht="15.75" customHeight="1" thickBot="1">
      <c r="A93" s="6" t="s">
        <v>8</v>
      </c>
      <c r="B93" s="7" t="s">
        <v>10</v>
      </c>
      <c r="C93" s="1014" t="s">
        <v>180</v>
      </c>
      <c r="D93" s="1015"/>
      <c r="E93" s="1015"/>
      <c r="F93" s="1015"/>
      <c r="G93" s="1015"/>
      <c r="H93" s="1015"/>
      <c r="I93" s="1016"/>
      <c r="J93" s="1016"/>
      <c r="K93" s="1016"/>
      <c r="L93" s="1016"/>
      <c r="M93" s="1016"/>
      <c r="N93" s="1016"/>
      <c r="O93" s="1016"/>
      <c r="P93" s="1016"/>
      <c r="Q93" s="1016"/>
      <c r="R93" s="1016"/>
      <c r="S93" s="1016"/>
      <c r="T93" s="1016"/>
      <c r="U93" s="1015"/>
      <c r="V93" s="1017"/>
    </row>
    <row r="94" spans="1:22" ht="16.5" customHeight="1">
      <c r="A94" s="832" t="s">
        <v>8</v>
      </c>
      <c r="B94" s="800" t="s">
        <v>10</v>
      </c>
      <c r="C94" s="791" t="s">
        <v>8</v>
      </c>
      <c r="D94" s="294" t="s">
        <v>174</v>
      </c>
      <c r="E94" s="762"/>
      <c r="F94" s="678" t="s">
        <v>12</v>
      </c>
      <c r="G94" s="788" t="s">
        <v>146</v>
      </c>
      <c r="H94" s="308" t="s">
        <v>11</v>
      </c>
      <c r="I94" s="194">
        <f>J94+L94</f>
        <v>265.7</v>
      </c>
      <c r="J94" s="172">
        <v>265.7</v>
      </c>
      <c r="K94" s="172"/>
      <c r="L94" s="173"/>
      <c r="M94" s="194">
        <f>N94+P94</f>
        <v>6215.3</v>
      </c>
      <c r="N94" s="176">
        <f>6145.3+70</f>
        <v>6215.3</v>
      </c>
      <c r="O94" s="176"/>
      <c r="P94" s="277"/>
      <c r="Q94" s="395">
        <f>R94+T94</f>
        <v>1110.8</v>
      </c>
      <c r="R94" s="396">
        <f>179+45.2+871.6+15</f>
        <v>1110.8</v>
      </c>
      <c r="S94" s="396"/>
      <c r="T94" s="397"/>
      <c r="U94" s="179">
        <f>179+45.2+303</f>
        <v>527.2</v>
      </c>
      <c r="V94" s="179">
        <f>179+45.2+303</f>
        <v>527.2</v>
      </c>
    </row>
    <row r="95" spans="1:22" ht="16.5" customHeight="1">
      <c r="A95" s="833"/>
      <c r="B95" s="801"/>
      <c r="C95" s="792"/>
      <c r="D95" s="280" t="s">
        <v>223</v>
      </c>
      <c r="E95" s="761"/>
      <c r="F95" s="679" t="s">
        <v>39</v>
      </c>
      <c r="G95" s="789"/>
      <c r="H95" s="297" t="s">
        <v>11</v>
      </c>
      <c r="I95" s="197">
        <f>J95+L95</f>
        <v>50</v>
      </c>
      <c r="J95" s="206">
        <v>50</v>
      </c>
      <c r="K95" s="206"/>
      <c r="L95" s="207"/>
      <c r="M95" s="197">
        <f>N95+P95</f>
        <v>1969</v>
      </c>
      <c r="N95" s="203">
        <v>1969</v>
      </c>
      <c r="O95" s="203"/>
      <c r="P95" s="204"/>
      <c r="Q95" s="398">
        <f>R95+T95</f>
        <v>45</v>
      </c>
      <c r="R95" s="413">
        <v>45</v>
      </c>
      <c r="S95" s="413"/>
      <c r="T95" s="414"/>
      <c r="U95" s="196">
        <v>45</v>
      </c>
      <c r="V95" s="196">
        <v>45</v>
      </c>
    </row>
    <row r="96" spans="1:22" ht="16.5" customHeight="1">
      <c r="A96" s="833"/>
      <c r="B96" s="801"/>
      <c r="C96" s="792"/>
      <c r="D96" s="682" t="s">
        <v>224</v>
      </c>
      <c r="E96" s="761"/>
      <c r="F96" s="680" t="s">
        <v>16</v>
      </c>
      <c r="G96" s="789"/>
      <c r="H96" s="296" t="s">
        <v>11</v>
      </c>
      <c r="I96" s="197">
        <f>J96+L96</f>
        <v>15495.7</v>
      </c>
      <c r="J96" s="206">
        <v>15495.7</v>
      </c>
      <c r="K96" s="206"/>
      <c r="L96" s="207"/>
      <c r="M96" s="197">
        <f>N96+P96</f>
        <v>14584.7</v>
      </c>
      <c r="N96" s="206">
        <v>14584.7</v>
      </c>
      <c r="O96" s="206"/>
      <c r="P96" s="278"/>
      <c r="Q96" s="684">
        <f>R96+T96</f>
        <v>16265.9</v>
      </c>
      <c r="R96" s="683">
        <f>13752.5+2513.4</f>
        <v>16265.9</v>
      </c>
      <c r="S96" s="413"/>
      <c r="T96" s="414"/>
      <c r="U96" s="196">
        <v>15500</v>
      </c>
      <c r="V96" s="196">
        <v>15500</v>
      </c>
    </row>
    <row r="97" spans="1:22" ht="16.5" customHeight="1">
      <c r="A97" s="833"/>
      <c r="B97" s="801"/>
      <c r="C97" s="792"/>
      <c r="D97" s="280" t="s">
        <v>225</v>
      </c>
      <c r="E97" s="761"/>
      <c r="F97" s="680"/>
      <c r="G97" s="789"/>
      <c r="H97" s="303"/>
      <c r="I97" s="195"/>
      <c r="J97" s="195"/>
      <c r="K97" s="195"/>
      <c r="L97" s="182"/>
      <c r="M97" s="195"/>
      <c r="N97" s="195"/>
      <c r="O97" s="195"/>
      <c r="P97" s="210"/>
      <c r="Q97" s="447"/>
      <c r="R97" s="416"/>
      <c r="S97" s="416"/>
      <c r="T97" s="418"/>
      <c r="U97" s="183"/>
      <c r="V97" s="183"/>
    </row>
    <row r="98" spans="1:22" ht="27" customHeight="1">
      <c r="A98" s="833"/>
      <c r="B98" s="801"/>
      <c r="C98" s="792"/>
      <c r="D98" s="280" t="s">
        <v>226</v>
      </c>
      <c r="E98" s="761"/>
      <c r="F98" s="680"/>
      <c r="G98" s="789"/>
      <c r="H98" s="303"/>
      <c r="I98" s="195"/>
      <c r="J98" s="195"/>
      <c r="K98" s="195"/>
      <c r="L98" s="182"/>
      <c r="M98" s="195"/>
      <c r="N98" s="195"/>
      <c r="O98" s="195"/>
      <c r="P98" s="210"/>
      <c r="Q98" s="447"/>
      <c r="R98" s="416"/>
      <c r="S98" s="416"/>
      <c r="T98" s="418"/>
      <c r="U98" s="183"/>
      <c r="V98" s="183"/>
    </row>
    <row r="99" spans="1:22" ht="15.75" customHeight="1">
      <c r="A99" s="833"/>
      <c r="B99" s="801"/>
      <c r="C99" s="792"/>
      <c r="D99" s="305" t="s">
        <v>184</v>
      </c>
      <c r="E99" s="761"/>
      <c r="F99" s="680"/>
      <c r="G99" s="789"/>
      <c r="H99" s="303"/>
      <c r="I99" s="195"/>
      <c r="J99" s="195"/>
      <c r="K99" s="195"/>
      <c r="L99" s="182"/>
      <c r="M99" s="195"/>
      <c r="N99" s="195"/>
      <c r="O99" s="195"/>
      <c r="P99" s="279"/>
      <c r="Q99" s="447"/>
      <c r="R99" s="416"/>
      <c r="S99" s="416"/>
      <c r="T99" s="448"/>
      <c r="U99" s="183"/>
      <c r="V99" s="183"/>
    </row>
    <row r="100" spans="1:22" ht="15.75" customHeight="1" thickBot="1">
      <c r="A100" s="834"/>
      <c r="B100" s="802"/>
      <c r="C100" s="793"/>
      <c r="E100" s="760"/>
      <c r="F100" s="681"/>
      <c r="G100" s="790"/>
      <c r="H100" s="381" t="s">
        <v>20</v>
      </c>
      <c r="I100" s="388">
        <f>SUM(I94:I99)</f>
        <v>15811.400000000001</v>
      </c>
      <c r="J100" s="390">
        <f aca="true" t="shared" si="28" ref="J100:V100">SUM(J94:J99)</f>
        <v>15811.400000000001</v>
      </c>
      <c r="K100" s="390">
        <f t="shared" si="28"/>
        <v>0</v>
      </c>
      <c r="L100" s="405">
        <f t="shared" si="28"/>
        <v>0</v>
      </c>
      <c r="M100" s="388">
        <f t="shared" si="28"/>
        <v>22769</v>
      </c>
      <c r="N100" s="390">
        <f t="shared" si="28"/>
        <v>22769</v>
      </c>
      <c r="O100" s="390">
        <f t="shared" si="28"/>
        <v>0</v>
      </c>
      <c r="P100" s="405">
        <f t="shared" si="28"/>
        <v>0</v>
      </c>
      <c r="Q100" s="388">
        <f t="shared" si="28"/>
        <v>17421.7</v>
      </c>
      <c r="R100" s="390">
        <f t="shared" si="28"/>
        <v>17421.7</v>
      </c>
      <c r="S100" s="390">
        <f t="shared" si="28"/>
        <v>0</v>
      </c>
      <c r="T100" s="405">
        <f t="shared" si="28"/>
        <v>0</v>
      </c>
      <c r="U100" s="388">
        <f t="shared" si="28"/>
        <v>16072.2</v>
      </c>
      <c r="V100" s="388">
        <f t="shared" si="28"/>
        <v>16072.2</v>
      </c>
    </row>
    <row r="101" spans="1:22" ht="15.75" customHeight="1">
      <c r="A101" s="832" t="s">
        <v>8</v>
      </c>
      <c r="B101" s="800" t="s">
        <v>10</v>
      </c>
      <c r="C101" s="838" t="s">
        <v>9</v>
      </c>
      <c r="D101" s="786" t="s">
        <v>54</v>
      </c>
      <c r="E101" s="1020" t="s">
        <v>22</v>
      </c>
      <c r="F101" s="1005" t="s">
        <v>12</v>
      </c>
      <c r="G101" s="845" t="s">
        <v>145</v>
      </c>
      <c r="H101" s="302" t="s">
        <v>11</v>
      </c>
      <c r="I101" s="194">
        <f>J101+L101</f>
        <v>0</v>
      </c>
      <c r="J101" s="172"/>
      <c r="K101" s="172"/>
      <c r="L101" s="173"/>
      <c r="M101" s="194">
        <f>N101+P101</f>
        <v>0</v>
      </c>
      <c r="N101" s="172"/>
      <c r="O101" s="172"/>
      <c r="P101" s="209"/>
      <c r="Q101" s="395">
        <f>R101+T101</f>
        <v>0</v>
      </c>
      <c r="R101" s="396"/>
      <c r="S101" s="396"/>
      <c r="T101" s="397"/>
      <c r="U101" s="179"/>
      <c r="V101" s="179"/>
    </row>
    <row r="102" spans="1:22" ht="15.75" customHeight="1">
      <c r="A102" s="833"/>
      <c r="B102" s="801"/>
      <c r="C102" s="839"/>
      <c r="D102" s="787"/>
      <c r="E102" s="1021"/>
      <c r="F102" s="1006"/>
      <c r="G102" s="846"/>
      <c r="H102" s="296" t="s">
        <v>18</v>
      </c>
      <c r="I102" s="195">
        <f>J102+L102</f>
        <v>0</v>
      </c>
      <c r="J102" s="181"/>
      <c r="K102" s="181"/>
      <c r="L102" s="182"/>
      <c r="M102" s="195">
        <f>N102+P102</f>
        <v>7875</v>
      </c>
      <c r="N102" s="181"/>
      <c r="O102" s="181"/>
      <c r="P102" s="210">
        <v>7875</v>
      </c>
      <c r="Q102" s="447">
        <f>R102+T102</f>
        <v>7875</v>
      </c>
      <c r="R102" s="417"/>
      <c r="S102" s="417"/>
      <c r="T102" s="418">
        <v>7875</v>
      </c>
      <c r="U102" s="183"/>
      <c r="V102" s="183"/>
    </row>
    <row r="103" spans="1:22" ht="15.75" customHeight="1">
      <c r="A103" s="833"/>
      <c r="B103" s="801"/>
      <c r="C103" s="839"/>
      <c r="D103" s="787"/>
      <c r="E103" s="1021"/>
      <c r="F103" s="1006"/>
      <c r="G103" s="846"/>
      <c r="H103" s="300" t="s">
        <v>30</v>
      </c>
      <c r="I103" s="197">
        <f>J103+L103</f>
        <v>0</v>
      </c>
      <c r="J103" s="206"/>
      <c r="K103" s="206"/>
      <c r="L103" s="207"/>
      <c r="M103" s="197">
        <f>N103+P103</f>
        <v>3289.7</v>
      </c>
      <c r="N103" s="206"/>
      <c r="O103" s="206"/>
      <c r="P103" s="278">
        <v>3289.7</v>
      </c>
      <c r="Q103" s="398">
        <f>R103+T103</f>
        <v>3289.7</v>
      </c>
      <c r="R103" s="413"/>
      <c r="S103" s="413"/>
      <c r="T103" s="414">
        <v>3289.7</v>
      </c>
      <c r="U103" s="196"/>
      <c r="V103" s="196"/>
    </row>
    <row r="104" spans="1:22" ht="15.75" customHeight="1" thickBot="1">
      <c r="A104" s="834"/>
      <c r="B104" s="802"/>
      <c r="C104" s="840"/>
      <c r="D104" s="777"/>
      <c r="E104" s="1022"/>
      <c r="F104" s="1007"/>
      <c r="G104" s="847"/>
      <c r="H104" s="381" t="s">
        <v>20</v>
      </c>
      <c r="I104" s="382">
        <f aca="true" t="shared" si="29" ref="I104:V104">SUM(I101:I103)</f>
        <v>0</v>
      </c>
      <c r="J104" s="420">
        <f t="shared" si="29"/>
        <v>0</v>
      </c>
      <c r="K104" s="420">
        <f t="shared" si="29"/>
        <v>0</v>
      </c>
      <c r="L104" s="384">
        <f t="shared" si="29"/>
        <v>0</v>
      </c>
      <c r="M104" s="382">
        <f t="shared" si="29"/>
        <v>11164.7</v>
      </c>
      <c r="N104" s="420">
        <f t="shared" si="29"/>
        <v>0</v>
      </c>
      <c r="O104" s="420">
        <f t="shared" si="29"/>
        <v>0</v>
      </c>
      <c r="P104" s="421">
        <f t="shared" si="29"/>
        <v>11164.7</v>
      </c>
      <c r="Q104" s="382">
        <f t="shared" si="29"/>
        <v>11164.7</v>
      </c>
      <c r="R104" s="420">
        <f t="shared" si="29"/>
        <v>0</v>
      </c>
      <c r="S104" s="420">
        <f t="shared" si="29"/>
        <v>0</v>
      </c>
      <c r="T104" s="384">
        <f t="shared" si="29"/>
        <v>11164.7</v>
      </c>
      <c r="U104" s="393">
        <f t="shared" si="29"/>
        <v>0</v>
      </c>
      <c r="V104" s="393">
        <f t="shared" si="29"/>
        <v>0</v>
      </c>
    </row>
    <row r="105" spans="1:22" ht="15.75" customHeight="1" thickBot="1">
      <c r="A105" s="6" t="s">
        <v>8</v>
      </c>
      <c r="B105" s="7" t="s">
        <v>10</v>
      </c>
      <c r="C105" s="843" t="s">
        <v>19</v>
      </c>
      <c r="D105" s="844"/>
      <c r="E105" s="844"/>
      <c r="F105" s="844"/>
      <c r="G105" s="844"/>
      <c r="H105" s="844"/>
      <c r="I105" s="288">
        <f>SUM(I104,I100)</f>
        <v>15811.400000000001</v>
      </c>
      <c r="J105" s="356">
        <f aca="true" t="shared" si="30" ref="J105:V105">SUM(J104,J100)</f>
        <v>15811.400000000001</v>
      </c>
      <c r="K105" s="356">
        <f t="shared" si="30"/>
        <v>0</v>
      </c>
      <c r="L105" s="358">
        <f t="shared" si="30"/>
        <v>0</v>
      </c>
      <c r="M105" s="288">
        <f t="shared" si="30"/>
        <v>33933.7</v>
      </c>
      <c r="N105" s="356">
        <f t="shared" si="30"/>
        <v>22769</v>
      </c>
      <c r="O105" s="356">
        <f t="shared" si="30"/>
        <v>0</v>
      </c>
      <c r="P105" s="358">
        <f t="shared" si="30"/>
        <v>11164.7</v>
      </c>
      <c r="Q105" s="288">
        <f t="shared" si="30"/>
        <v>28586.4</v>
      </c>
      <c r="R105" s="356">
        <f t="shared" si="30"/>
        <v>17421.7</v>
      </c>
      <c r="S105" s="356">
        <f t="shared" si="30"/>
        <v>0</v>
      </c>
      <c r="T105" s="357">
        <f t="shared" si="30"/>
        <v>11164.7</v>
      </c>
      <c r="U105" s="355">
        <f t="shared" si="30"/>
        <v>16072.2</v>
      </c>
      <c r="V105" s="288">
        <f t="shared" si="30"/>
        <v>16072.2</v>
      </c>
    </row>
    <row r="106" spans="1:22" ht="15.75" customHeight="1" thickBot="1">
      <c r="A106" s="6" t="s">
        <v>8</v>
      </c>
      <c r="B106" s="7" t="s">
        <v>12</v>
      </c>
      <c r="C106" s="1014" t="s">
        <v>181</v>
      </c>
      <c r="D106" s="1015"/>
      <c r="E106" s="1015"/>
      <c r="F106" s="1015"/>
      <c r="G106" s="1015"/>
      <c r="H106" s="1015"/>
      <c r="I106" s="1016"/>
      <c r="J106" s="1016"/>
      <c r="K106" s="1016"/>
      <c r="L106" s="1016"/>
      <c r="M106" s="1016"/>
      <c r="N106" s="1016"/>
      <c r="O106" s="1016"/>
      <c r="P106" s="1016"/>
      <c r="Q106" s="1016"/>
      <c r="R106" s="1016"/>
      <c r="S106" s="1016"/>
      <c r="T106" s="1016"/>
      <c r="U106" s="1015"/>
      <c r="V106" s="1017"/>
    </row>
    <row r="107" spans="1:22" ht="15.75" customHeight="1">
      <c r="A107" s="832" t="s">
        <v>8</v>
      </c>
      <c r="B107" s="800" t="s">
        <v>12</v>
      </c>
      <c r="C107" s="797" t="s">
        <v>8</v>
      </c>
      <c r="D107" s="848" t="s">
        <v>182</v>
      </c>
      <c r="E107" s="762"/>
      <c r="F107" s="759" t="s">
        <v>12</v>
      </c>
      <c r="G107" s="788" t="s">
        <v>146</v>
      </c>
      <c r="H107" s="299" t="s">
        <v>11</v>
      </c>
      <c r="I107" s="175">
        <f>J107+L107</f>
        <v>212.4</v>
      </c>
      <c r="J107" s="172">
        <v>212.4</v>
      </c>
      <c r="K107" s="209"/>
      <c r="L107" s="173"/>
      <c r="M107" s="194">
        <f>N107+P107</f>
        <v>917.7</v>
      </c>
      <c r="N107" s="172">
        <f>324.4+253.3</f>
        <v>577.7</v>
      </c>
      <c r="O107" s="172"/>
      <c r="P107" s="173">
        <v>340</v>
      </c>
      <c r="Q107" s="746">
        <f>R107+T107</f>
        <v>46.19999999999999</v>
      </c>
      <c r="R107" s="702">
        <f>191.2-145</f>
        <v>46.19999999999999</v>
      </c>
      <c r="S107" s="402"/>
      <c r="T107" s="397"/>
      <c r="U107" s="377">
        <v>191.2</v>
      </c>
      <c r="V107" s="199">
        <v>191.2</v>
      </c>
    </row>
    <row r="108" spans="1:22" ht="15.75" customHeight="1">
      <c r="A108" s="833"/>
      <c r="B108" s="801"/>
      <c r="C108" s="798"/>
      <c r="D108" s="849"/>
      <c r="E108" s="761"/>
      <c r="F108" s="757"/>
      <c r="G108" s="789"/>
      <c r="H108" s="124" t="s">
        <v>53</v>
      </c>
      <c r="I108" s="191">
        <f>J108+L108</f>
        <v>642.7</v>
      </c>
      <c r="J108" s="189">
        <v>642.7</v>
      </c>
      <c r="K108" s="189"/>
      <c r="L108" s="190"/>
      <c r="M108" s="191">
        <f>N108+P108</f>
        <v>1100</v>
      </c>
      <c r="N108" s="189">
        <v>1100</v>
      </c>
      <c r="O108" s="189"/>
      <c r="P108" s="190"/>
      <c r="Q108" s="700">
        <f>R108+T108</f>
        <v>671.2</v>
      </c>
      <c r="R108" s="696">
        <f>528.4+142.8</f>
        <v>671.2</v>
      </c>
      <c r="S108" s="399"/>
      <c r="T108" s="400"/>
      <c r="U108" s="290">
        <v>601.5</v>
      </c>
      <c r="V108" s="193">
        <v>601.5</v>
      </c>
    </row>
    <row r="109" spans="1:22" ht="15.75" customHeight="1" thickBot="1">
      <c r="A109" s="834"/>
      <c r="B109" s="802"/>
      <c r="C109" s="799"/>
      <c r="D109" s="850"/>
      <c r="E109" s="760"/>
      <c r="F109" s="758"/>
      <c r="G109" s="790"/>
      <c r="H109" s="387" t="s">
        <v>20</v>
      </c>
      <c r="I109" s="388">
        <f aca="true" t="shared" si="31" ref="I109:V109">SUM(I107:I108)</f>
        <v>855.1</v>
      </c>
      <c r="J109" s="405">
        <f t="shared" si="31"/>
        <v>855.1</v>
      </c>
      <c r="K109" s="405">
        <f t="shared" si="31"/>
        <v>0</v>
      </c>
      <c r="L109" s="391">
        <f t="shared" si="31"/>
        <v>0</v>
      </c>
      <c r="M109" s="388">
        <f t="shared" si="31"/>
        <v>2017.7</v>
      </c>
      <c r="N109" s="405">
        <f t="shared" si="31"/>
        <v>1677.7</v>
      </c>
      <c r="O109" s="405">
        <f t="shared" si="31"/>
        <v>0</v>
      </c>
      <c r="P109" s="391">
        <f t="shared" si="31"/>
        <v>340</v>
      </c>
      <c r="Q109" s="388">
        <f t="shared" si="31"/>
        <v>717.4000000000001</v>
      </c>
      <c r="R109" s="405">
        <f t="shared" si="31"/>
        <v>717.4000000000001</v>
      </c>
      <c r="S109" s="405">
        <f t="shared" si="31"/>
        <v>0</v>
      </c>
      <c r="T109" s="391">
        <f t="shared" si="31"/>
        <v>0</v>
      </c>
      <c r="U109" s="389">
        <f t="shared" si="31"/>
        <v>792.7</v>
      </c>
      <c r="V109" s="393">
        <f t="shared" si="31"/>
        <v>792.7</v>
      </c>
    </row>
    <row r="110" spans="1:22" ht="15.75" customHeight="1">
      <c r="A110" s="3" t="s">
        <v>8</v>
      </c>
      <c r="B110" s="800" t="s">
        <v>12</v>
      </c>
      <c r="C110" s="797" t="s">
        <v>9</v>
      </c>
      <c r="D110" s="952" t="s">
        <v>179</v>
      </c>
      <c r="E110" s="1023" t="s">
        <v>136</v>
      </c>
      <c r="F110" s="759" t="s">
        <v>12</v>
      </c>
      <c r="G110" s="788" t="s">
        <v>146</v>
      </c>
      <c r="H110" s="309" t="s">
        <v>11</v>
      </c>
      <c r="I110" s="184">
        <f>J110+L110</f>
        <v>1514.3</v>
      </c>
      <c r="J110" s="185">
        <v>1514.3</v>
      </c>
      <c r="K110" s="185"/>
      <c r="L110" s="186"/>
      <c r="M110" s="184">
        <f>N110+P110</f>
        <v>1374.3</v>
      </c>
      <c r="N110" s="185">
        <v>1374.3</v>
      </c>
      <c r="O110" s="185"/>
      <c r="P110" s="186"/>
      <c r="Q110" s="408">
        <f>R110+T110</f>
        <v>1374.3</v>
      </c>
      <c r="R110" s="409">
        <v>1374.3</v>
      </c>
      <c r="S110" s="409"/>
      <c r="T110" s="410"/>
      <c r="U110" s="289">
        <v>1374.3</v>
      </c>
      <c r="V110" s="187">
        <v>1374.3</v>
      </c>
    </row>
    <row r="111" spans="1:22" ht="15.75" customHeight="1">
      <c r="A111" s="3"/>
      <c r="B111" s="801"/>
      <c r="C111" s="798"/>
      <c r="D111" s="953"/>
      <c r="E111" s="1024"/>
      <c r="F111" s="757"/>
      <c r="G111" s="789"/>
      <c r="H111" s="301"/>
      <c r="I111" s="188"/>
      <c r="J111" s="189"/>
      <c r="K111" s="189"/>
      <c r="L111" s="190"/>
      <c r="M111" s="191"/>
      <c r="N111" s="189"/>
      <c r="O111" s="189"/>
      <c r="P111" s="190"/>
      <c r="Q111" s="401"/>
      <c r="R111" s="399"/>
      <c r="S111" s="399"/>
      <c r="T111" s="400"/>
      <c r="U111" s="290"/>
      <c r="V111" s="193"/>
    </row>
    <row r="112" spans="1:22" ht="15.75" customHeight="1" thickBot="1">
      <c r="A112" s="4"/>
      <c r="B112" s="802"/>
      <c r="C112" s="799"/>
      <c r="D112" s="954"/>
      <c r="E112" s="1025"/>
      <c r="F112" s="758"/>
      <c r="G112" s="790"/>
      <c r="H112" s="381" t="s">
        <v>20</v>
      </c>
      <c r="I112" s="406">
        <f aca="true" t="shared" si="32" ref="I112:V112">SUM(I110:I111)</f>
        <v>1514.3</v>
      </c>
      <c r="J112" s="390">
        <f t="shared" si="32"/>
        <v>1514.3</v>
      </c>
      <c r="K112" s="390">
        <f t="shared" si="32"/>
        <v>0</v>
      </c>
      <c r="L112" s="405">
        <f t="shared" si="32"/>
        <v>0</v>
      </c>
      <c r="M112" s="406">
        <f t="shared" si="32"/>
        <v>1374.3</v>
      </c>
      <c r="N112" s="390">
        <f t="shared" si="32"/>
        <v>1374.3</v>
      </c>
      <c r="O112" s="390">
        <f t="shared" si="32"/>
        <v>0</v>
      </c>
      <c r="P112" s="405">
        <f t="shared" si="32"/>
        <v>0</v>
      </c>
      <c r="Q112" s="406">
        <f t="shared" si="32"/>
        <v>1374.3</v>
      </c>
      <c r="R112" s="390">
        <f t="shared" si="32"/>
        <v>1374.3</v>
      </c>
      <c r="S112" s="390">
        <f t="shared" si="32"/>
        <v>0</v>
      </c>
      <c r="T112" s="405">
        <f t="shared" si="32"/>
        <v>0</v>
      </c>
      <c r="U112" s="406">
        <f t="shared" si="32"/>
        <v>1374.3</v>
      </c>
      <c r="V112" s="393">
        <f t="shared" si="32"/>
        <v>1374.3</v>
      </c>
    </row>
    <row r="113" spans="1:22" ht="15.75" customHeight="1">
      <c r="A113" s="832" t="s">
        <v>8</v>
      </c>
      <c r="B113" s="800" t="s">
        <v>12</v>
      </c>
      <c r="C113" s="797" t="s">
        <v>10</v>
      </c>
      <c r="D113" s="1008" t="s">
        <v>189</v>
      </c>
      <c r="E113" s="778" t="s">
        <v>136</v>
      </c>
      <c r="F113" s="759" t="s">
        <v>12</v>
      </c>
      <c r="G113" s="788" t="s">
        <v>145</v>
      </c>
      <c r="H113" s="298" t="s">
        <v>11</v>
      </c>
      <c r="I113" s="175">
        <f>J113+L113</f>
        <v>0</v>
      </c>
      <c r="J113" s="198"/>
      <c r="K113" s="198"/>
      <c r="L113" s="202"/>
      <c r="M113" s="175">
        <f>N113+P113</f>
        <v>0</v>
      </c>
      <c r="N113" s="203"/>
      <c r="O113" s="203"/>
      <c r="P113" s="204"/>
      <c r="Q113" s="395">
        <f>R113+T113</f>
        <v>0</v>
      </c>
      <c r="R113" s="411"/>
      <c r="S113" s="411"/>
      <c r="T113" s="412"/>
      <c r="U113" s="291"/>
      <c r="V113" s="205"/>
    </row>
    <row r="114" spans="1:22" ht="15.75" customHeight="1">
      <c r="A114" s="833"/>
      <c r="B114" s="801"/>
      <c r="C114" s="798"/>
      <c r="D114" s="1009"/>
      <c r="E114" s="779"/>
      <c r="F114" s="757"/>
      <c r="G114" s="789"/>
      <c r="H114" s="310" t="s">
        <v>30</v>
      </c>
      <c r="I114" s="180">
        <f>J114+L114</f>
        <v>0</v>
      </c>
      <c r="J114" s="206"/>
      <c r="K114" s="206"/>
      <c r="L114" s="207"/>
      <c r="M114" s="180">
        <f>N114+P114</f>
        <v>100</v>
      </c>
      <c r="N114" s="203"/>
      <c r="O114" s="203"/>
      <c r="P114" s="204">
        <v>100</v>
      </c>
      <c r="Q114" s="398">
        <f>R114+T114</f>
        <v>100</v>
      </c>
      <c r="R114" s="413"/>
      <c r="S114" s="413"/>
      <c r="T114" s="414">
        <v>100</v>
      </c>
      <c r="U114" s="292">
        <v>70</v>
      </c>
      <c r="V114" s="208"/>
    </row>
    <row r="115" spans="1:22" ht="15.75" customHeight="1" thickBot="1">
      <c r="A115" s="834"/>
      <c r="B115" s="802"/>
      <c r="C115" s="799"/>
      <c r="D115" s="1010"/>
      <c r="E115" s="519" t="s">
        <v>22</v>
      </c>
      <c r="F115" s="758"/>
      <c r="G115" s="790"/>
      <c r="H115" s="407" t="s">
        <v>20</v>
      </c>
      <c r="I115" s="388">
        <f aca="true" t="shared" si="33" ref="I115:V115">SUM(I113:I114)</f>
        <v>0</v>
      </c>
      <c r="J115" s="389">
        <f t="shared" si="33"/>
        <v>0</v>
      </c>
      <c r="K115" s="390">
        <f t="shared" si="33"/>
        <v>0</v>
      </c>
      <c r="L115" s="391">
        <f t="shared" si="33"/>
        <v>0</v>
      </c>
      <c r="M115" s="388">
        <f t="shared" si="33"/>
        <v>100</v>
      </c>
      <c r="N115" s="389">
        <f t="shared" si="33"/>
        <v>0</v>
      </c>
      <c r="O115" s="390">
        <f t="shared" si="33"/>
        <v>0</v>
      </c>
      <c r="P115" s="391">
        <f t="shared" si="33"/>
        <v>100</v>
      </c>
      <c r="Q115" s="388">
        <f t="shared" si="33"/>
        <v>100</v>
      </c>
      <c r="R115" s="389">
        <f t="shared" si="33"/>
        <v>0</v>
      </c>
      <c r="S115" s="390">
        <f t="shared" si="33"/>
        <v>0</v>
      </c>
      <c r="T115" s="391">
        <f t="shared" si="33"/>
        <v>100</v>
      </c>
      <c r="U115" s="406">
        <f t="shared" si="33"/>
        <v>70</v>
      </c>
      <c r="V115" s="393">
        <f t="shared" si="33"/>
        <v>0</v>
      </c>
    </row>
    <row r="116" spans="1:22" ht="15.75" customHeight="1">
      <c r="A116" s="832" t="s">
        <v>8</v>
      </c>
      <c r="B116" s="800" t="s">
        <v>12</v>
      </c>
      <c r="C116" s="797" t="s">
        <v>12</v>
      </c>
      <c r="D116" s="877" t="s">
        <v>152</v>
      </c>
      <c r="E116" s="778" t="s">
        <v>136</v>
      </c>
      <c r="F116" s="759" t="s">
        <v>12</v>
      </c>
      <c r="G116" s="788" t="s">
        <v>145</v>
      </c>
      <c r="H116" s="298"/>
      <c r="I116" s="175">
        <f>J116+L116</f>
        <v>0</v>
      </c>
      <c r="J116" s="198"/>
      <c r="K116" s="198"/>
      <c r="L116" s="202"/>
      <c r="M116" s="175">
        <f>N116+P116</f>
        <v>0</v>
      </c>
      <c r="N116" s="203"/>
      <c r="O116" s="203"/>
      <c r="P116" s="204"/>
      <c r="Q116" s="395">
        <f>R116+T116</f>
        <v>0</v>
      </c>
      <c r="R116" s="411"/>
      <c r="S116" s="411"/>
      <c r="T116" s="412"/>
      <c r="U116" s="291"/>
      <c r="V116" s="205"/>
    </row>
    <row r="117" spans="1:22" ht="15.75" customHeight="1">
      <c r="A117" s="833"/>
      <c r="B117" s="801"/>
      <c r="C117" s="798"/>
      <c r="D117" s="878"/>
      <c r="E117" s="779"/>
      <c r="F117" s="757"/>
      <c r="G117" s="789"/>
      <c r="H117" s="310" t="s">
        <v>30</v>
      </c>
      <c r="I117" s="180">
        <f>J117+L117</f>
        <v>0</v>
      </c>
      <c r="J117" s="206"/>
      <c r="K117" s="206"/>
      <c r="L117" s="207"/>
      <c r="M117" s="180">
        <f>N117+P117</f>
        <v>0</v>
      </c>
      <c r="N117" s="203"/>
      <c r="O117" s="203"/>
      <c r="P117" s="204"/>
      <c r="Q117" s="398">
        <f>R117+T117</f>
        <v>0</v>
      </c>
      <c r="R117" s="413"/>
      <c r="S117" s="413"/>
      <c r="T117" s="414"/>
      <c r="U117" s="292"/>
      <c r="V117" s="208">
        <v>440</v>
      </c>
    </row>
    <row r="118" spans="1:22" ht="15.75" customHeight="1" thickBot="1">
      <c r="A118" s="834"/>
      <c r="B118" s="802"/>
      <c r="C118" s="799"/>
      <c r="D118" s="879"/>
      <c r="E118" s="519" t="s">
        <v>22</v>
      </c>
      <c r="F118" s="758"/>
      <c r="G118" s="790"/>
      <c r="H118" s="407" t="s">
        <v>20</v>
      </c>
      <c r="I118" s="388">
        <f aca="true" t="shared" si="34" ref="I118:V118">SUM(I116:I117)</f>
        <v>0</v>
      </c>
      <c r="J118" s="389">
        <f t="shared" si="34"/>
        <v>0</v>
      </c>
      <c r="K118" s="390">
        <f t="shared" si="34"/>
        <v>0</v>
      </c>
      <c r="L118" s="391">
        <f t="shared" si="34"/>
        <v>0</v>
      </c>
      <c r="M118" s="388">
        <f t="shared" si="34"/>
        <v>0</v>
      </c>
      <c r="N118" s="389">
        <f t="shared" si="34"/>
        <v>0</v>
      </c>
      <c r="O118" s="390">
        <f t="shared" si="34"/>
        <v>0</v>
      </c>
      <c r="P118" s="391">
        <f t="shared" si="34"/>
        <v>0</v>
      </c>
      <c r="Q118" s="388">
        <f t="shared" si="34"/>
        <v>0</v>
      </c>
      <c r="R118" s="389">
        <f t="shared" si="34"/>
        <v>0</v>
      </c>
      <c r="S118" s="390">
        <f t="shared" si="34"/>
        <v>0</v>
      </c>
      <c r="T118" s="391">
        <f t="shared" si="34"/>
        <v>0</v>
      </c>
      <c r="U118" s="406">
        <f t="shared" si="34"/>
        <v>0</v>
      </c>
      <c r="V118" s="393">
        <f t="shared" si="34"/>
        <v>440</v>
      </c>
    </row>
    <row r="119" spans="1:22" ht="15.75" customHeight="1">
      <c r="A119" s="832" t="s">
        <v>8</v>
      </c>
      <c r="B119" s="800" t="s">
        <v>12</v>
      </c>
      <c r="C119" s="838" t="s">
        <v>38</v>
      </c>
      <c r="D119" s="522" t="s">
        <v>175</v>
      </c>
      <c r="E119" s="819" t="s">
        <v>135</v>
      </c>
      <c r="F119" s="1005" t="s">
        <v>12</v>
      </c>
      <c r="G119" s="845" t="s">
        <v>145</v>
      </c>
      <c r="H119" s="302" t="s">
        <v>11</v>
      </c>
      <c r="I119" s="194">
        <f>J119+L119</f>
        <v>0</v>
      </c>
      <c r="J119" s="172"/>
      <c r="K119" s="172"/>
      <c r="L119" s="173"/>
      <c r="M119" s="194">
        <f>N119+P119</f>
        <v>101.3</v>
      </c>
      <c r="N119" s="172">
        <f>15+7.3+79</f>
        <v>101.3</v>
      </c>
      <c r="O119" s="172"/>
      <c r="P119" s="173"/>
      <c r="Q119" s="415">
        <f>R119+T119</f>
        <v>7.3</v>
      </c>
      <c r="R119" s="396">
        <v>7.3</v>
      </c>
      <c r="S119" s="396"/>
      <c r="T119" s="397"/>
      <c r="U119" s="350">
        <f>7.3+30.6</f>
        <v>37.9</v>
      </c>
      <c r="V119" s="322">
        <v>7.2</v>
      </c>
    </row>
    <row r="120" spans="1:22" ht="15.75" customHeight="1">
      <c r="A120" s="833"/>
      <c r="B120" s="801"/>
      <c r="C120" s="839"/>
      <c r="D120" s="511" t="s">
        <v>177</v>
      </c>
      <c r="E120" s="820"/>
      <c r="F120" s="1006"/>
      <c r="G120" s="846"/>
      <c r="H120" s="296" t="s">
        <v>18</v>
      </c>
      <c r="I120" s="197">
        <f>J120+L120</f>
        <v>0</v>
      </c>
      <c r="J120" s="206"/>
      <c r="K120" s="206"/>
      <c r="L120" s="207"/>
      <c r="M120" s="197">
        <f>N120+P120</f>
        <v>250</v>
      </c>
      <c r="N120" s="206">
        <v>250</v>
      </c>
      <c r="O120" s="206"/>
      <c r="P120" s="207"/>
      <c r="Q120" s="419">
        <f>R120+T120</f>
        <v>250</v>
      </c>
      <c r="R120" s="413">
        <v>250</v>
      </c>
      <c r="S120" s="413"/>
      <c r="T120" s="414"/>
      <c r="U120" s="353">
        <f>250+275.4</f>
        <v>525.4</v>
      </c>
      <c r="V120" s="354">
        <v>102.3</v>
      </c>
    </row>
    <row r="121" spans="1:22" ht="15.75" customHeight="1">
      <c r="A121" s="833"/>
      <c r="B121" s="801"/>
      <c r="C121" s="839"/>
      <c r="D121" s="1004" t="s">
        <v>176</v>
      </c>
      <c r="E121" s="820" t="s">
        <v>157</v>
      </c>
      <c r="F121" s="1006"/>
      <c r="G121" s="846"/>
      <c r="H121" s="296" t="s">
        <v>53</v>
      </c>
      <c r="I121" s="197"/>
      <c r="J121" s="206"/>
      <c r="K121" s="206"/>
      <c r="L121" s="207"/>
      <c r="M121" s="197">
        <f>N121+P121</f>
        <v>71.9</v>
      </c>
      <c r="N121" s="206">
        <v>71.9</v>
      </c>
      <c r="O121" s="206"/>
      <c r="P121" s="207"/>
      <c r="Q121" s="751">
        <f>R121+T121</f>
        <v>0</v>
      </c>
      <c r="R121" s="683">
        <f>71.9-71.9</f>
        <v>0</v>
      </c>
      <c r="S121" s="413"/>
      <c r="T121" s="414"/>
      <c r="U121" s="353">
        <v>18</v>
      </c>
      <c r="V121" s="354">
        <v>10.9</v>
      </c>
    </row>
    <row r="122" spans="1:22" ht="15.75" customHeight="1">
      <c r="A122" s="833"/>
      <c r="B122" s="801"/>
      <c r="C122" s="839"/>
      <c r="D122" s="1004"/>
      <c r="E122" s="820"/>
      <c r="F122" s="1006"/>
      <c r="G122" s="846"/>
      <c r="H122" s="300"/>
      <c r="I122" s="195"/>
      <c r="J122" s="181"/>
      <c r="K122" s="181"/>
      <c r="L122" s="182"/>
      <c r="M122" s="195"/>
      <c r="N122" s="181"/>
      <c r="O122" s="181"/>
      <c r="P122" s="182"/>
      <c r="Q122" s="416"/>
      <c r="R122" s="417"/>
      <c r="S122" s="417"/>
      <c r="T122" s="418"/>
      <c r="U122" s="351"/>
      <c r="V122" s="352"/>
    </row>
    <row r="123" spans="1:22" ht="15" customHeight="1">
      <c r="A123" s="833"/>
      <c r="B123" s="801"/>
      <c r="C123" s="839"/>
      <c r="D123" s="756" t="s">
        <v>227</v>
      </c>
      <c r="E123" s="841"/>
      <c r="F123" s="1006"/>
      <c r="G123" s="846"/>
      <c r="H123" s="296" t="s">
        <v>30</v>
      </c>
      <c r="I123" s="197">
        <f>J123+L123</f>
        <v>0</v>
      </c>
      <c r="J123" s="206"/>
      <c r="K123" s="206"/>
      <c r="L123" s="207"/>
      <c r="M123" s="197">
        <f>N123+P123</f>
        <v>36.8</v>
      </c>
      <c r="N123" s="206">
        <v>36.8</v>
      </c>
      <c r="O123" s="206"/>
      <c r="P123" s="207"/>
      <c r="Q123" s="419">
        <f>R123+T123</f>
        <v>36.8</v>
      </c>
      <c r="R123" s="413">
        <v>36.8</v>
      </c>
      <c r="S123" s="413"/>
      <c r="T123" s="414"/>
      <c r="U123" s="353">
        <v>36.8</v>
      </c>
      <c r="V123" s="354"/>
    </row>
    <row r="124" spans="1:22" ht="15.75" customHeight="1" thickBot="1">
      <c r="A124" s="834"/>
      <c r="B124" s="802"/>
      <c r="C124" s="840"/>
      <c r="D124" s="755"/>
      <c r="E124" s="842"/>
      <c r="F124" s="1007"/>
      <c r="G124" s="847"/>
      <c r="H124" s="381" t="s">
        <v>20</v>
      </c>
      <c r="I124" s="388">
        <f aca="true" t="shared" si="35" ref="I124:V124">SUM(I119:I123)</f>
        <v>0</v>
      </c>
      <c r="J124" s="405">
        <f t="shared" si="35"/>
        <v>0</v>
      </c>
      <c r="K124" s="405">
        <f t="shared" si="35"/>
        <v>0</v>
      </c>
      <c r="L124" s="391">
        <f t="shared" si="35"/>
        <v>0</v>
      </c>
      <c r="M124" s="388">
        <f t="shared" si="35"/>
        <v>460.00000000000006</v>
      </c>
      <c r="N124" s="405">
        <f t="shared" si="35"/>
        <v>460.00000000000006</v>
      </c>
      <c r="O124" s="405">
        <f t="shared" si="35"/>
        <v>0</v>
      </c>
      <c r="P124" s="391">
        <f t="shared" si="35"/>
        <v>0</v>
      </c>
      <c r="Q124" s="388">
        <f t="shared" si="35"/>
        <v>294.1</v>
      </c>
      <c r="R124" s="405">
        <f t="shared" si="35"/>
        <v>294.1</v>
      </c>
      <c r="S124" s="405">
        <f t="shared" si="35"/>
        <v>0</v>
      </c>
      <c r="T124" s="391">
        <f t="shared" si="35"/>
        <v>0</v>
      </c>
      <c r="U124" s="406">
        <f t="shared" si="35"/>
        <v>618.0999999999999</v>
      </c>
      <c r="V124" s="393">
        <f t="shared" si="35"/>
        <v>120.4</v>
      </c>
    </row>
    <row r="125" spans="1:22" ht="28.5" customHeight="1">
      <c r="A125" s="835" t="s">
        <v>8</v>
      </c>
      <c r="B125" s="821" t="s">
        <v>12</v>
      </c>
      <c r="C125" s="989" t="s">
        <v>13</v>
      </c>
      <c r="D125" s="1011" t="s">
        <v>55</v>
      </c>
      <c r="E125" s="520"/>
      <c r="F125" s="992" t="s">
        <v>10</v>
      </c>
      <c r="G125" s="788" t="s">
        <v>183</v>
      </c>
      <c r="H125" s="311" t="s">
        <v>11</v>
      </c>
      <c r="I125" s="175">
        <f>J125+L125</f>
        <v>518.7</v>
      </c>
      <c r="J125" s="172">
        <v>518.7</v>
      </c>
      <c r="K125" s="172"/>
      <c r="L125" s="173"/>
      <c r="M125" s="175">
        <f>N125+P125</f>
        <v>437</v>
      </c>
      <c r="N125" s="172">
        <v>437</v>
      </c>
      <c r="O125" s="198"/>
      <c r="P125" s="173"/>
      <c r="Q125" s="401">
        <f>R125+T125</f>
        <v>233.3</v>
      </c>
      <c r="R125" s="399">
        <v>233.3</v>
      </c>
      <c r="S125" s="399"/>
      <c r="T125" s="400"/>
      <c r="U125" s="293">
        <v>233</v>
      </c>
      <c r="V125" s="193">
        <v>233</v>
      </c>
    </row>
    <row r="126" spans="1:22" ht="16.5" customHeight="1">
      <c r="A126" s="836"/>
      <c r="B126" s="822"/>
      <c r="C126" s="990"/>
      <c r="D126" s="1012"/>
      <c r="E126" s="944" t="s">
        <v>134</v>
      </c>
      <c r="F126" s="993"/>
      <c r="G126" s="789"/>
      <c r="H126" s="312"/>
      <c r="I126" s="180">
        <f>J126+L126</f>
        <v>0</v>
      </c>
      <c r="J126" s="181"/>
      <c r="K126" s="181"/>
      <c r="L126" s="182"/>
      <c r="M126" s="180">
        <f>N126+P126</f>
        <v>0</v>
      </c>
      <c r="N126" s="181"/>
      <c r="O126" s="200"/>
      <c r="P126" s="182"/>
      <c r="Q126" s="398">
        <f>R126+T126</f>
        <v>0</v>
      </c>
      <c r="R126" s="417"/>
      <c r="S126" s="417"/>
      <c r="T126" s="418"/>
      <c r="U126" s="279"/>
      <c r="V126" s="201"/>
    </row>
    <row r="127" spans="1:22" ht="24" customHeight="1" thickBot="1">
      <c r="A127" s="837"/>
      <c r="B127" s="823"/>
      <c r="C127" s="991"/>
      <c r="D127" s="1013"/>
      <c r="E127" s="945"/>
      <c r="F127" s="994"/>
      <c r="G127" s="790"/>
      <c r="H127" s="404" t="s">
        <v>20</v>
      </c>
      <c r="I127" s="382">
        <f aca="true" t="shared" si="36" ref="I127:V127">SUM(I125:I126)</f>
        <v>518.7</v>
      </c>
      <c r="J127" s="380">
        <f t="shared" si="36"/>
        <v>518.7</v>
      </c>
      <c r="K127" s="383">
        <f t="shared" si="36"/>
        <v>0</v>
      </c>
      <c r="L127" s="384">
        <f t="shared" si="36"/>
        <v>0</v>
      </c>
      <c r="M127" s="382">
        <f t="shared" si="36"/>
        <v>437</v>
      </c>
      <c r="N127" s="380">
        <f t="shared" si="36"/>
        <v>437</v>
      </c>
      <c r="O127" s="383">
        <f t="shared" si="36"/>
        <v>0</v>
      </c>
      <c r="P127" s="384">
        <f t="shared" si="36"/>
        <v>0</v>
      </c>
      <c r="Q127" s="382">
        <f t="shared" si="36"/>
        <v>233.3</v>
      </c>
      <c r="R127" s="380">
        <f t="shared" si="36"/>
        <v>233.3</v>
      </c>
      <c r="S127" s="383">
        <f t="shared" si="36"/>
        <v>0</v>
      </c>
      <c r="T127" s="384">
        <f t="shared" si="36"/>
        <v>0</v>
      </c>
      <c r="U127" s="389">
        <f t="shared" si="36"/>
        <v>233</v>
      </c>
      <c r="V127" s="393">
        <f t="shared" si="36"/>
        <v>233</v>
      </c>
    </row>
    <row r="128" spans="1:22" ht="15.75" customHeight="1" thickBot="1">
      <c r="A128" s="6" t="s">
        <v>8</v>
      </c>
      <c r="B128" s="7" t="s">
        <v>12</v>
      </c>
      <c r="C128" s="843" t="s">
        <v>19</v>
      </c>
      <c r="D128" s="844"/>
      <c r="E128" s="844"/>
      <c r="F128" s="844"/>
      <c r="G128" s="844"/>
      <c r="H128" s="844"/>
      <c r="I128" s="288">
        <f>SUM(I127,I124,I118,I115,I112,I109)</f>
        <v>2888.1</v>
      </c>
      <c r="J128" s="356">
        <f aca="true" t="shared" si="37" ref="J128:V128">SUM(J127,J124,J118,J115,J112,J109)</f>
        <v>2888.1</v>
      </c>
      <c r="K128" s="356">
        <f t="shared" si="37"/>
        <v>0</v>
      </c>
      <c r="L128" s="355">
        <f t="shared" si="37"/>
        <v>0</v>
      </c>
      <c r="M128" s="288">
        <f t="shared" si="37"/>
        <v>4389</v>
      </c>
      <c r="N128" s="356">
        <f t="shared" si="37"/>
        <v>3949</v>
      </c>
      <c r="O128" s="356">
        <f t="shared" si="37"/>
        <v>0</v>
      </c>
      <c r="P128" s="355">
        <f t="shared" si="37"/>
        <v>440</v>
      </c>
      <c r="Q128" s="288">
        <f t="shared" si="37"/>
        <v>2719.1000000000004</v>
      </c>
      <c r="R128" s="356">
        <f t="shared" si="37"/>
        <v>2619.1000000000004</v>
      </c>
      <c r="S128" s="356">
        <f t="shared" si="37"/>
        <v>0</v>
      </c>
      <c r="T128" s="355">
        <f t="shared" si="37"/>
        <v>100</v>
      </c>
      <c r="U128" s="288">
        <f t="shared" si="37"/>
        <v>3088.0999999999995</v>
      </c>
      <c r="V128" s="288">
        <f t="shared" si="37"/>
        <v>2960.3999999999996</v>
      </c>
    </row>
    <row r="129" spans="1:22" ht="15.75" customHeight="1" thickBot="1">
      <c r="A129" s="4" t="s">
        <v>8</v>
      </c>
      <c r="B129" s="5" t="s">
        <v>38</v>
      </c>
      <c r="C129" s="1001" t="s">
        <v>29</v>
      </c>
      <c r="D129" s="1002"/>
      <c r="E129" s="1002"/>
      <c r="F129" s="1002"/>
      <c r="G129" s="1002"/>
      <c r="H129" s="1002"/>
      <c r="I129" s="1003"/>
      <c r="J129" s="1003"/>
      <c r="K129" s="1003"/>
      <c r="L129" s="1003"/>
      <c r="M129" s="1003"/>
      <c r="N129" s="1003"/>
      <c r="O129" s="1003"/>
      <c r="P129" s="1003"/>
      <c r="Q129" s="1003"/>
      <c r="R129" s="8"/>
      <c r="S129" s="8"/>
      <c r="T129" s="8"/>
      <c r="U129" s="8"/>
      <c r="V129" s="127"/>
    </row>
    <row r="130" spans="1:22" ht="15.75" customHeight="1">
      <c r="A130" s="832" t="s">
        <v>8</v>
      </c>
      <c r="B130" s="800" t="s">
        <v>38</v>
      </c>
      <c r="C130" s="797" t="s">
        <v>8</v>
      </c>
      <c r="D130" s="848" t="s">
        <v>147</v>
      </c>
      <c r="E130" s="762"/>
      <c r="F130" s="759" t="s">
        <v>12</v>
      </c>
      <c r="G130" s="788" t="s">
        <v>146</v>
      </c>
      <c r="H130" s="299" t="s">
        <v>53</v>
      </c>
      <c r="I130" s="175">
        <f>J130+L130</f>
        <v>1200</v>
      </c>
      <c r="J130" s="172"/>
      <c r="K130" s="172"/>
      <c r="L130" s="173">
        <v>1200</v>
      </c>
      <c r="M130" s="175">
        <f>N130+P130</f>
        <v>1840.2</v>
      </c>
      <c r="N130" s="172"/>
      <c r="O130" s="172"/>
      <c r="P130" s="173">
        <v>1840.2</v>
      </c>
      <c r="Q130" s="704">
        <f>R130+T130</f>
        <v>520</v>
      </c>
      <c r="R130" s="396"/>
      <c r="S130" s="396"/>
      <c r="T130" s="703">
        <f>733-213</f>
        <v>520</v>
      </c>
      <c r="U130" s="211">
        <v>928.4</v>
      </c>
      <c r="V130" s="205">
        <v>928.4</v>
      </c>
    </row>
    <row r="131" spans="1:22" ht="15.75" customHeight="1">
      <c r="A131" s="833"/>
      <c r="B131" s="801"/>
      <c r="C131" s="798"/>
      <c r="D131" s="849"/>
      <c r="E131" s="761"/>
      <c r="F131" s="757"/>
      <c r="G131" s="789"/>
      <c r="H131" s="301"/>
      <c r="I131" s="180">
        <f>J131+L131</f>
        <v>0</v>
      </c>
      <c r="J131" s="189"/>
      <c r="K131" s="189"/>
      <c r="L131" s="190"/>
      <c r="M131" s="180">
        <f>N131+P131</f>
        <v>0</v>
      </c>
      <c r="N131" s="189"/>
      <c r="O131" s="189"/>
      <c r="P131" s="190"/>
      <c r="Q131" s="398">
        <f>R131+T131</f>
        <v>0</v>
      </c>
      <c r="R131" s="399"/>
      <c r="S131" s="399"/>
      <c r="T131" s="400"/>
      <c r="U131" s="212"/>
      <c r="V131" s="213"/>
    </row>
    <row r="132" spans="1:22" ht="15.75" customHeight="1" thickBot="1">
      <c r="A132" s="834"/>
      <c r="B132" s="802"/>
      <c r="C132" s="799"/>
      <c r="D132" s="850"/>
      <c r="E132" s="760"/>
      <c r="F132" s="758"/>
      <c r="G132" s="790"/>
      <c r="H132" s="394" t="s">
        <v>20</v>
      </c>
      <c r="I132" s="388">
        <f aca="true" t="shared" si="38" ref="I132:V132">SUM(I130:I131)</f>
        <v>1200</v>
      </c>
      <c r="J132" s="389">
        <f t="shared" si="38"/>
        <v>0</v>
      </c>
      <c r="K132" s="390">
        <f t="shared" si="38"/>
        <v>0</v>
      </c>
      <c r="L132" s="391">
        <f t="shared" si="38"/>
        <v>1200</v>
      </c>
      <c r="M132" s="388">
        <f t="shared" si="38"/>
        <v>1840.2</v>
      </c>
      <c r="N132" s="389">
        <f t="shared" si="38"/>
        <v>0</v>
      </c>
      <c r="O132" s="390">
        <f t="shared" si="38"/>
        <v>0</v>
      </c>
      <c r="P132" s="391">
        <f t="shared" si="38"/>
        <v>1840.2</v>
      </c>
      <c r="Q132" s="388">
        <f t="shared" si="38"/>
        <v>520</v>
      </c>
      <c r="R132" s="389">
        <f t="shared" si="38"/>
        <v>0</v>
      </c>
      <c r="S132" s="390">
        <f t="shared" si="38"/>
        <v>0</v>
      </c>
      <c r="T132" s="391">
        <f t="shared" si="38"/>
        <v>520</v>
      </c>
      <c r="U132" s="392">
        <f t="shared" si="38"/>
        <v>928.4</v>
      </c>
      <c r="V132" s="393">
        <f t="shared" si="38"/>
        <v>928.4</v>
      </c>
    </row>
    <row r="133" spans="1:22" ht="18" customHeight="1">
      <c r="A133" s="832" t="s">
        <v>8</v>
      </c>
      <c r="B133" s="800" t="s">
        <v>38</v>
      </c>
      <c r="C133" s="797" t="s">
        <v>9</v>
      </c>
      <c r="D133" s="848" t="s">
        <v>188</v>
      </c>
      <c r="E133" s="762"/>
      <c r="F133" s="759" t="s">
        <v>12</v>
      </c>
      <c r="G133" s="788" t="s">
        <v>146</v>
      </c>
      <c r="H133" s="299" t="s">
        <v>11</v>
      </c>
      <c r="I133" s="175">
        <f>J133+L133</f>
        <v>150</v>
      </c>
      <c r="J133" s="172">
        <v>150</v>
      </c>
      <c r="K133" s="172"/>
      <c r="L133" s="173"/>
      <c r="M133" s="175">
        <f>N133+P133</f>
        <v>1690</v>
      </c>
      <c r="N133" s="172">
        <v>1690</v>
      </c>
      <c r="O133" s="176"/>
      <c r="P133" s="177"/>
      <c r="Q133" s="704">
        <f>R133+T133</f>
        <v>280</v>
      </c>
      <c r="R133" s="702">
        <f>135+145</f>
        <v>280</v>
      </c>
      <c r="S133" s="396"/>
      <c r="T133" s="397"/>
      <c r="U133" s="321">
        <v>135</v>
      </c>
      <c r="V133" s="322">
        <v>135</v>
      </c>
    </row>
    <row r="134" spans="1:22" ht="18" customHeight="1">
      <c r="A134" s="833"/>
      <c r="B134" s="801"/>
      <c r="C134" s="798"/>
      <c r="D134" s="849"/>
      <c r="E134" s="761"/>
      <c r="F134" s="757"/>
      <c r="G134" s="789"/>
      <c r="H134" s="124" t="s">
        <v>53</v>
      </c>
      <c r="I134" s="188">
        <f>J134+L134</f>
        <v>1172.7</v>
      </c>
      <c r="J134" s="189">
        <v>1172.7</v>
      </c>
      <c r="K134" s="189"/>
      <c r="L134" s="190"/>
      <c r="M134" s="188">
        <f>N134+P134</f>
        <v>2761</v>
      </c>
      <c r="N134" s="189">
        <v>2761</v>
      </c>
      <c r="O134" s="214" t="s">
        <v>51</v>
      </c>
      <c r="P134" s="215"/>
      <c r="Q134" s="701">
        <f>R134+T134</f>
        <v>1238.4</v>
      </c>
      <c r="R134" s="696">
        <f>900+338.4</f>
        <v>1238.4</v>
      </c>
      <c r="S134" s="399"/>
      <c r="T134" s="400"/>
      <c r="U134" s="216">
        <v>1206.1</v>
      </c>
      <c r="V134" s="217">
        <v>1206.1</v>
      </c>
    </row>
    <row r="135" spans="1:22" ht="18" customHeight="1" thickBot="1">
      <c r="A135" s="834"/>
      <c r="B135" s="802"/>
      <c r="C135" s="799"/>
      <c r="D135" s="850"/>
      <c r="E135" s="760"/>
      <c r="F135" s="758"/>
      <c r="G135" s="790"/>
      <c r="H135" s="381" t="s">
        <v>20</v>
      </c>
      <c r="I135" s="388">
        <f aca="true" t="shared" si="39" ref="I135:V135">SUM(I133:I134)</f>
        <v>1322.7</v>
      </c>
      <c r="J135" s="390">
        <f t="shared" si="39"/>
        <v>1322.7</v>
      </c>
      <c r="K135" s="390">
        <f t="shared" si="39"/>
        <v>0</v>
      </c>
      <c r="L135" s="391">
        <f t="shared" si="39"/>
        <v>0</v>
      </c>
      <c r="M135" s="388">
        <f t="shared" si="39"/>
        <v>4451</v>
      </c>
      <c r="N135" s="390">
        <f t="shared" si="39"/>
        <v>4451</v>
      </c>
      <c r="O135" s="390">
        <f t="shared" si="39"/>
        <v>0</v>
      </c>
      <c r="P135" s="391">
        <f t="shared" si="39"/>
        <v>0</v>
      </c>
      <c r="Q135" s="388">
        <f t="shared" si="39"/>
        <v>1518.4</v>
      </c>
      <c r="R135" s="390">
        <f t="shared" si="39"/>
        <v>1518.4</v>
      </c>
      <c r="S135" s="390">
        <f t="shared" si="39"/>
        <v>0</v>
      </c>
      <c r="T135" s="391">
        <f t="shared" si="39"/>
        <v>0</v>
      </c>
      <c r="U135" s="392">
        <f t="shared" si="39"/>
        <v>1341.1</v>
      </c>
      <c r="V135" s="393">
        <f t="shared" si="39"/>
        <v>1341.1</v>
      </c>
    </row>
    <row r="136" spans="1:22" ht="15.75" customHeight="1">
      <c r="A136" s="832" t="s">
        <v>8</v>
      </c>
      <c r="B136" s="800" t="s">
        <v>38</v>
      </c>
      <c r="C136" s="797" t="s">
        <v>10</v>
      </c>
      <c r="D136" s="952" t="s">
        <v>158</v>
      </c>
      <c r="E136" s="762"/>
      <c r="F136" s="759" t="s">
        <v>12</v>
      </c>
      <c r="G136" s="788" t="s">
        <v>146</v>
      </c>
      <c r="H136" s="299" t="s">
        <v>11</v>
      </c>
      <c r="I136" s="175">
        <f>J136+L136</f>
        <v>50</v>
      </c>
      <c r="J136" s="172">
        <v>50</v>
      </c>
      <c r="K136" s="172"/>
      <c r="L136" s="209"/>
      <c r="M136" s="175">
        <f>N136+P136</f>
        <v>100</v>
      </c>
      <c r="N136" s="172">
        <v>100</v>
      </c>
      <c r="O136" s="172"/>
      <c r="P136" s="173"/>
      <c r="Q136" s="395">
        <f>R136+T136</f>
        <v>45</v>
      </c>
      <c r="R136" s="396">
        <v>45</v>
      </c>
      <c r="S136" s="396"/>
      <c r="T136" s="397"/>
      <c r="U136" s="178">
        <v>45</v>
      </c>
      <c r="V136" s="199">
        <v>45</v>
      </c>
    </row>
    <row r="137" spans="1:24" ht="15.75" customHeight="1">
      <c r="A137" s="833"/>
      <c r="B137" s="801"/>
      <c r="C137" s="798"/>
      <c r="D137" s="953"/>
      <c r="E137" s="761"/>
      <c r="F137" s="757"/>
      <c r="G137" s="789"/>
      <c r="H137" s="124" t="s">
        <v>53</v>
      </c>
      <c r="I137" s="188">
        <f>J137+L137</f>
        <v>400</v>
      </c>
      <c r="J137" s="189"/>
      <c r="K137" s="189"/>
      <c r="L137" s="323">
        <v>400</v>
      </c>
      <c r="M137" s="188">
        <f>N137+P137</f>
        <v>600</v>
      </c>
      <c r="N137" s="189">
        <v>600</v>
      </c>
      <c r="O137" s="189"/>
      <c r="P137" s="190"/>
      <c r="Q137" s="401">
        <f>R137+T137</f>
        <v>226.8</v>
      </c>
      <c r="R137" s="399">
        <v>226.8</v>
      </c>
      <c r="S137" s="399"/>
      <c r="T137" s="400"/>
      <c r="U137" s="192">
        <v>287.1</v>
      </c>
      <c r="V137" s="193">
        <v>287.1</v>
      </c>
      <c r="X137" s="104"/>
    </row>
    <row r="138" spans="1:22" ht="15.75" customHeight="1" thickBot="1">
      <c r="A138" s="834"/>
      <c r="B138" s="802"/>
      <c r="C138" s="799"/>
      <c r="D138" s="954"/>
      <c r="E138" s="760"/>
      <c r="F138" s="758"/>
      <c r="G138" s="790"/>
      <c r="H138" s="387" t="s">
        <v>20</v>
      </c>
      <c r="I138" s="388">
        <f aca="true" t="shared" si="40" ref="I138:V138">SUM(I136:I137)</f>
        <v>450</v>
      </c>
      <c r="J138" s="389">
        <f t="shared" si="40"/>
        <v>50</v>
      </c>
      <c r="K138" s="390">
        <f t="shared" si="40"/>
        <v>0</v>
      </c>
      <c r="L138" s="391">
        <f t="shared" si="40"/>
        <v>400</v>
      </c>
      <c r="M138" s="388">
        <f t="shared" si="40"/>
        <v>700</v>
      </c>
      <c r="N138" s="389">
        <f t="shared" si="40"/>
        <v>700</v>
      </c>
      <c r="O138" s="390">
        <f t="shared" si="40"/>
        <v>0</v>
      </c>
      <c r="P138" s="391">
        <f t="shared" si="40"/>
        <v>0</v>
      </c>
      <c r="Q138" s="388">
        <f t="shared" si="40"/>
        <v>271.8</v>
      </c>
      <c r="R138" s="389">
        <f t="shared" si="40"/>
        <v>271.8</v>
      </c>
      <c r="S138" s="390">
        <f t="shared" si="40"/>
        <v>0</v>
      </c>
      <c r="T138" s="391">
        <f t="shared" si="40"/>
        <v>0</v>
      </c>
      <c r="U138" s="392">
        <f t="shared" si="40"/>
        <v>332.1</v>
      </c>
      <c r="V138" s="393">
        <f t="shared" si="40"/>
        <v>332.1</v>
      </c>
    </row>
    <row r="139" spans="1:24" ht="15.75" customHeight="1">
      <c r="A139" s="939" t="s">
        <v>8</v>
      </c>
      <c r="B139" s="827" t="s">
        <v>38</v>
      </c>
      <c r="C139" s="797" t="s">
        <v>38</v>
      </c>
      <c r="D139" s="848" t="s">
        <v>148</v>
      </c>
      <c r="E139" s="762"/>
      <c r="F139" s="759" t="s">
        <v>12</v>
      </c>
      <c r="G139" s="788" t="s">
        <v>146</v>
      </c>
      <c r="H139" s="299" t="s">
        <v>11</v>
      </c>
      <c r="I139" s="175">
        <f>J139+L139</f>
        <v>0</v>
      </c>
      <c r="J139" s="172"/>
      <c r="K139" s="209"/>
      <c r="L139" s="173"/>
      <c r="M139" s="175">
        <f>N139+P139</f>
        <v>0</v>
      </c>
      <c r="N139" s="172"/>
      <c r="O139" s="172"/>
      <c r="P139" s="173"/>
      <c r="Q139" s="395">
        <f>R139+T139</f>
        <v>0</v>
      </c>
      <c r="R139" s="396"/>
      <c r="S139" s="402"/>
      <c r="T139" s="397"/>
      <c r="U139" s="178"/>
      <c r="V139" s="199"/>
      <c r="X139" s="104"/>
    </row>
    <row r="140" spans="1:22" ht="15.75" customHeight="1">
      <c r="A140" s="940"/>
      <c r="B140" s="828"/>
      <c r="C140" s="798"/>
      <c r="D140" s="849"/>
      <c r="E140" s="761"/>
      <c r="F140" s="757"/>
      <c r="G140" s="789"/>
      <c r="H140" s="301" t="s">
        <v>53</v>
      </c>
      <c r="I140" s="188">
        <f>J140+L140</f>
        <v>272.6</v>
      </c>
      <c r="J140" s="189">
        <v>272.6</v>
      </c>
      <c r="K140" s="323"/>
      <c r="L140" s="190"/>
      <c r="M140" s="188">
        <f>N140+P140</f>
        <v>272.6</v>
      </c>
      <c r="N140" s="189">
        <v>272.6</v>
      </c>
      <c r="O140" s="189"/>
      <c r="P140" s="190"/>
      <c r="Q140" s="701">
        <f>R140+T140</f>
        <v>231.8</v>
      </c>
      <c r="R140" s="696">
        <f>215.4+16.4</f>
        <v>231.8</v>
      </c>
      <c r="S140" s="403"/>
      <c r="T140" s="400"/>
      <c r="U140" s="192">
        <v>272.6</v>
      </c>
      <c r="V140" s="193">
        <v>272.6</v>
      </c>
    </row>
    <row r="141" spans="1:22" ht="15.75" customHeight="1" thickBot="1">
      <c r="A141" s="941"/>
      <c r="B141" s="829"/>
      <c r="C141" s="799"/>
      <c r="D141" s="850"/>
      <c r="E141" s="760"/>
      <c r="F141" s="758"/>
      <c r="G141" s="790"/>
      <c r="H141" s="381" t="s">
        <v>20</v>
      </c>
      <c r="I141" s="382">
        <f aca="true" t="shared" si="41" ref="I141:V141">SUM(I139:I140)</f>
        <v>272.6</v>
      </c>
      <c r="J141" s="380">
        <f t="shared" si="41"/>
        <v>272.6</v>
      </c>
      <c r="K141" s="383">
        <f t="shared" si="41"/>
        <v>0</v>
      </c>
      <c r="L141" s="384">
        <f t="shared" si="41"/>
        <v>0</v>
      </c>
      <c r="M141" s="382">
        <f t="shared" si="41"/>
        <v>272.6</v>
      </c>
      <c r="N141" s="380">
        <f t="shared" si="41"/>
        <v>272.6</v>
      </c>
      <c r="O141" s="383">
        <f t="shared" si="41"/>
        <v>0</v>
      </c>
      <c r="P141" s="384">
        <f t="shared" si="41"/>
        <v>0</v>
      </c>
      <c r="Q141" s="382">
        <f t="shared" si="41"/>
        <v>231.8</v>
      </c>
      <c r="R141" s="380">
        <f t="shared" si="41"/>
        <v>231.8</v>
      </c>
      <c r="S141" s="383">
        <f t="shared" si="41"/>
        <v>0</v>
      </c>
      <c r="T141" s="384">
        <f t="shared" si="41"/>
        <v>0</v>
      </c>
      <c r="U141" s="385">
        <f t="shared" si="41"/>
        <v>272.6</v>
      </c>
      <c r="V141" s="386">
        <f t="shared" si="41"/>
        <v>272.6</v>
      </c>
    </row>
    <row r="142" spans="1:22" ht="15.75" customHeight="1" thickBot="1">
      <c r="A142" s="364" t="s">
        <v>8</v>
      </c>
      <c r="B142" s="367" t="s">
        <v>12</v>
      </c>
      <c r="C142" s="987" t="s">
        <v>19</v>
      </c>
      <c r="D142" s="988"/>
      <c r="E142" s="988"/>
      <c r="F142" s="988"/>
      <c r="G142" s="988"/>
      <c r="H142" s="988"/>
      <c r="I142" s="338">
        <f aca="true" t="shared" si="42" ref="I142:V142">SUM(I141,I138,I135,I132)</f>
        <v>3245.3</v>
      </c>
      <c r="J142" s="339">
        <f t="shared" si="42"/>
        <v>1645.3000000000002</v>
      </c>
      <c r="K142" s="339">
        <f t="shared" si="42"/>
        <v>0</v>
      </c>
      <c r="L142" s="341">
        <f t="shared" si="42"/>
        <v>1600</v>
      </c>
      <c r="M142" s="338">
        <f t="shared" si="42"/>
        <v>7263.8</v>
      </c>
      <c r="N142" s="339">
        <f t="shared" si="42"/>
        <v>5423.6</v>
      </c>
      <c r="O142" s="339">
        <f t="shared" si="42"/>
        <v>0</v>
      </c>
      <c r="P142" s="341">
        <f t="shared" si="42"/>
        <v>1840.2</v>
      </c>
      <c r="Q142" s="338">
        <f t="shared" si="42"/>
        <v>2542</v>
      </c>
      <c r="R142" s="339">
        <f t="shared" si="42"/>
        <v>2022</v>
      </c>
      <c r="S142" s="339">
        <f t="shared" si="42"/>
        <v>0</v>
      </c>
      <c r="T142" s="341">
        <f t="shared" si="42"/>
        <v>520</v>
      </c>
      <c r="U142" s="346">
        <f t="shared" si="42"/>
        <v>2874.2</v>
      </c>
      <c r="V142" s="344">
        <f t="shared" si="42"/>
        <v>2874.2</v>
      </c>
    </row>
    <row r="143" spans="1:24" ht="15.75" customHeight="1">
      <c r="A143" s="365" t="s">
        <v>8</v>
      </c>
      <c r="B143" s="970" t="s">
        <v>21</v>
      </c>
      <c r="C143" s="971"/>
      <c r="D143" s="971"/>
      <c r="E143" s="971"/>
      <c r="F143" s="971"/>
      <c r="G143" s="971"/>
      <c r="H143" s="971"/>
      <c r="I143" s="340">
        <f aca="true" t="shared" si="43" ref="I143:V143">SUM(I142,I128,I105,I92,I83)</f>
        <v>50142.9</v>
      </c>
      <c r="J143" s="335">
        <f t="shared" si="43"/>
        <v>20361.4</v>
      </c>
      <c r="K143" s="335">
        <f t="shared" si="43"/>
        <v>0</v>
      </c>
      <c r="L143" s="342">
        <f t="shared" si="43"/>
        <v>29781.5</v>
      </c>
      <c r="M143" s="340">
        <f t="shared" si="43"/>
        <v>78413.6</v>
      </c>
      <c r="N143" s="335">
        <f t="shared" si="43"/>
        <v>32141.6</v>
      </c>
      <c r="O143" s="335">
        <f t="shared" si="43"/>
        <v>0</v>
      </c>
      <c r="P143" s="342">
        <f t="shared" si="43"/>
        <v>46272</v>
      </c>
      <c r="Q143" s="340">
        <f t="shared" si="43"/>
        <v>63731.899999999994</v>
      </c>
      <c r="R143" s="335">
        <f t="shared" si="43"/>
        <v>22062.800000000003</v>
      </c>
      <c r="S143" s="335">
        <f t="shared" si="43"/>
        <v>0</v>
      </c>
      <c r="T143" s="342">
        <f t="shared" si="43"/>
        <v>41669.1</v>
      </c>
      <c r="U143" s="347">
        <f t="shared" si="43"/>
        <v>56518.600000000006</v>
      </c>
      <c r="V143" s="345">
        <f t="shared" si="43"/>
        <v>42431.6</v>
      </c>
      <c r="X143" s="104"/>
    </row>
    <row r="144" spans="1:22" ht="15.75" customHeight="1" thickBot="1">
      <c r="A144" s="366" t="s">
        <v>13</v>
      </c>
      <c r="B144" s="830" t="s">
        <v>27</v>
      </c>
      <c r="C144" s="831"/>
      <c r="D144" s="831"/>
      <c r="E144" s="831"/>
      <c r="F144" s="831"/>
      <c r="G144" s="831"/>
      <c r="H144" s="831"/>
      <c r="I144" s="228">
        <f aca="true" t="shared" si="44" ref="I144:V144">I143</f>
        <v>50142.9</v>
      </c>
      <c r="J144" s="336">
        <f t="shared" si="44"/>
        <v>20361.4</v>
      </c>
      <c r="K144" s="336">
        <f t="shared" si="44"/>
        <v>0</v>
      </c>
      <c r="L144" s="343">
        <f t="shared" si="44"/>
        <v>29781.5</v>
      </c>
      <c r="M144" s="228">
        <f t="shared" si="44"/>
        <v>78413.6</v>
      </c>
      <c r="N144" s="336">
        <f t="shared" si="44"/>
        <v>32141.6</v>
      </c>
      <c r="O144" s="336">
        <f t="shared" si="44"/>
        <v>0</v>
      </c>
      <c r="P144" s="343">
        <f t="shared" si="44"/>
        <v>46272</v>
      </c>
      <c r="Q144" s="228">
        <f t="shared" si="44"/>
        <v>63731.899999999994</v>
      </c>
      <c r="R144" s="336">
        <f t="shared" si="44"/>
        <v>22062.800000000003</v>
      </c>
      <c r="S144" s="336">
        <f t="shared" si="44"/>
        <v>0</v>
      </c>
      <c r="T144" s="343">
        <f t="shared" si="44"/>
        <v>41669.1</v>
      </c>
      <c r="U144" s="333">
        <f t="shared" si="44"/>
        <v>56518.600000000006</v>
      </c>
      <c r="V144" s="229">
        <f t="shared" si="44"/>
        <v>42431.6</v>
      </c>
    </row>
    <row r="145" spans="1:24" s="119" customFormat="1" ht="15.75" customHeight="1">
      <c r="A145" s="754"/>
      <c r="B145" s="754"/>
      <c r="C145" s="754"/>
      <c r="D145" s="754"/>
      <c r="E145" s="754"/>
      <c r="F145" s="754"/>
      <c r="G145" s="754"/>
      <c r="H145" s="754"/>
      <c r="I145" s="337"/>
      <c r="J145" s="337"/>
      <c r="K145" s="337"/>
      <c r="L145" s="334"/>
      <c r="M145" s="334"/>
      <c r="N145" s="334"/>
      <c r="O145" s="334"/>
      <c r="P145" s="334"/>
      <c r="Q145" s="334"/>
      <c r="R145" s="118"/>
      <c r="S145" s="118"/>
      <c r="T145" s="118"/>
      <c r="U145" s="118"/>
      <c r="V145" s="118"/>
      <c r="X145" s="324"/>
    </row>
    <row r="146" spans="1:22" ht="14.25" customHeight="1">
      <c r="A146" s="814" t="s">
        <v>36</v>
      </c>
      <c r="B146" s="814"/>
      <c r="C146" s="814"/>
      <c r="D146" s="814"/>
      <c r="E146" s="814"/>
      <c r="F146" s="814"/>
      <c r="G146" s="814"/>
      <c r="H146" s="814"/>
      <c r="I146" s="814"/>
      <c r="J146" s="814"/>
      <c r="K146" s="814"/>
      <c r="L146" s="814"/>
      <c r="M146" s="814"/>
      <c r="N146" s="814"/>
      <c r="O146" s="814"/>
      <c r="P146" s="814"/>
      <c r="Q146" s="814"/>
      <c r="R146" s="814"/>
      <c r="S146" s="814"/>
      <c r="T146" s="814"/>
      <c r="U146" s="9"/>
      <c r="V146" s="10"/>
    </row>
    <row r="147" spans="1:22" ht="12.75" customHeight="1" thickBot="1">
      <c r="A147" s="11"/>
      <c r="B147" s="11"/>
      <c r="C147" s="12"/>
      <c r="D147" s="101"/>
      <c r="E147" s="521"/>
      <c r="F147" s="30"/>
      <c r="G147" s="13"/>
      <c r="H147" s="313"/>
      <c r="M147" s="105"/>
      <c r="N147" s="14"/>
      <c r="O147" s="15"/>
      <c r="Q147" s="815" t="s">
        <v>46</v>
      </c>
      <c r="R147" s="815"/>
      <c r="S147" s="815"/>
      <c r="T147" s="815"/>
      <c r="U147" s="16"/>
      <c r="V147" s="97"/>
    </row>
    <row r="148" spans="1:24" ht="33.75" customHeight="1" thickBot="1">
      <c r="A148" s="816" t="s">
        <v>28</v>
      </c>
      <c r="B148" s="817"/>
      <c r="C148" s="817"/>
      <c r="D148" s="817"/>
      <c r="E148" s="817"/>
      <c r="F148" s="817"/>
      <c r="G148" s="817"/>
      <c r="H148" s="818"/>
      <c r="I148" s="816" t="s">
        <v>149</v>
      </c>
      <c r="J148" s="817"/>
      <c r="K148" s="817"/>
      <c r="L148" s="818"/>
      <c r="M148" s="816" t="s">
        <v>155</v>
      </c>
      <c r="N148" s="817"/>
      <c r="O148" s="817"/>
      <c r="P148" s="818"/>
      <c r="Q148" s="816" t="s">
        <v>156</v>
      </c>
      <c r="R148" s="817"/>
      <c r="S148" s="817"/>
      <c r="T148" s="818"/>
      <c r="U148" s="328"/>
      <c r="V148" s="329"/>
      <c r="W148" s="330"/>
      <c r="X148" s="330"/>
    </row>
    <row r="149" spans="1:24" ht="15.75" customHeight="1" thickBot="1">
      <c r="A149" s="967" t="s">
        <v>33</v>
      </c>
      <c r="B149" s="968"/>
      <c r="C149" s="968"/>
      <c r="D149" s="968"/>
      <c r="E149" s="968"/>
      <c r="F149" s="968"/>
      <c r="G149" s="968"/>
      <c r="H149" s="969"/>
      <c r="I149" s="978">
        <f>SUM(I150:L152)</f>
        <v>18692</v>
      </c>
      <c r="J149" s="979"/>
      <c r="K149" s="979"/>
      <c r="L149" s="980"/>
      <c r="M149" s="978">
        <f>SUM(M150:P152)</f>
        <v>28564.600000000002</v>
      </c>
      <c r="N149" s="979"/>
      <c r="O149" s="979"/>
      <c r="P149" s="980"/>
      <c r="Q149" s="978">
        <f>SUM(Q150:T152)</f>
        <v>20483.1</v>
      </c>
      <c r="R149" s="979"/>
      <c r="S149" s="979"/>
      <c r="T149" s="980"/>
      <c r="U149" s="326"/>
      <c r="V149" s="326"/>
      <c r="W149" s="331"/>
      <c r="X149" s="332"/>
    </row>
    <row r="150" spans="1:22" ht="15.75" customHeight="1">
      <c r="A150" s="949" t="s">
        <v>167</v>
      </c>
      <c r="B150" s="950"/>
      <c r="C150" s="950"/>
      <c r="D150" s="950"/>
      <c r="E150" s="950"/>
      <c r="F150" s="950"/>
      <c r="G150" s="950"/>
      <c r="H150" s="951"/>
      <c r="I150" s="964">
        <f>SUMIF(H12:H144,"SB",I12:I144)</f>
        <v>18333.4</v>
      </c>
      <c r="J150" s="965"/>
      <c r="K150" s="965"/>
      <c r="L150" s="966"/>
      <c r="M150" s="964">
        <f>SUMIF(H12:H144,"SB",M12:M144)</f>
        <v>27430.7</v>
      </c>
      <c r="N150" s="965"/>
      <c r="O150" s="965"/>
      <c r="P150" s="966"/>
      <c r="Q150" s="964">
        <f>SUMIF(H12:H144,"SB",Q12:Q144)</f>
        <v>19449.199999999997</v>
      </c>
      <c r="R150" s="965"/>
      <c r="S150" s="965"/>
      <c r="T150" s="966"/>
      <c r="U150" s="254"/>
      <c r="V150" s="255"/>
    </row>
    <row r="151" spans="1:22" ht="15.75" customHeight="1">
      <c r="A151" s="949" t="s">
        <v>187</v>
      </c>
      <c r="B151" s="950"/>
      <c r="C151" s="950"/>
      <c r="D151" s="950"/>
      <c r="E151" s="950"/>
      <c r="F151" s="950"/>
      <c r="G151" s="950"/>
      <c r="H151" s="951"/>
      <c r="I151" s="964">
        <f>SUMIF(H12:H144,"SB(P)",I12:I144)</f>
        <v>358.6</v>
      </c>
      <c r="J151" s="965"/>
      <c r="K151" s="965"/>
      <c r="L151" s="966"/>
      <c r="M151" s="964">
        <f>SUMIF(H12:H144,"SB(P)",M12:M144)</f>
        <v>1133.9</v>
      </c>
      <c r="N151" s="965"/>
      <c r="O151" s="965"/>
      <c r="P151" s="966"/>
      <c r="Q151" s="964">
        <f>SUMIF(H12:H144,"SB(P)",Q12:Q144)</f>
        <v>1033.9</v>
      </c>
      <c r="R151" s="965"/>
      <c r="S151" s="965"/>
      <c r="T151" s="966"/>
      <c r="U151" s="254"/>
      <c r="V151" s="255"/>
    </row>
    <row r="152" spans="1:22" ht="15.75" customHeight="1">
      <c r="A152" s="961" t="s">
        <v>168</v>
      </c>
      <c r="B152" s="962"/>
      <c r="C152" s="962"/>
      <c r="D152" s="962"/>
      <c r="E152" s="962"/>
      <c r="F152" s="962"/>
      <c r="G152" s="962"/>
      <c r="H152" s="963"/>
      <c r="I152" s="981">
        <f>SUMIF(H12:H144,"PF",I12:I144)</f>
        <v>0</v>
      </c>
      <c r="J152" s="982"/>
      <c r="K152" s="982"/>
      <c r="L152" s="983"/>
      <c r="M152" s="981">
        <f>SUMIF(L12:L144,"PF",M12:M144)</f>
        <v>0</v>
      </c>
      <c r="N152" s="982"/>
      <c r="O152" s="982"/>
      <c r="P152" s="983"/>
      <c r="Q152" s="981">
        <f>SUMIF(P12:P144,"PF",Q12:Q144)</f>
        <v>0</v>
      </c>
      <c r="R152" s="982"/>
      <c r="S152" s="982"/>
      <c r="T152" s="983"/>
      <c r="U152" s="254"/>
      <c r="V152" s="255"/>
    </row>
    <row r="153" spans="1:22" ht="15.75" customHeight="1" thickBot="1">
      <c r="A153" s="972" t="s">
        <v>34</v>
      </c>
      <c r="B153" s="973"/>
      <c r="C153" s="973"/>
      <c r="D153" s="973"/>
      <c r="E153" s="973"/>
      <c r="F153" s="973"/>
      <c r="G153" s="973"/>
      <c r="H153" s="974"/>
      <c r="I153" s="995">
        <f>SUM(I154:L158)</f>
        <v>31450.9</v>
      </c>
      <c r="J153" s="996"/>
      <c r="K153" s="996"/>
      <c r="L153" s="997"/>
      <c r="M153" s="995">
        <f>SUM(M154:P158)</f>
        <v>49849</v>
      </c>
      <c r="N153" s="996"/>
      <c r="O153" s="996"/>
      <c r="P153" s="997"/>
      <c r="Q153" s="995">
        <f>SUM(Q154:T158)</f>
        <v>43248.8</v>
      </c>
      <c r="R153" s="996"/>
      <c r="S153" s="996"/>
      <c r="T153" s="997"/>
      <c r="U153" s="256"/>
      <c r="V153" s="17"/>
    </row>
    <row r="154" spans="1:22" ht="15.75" customHeight="1">
      <c r="A154" s="955" t="s">
        <v>169</v>
      </c>
      <c r="B154" s="956"/>
      <c r="C154" s="956"/>
      <c r="D154" s="956"/>
      <c r="E154" s="956"/>
      <c r="F154" s="956"/>
      <c r="G154" s="956"/>
      <c r="H154" s="957"/>
      <c r="I154" s="958">
        <f>SUMIF(H12:H144,"ES",I12:I144)</f>
        <v>14080.9</v>
      </c>
      <c r="J154" s="959"/>
      <c r="K154" s="959"/>
      <c r="L154" s="960"/>
      <c r="M154" s="958">
        <f>SUMIF(H12:H144,"ES",M12:M144)</f>
        <v>24139.9</v>
      </c>
      <c r="N154" s="959"/>
      <c r="O154" s="959"/>
      <c r="P154" s="960"/>
      <c r="Q154" s="958">
        <f>SUMIF(H12:H144,"ES",Q12:Q144)</f>
        <v>24247</v>
      </c>
      <c r="R154" s="959"/>
      <c r="S154" s="959"/>
      <c r="T154" s="960"/>
      <c r="U154" s="254"/>
      <c r="V154" s="255"/>
    </row>
    <row r="155" spans="1:22" ht="15.75" customHeight="1">
      <c r="A155" s="946" t="s">
        <v>171</v>
      </c>
      <c r="B155" s="947"/>
      <c r="C155" s="947"/>
      <c r="D155" s="947"/>
      <c r="E155" s="947"/>
      <c r="F155" s="947"/>
      <c r="G155" s="947"/>
      <c r="H155" s="948"/>
      <c r="I155" s="964">
        <f>SUMIF(H12:H144,"KPP",I12:I144)</f>
        <v>16663.1</v>
      </c>
      <c r="J155" s="965"/>
      <c r="K155" s="965"/>
      <c r="L155" s="966"/>
      <c r="M155" s="964">
        <f>SUMIF(H12:H144,"KPP",M12:M144)</f>
        <v>14449.1</v>
      </c>
      <c r="N155" s="965"/>
      <c r="O155" s="965"/>
      <c r="P155" s="966"/>
      <c r="Q155" s="964">
        <f>SUMIF(H12:H144,"KPP",Q12:Q144)</f>
        <v>7728.6</v>
      </c>
      <c r="R155" s="965"/>
      <c r="S155" s="965"/>
      <c r="T155" s="966"/>
      <c r="U155" s="259"/>
      <c r="V155" s="260"/>
    </row>
    <row r="156" spans="1:22" s="82" customFormat="1" ht="15.75" customHeight="1">
      <c r="A156" s="949" t="s">
        <v>170</v>
      </c>
      <c r="B156" s="950"/>
      <c r="C156" s="950"/>
      <c r="D156" s="950"/>
      <c r="E156" s="950"/>
      <c r="F156" s="950"/>
      <c r="G156" s="950"/>
      <c r="H156" s="951"/>
      <c r="I156" s="964">
        <f>SUMIF(H12:H144,"LRVB",I12:I144)</f>
        <v>506.9</v>
      </c>
      <c r="J156" s="965"/>
      <c r="K156" s="965"/>
      <c r="L156" s="966"/>
      <c r="M156" s="964">
        <f>SUMIF(H12:H144,"LRVB",M12:M144)</f>
        <v>633.5</v>
      </c>
      <c r="N156" s="965"/>
      <c r="O156" s="965"/>
      <c r="P156" s="966"/>
      <c r="Q156" s="964">
        <f>SUMIF(H12:H144,"LRVB",Q12:Q144)</f>
        <v>646.7</v>
      </c>
      <c r="R156" s="965"/>
      <c r="S156" s="965"/>
      <c r="T156" s="966"/>
      <c r="U156" s="257"/>
      <c r="V156" s="258"/>
    </row>
    <row r="157" spans="1:22" ht="15.75" customHeight="1">
      <c r="A157" s="946" t="s">
        <v>172</v>
      </c>
      <c r="B157" s="947"/>
      <c r="C157" s="947"/>
      <c r="D157" s="947"/>
      <c r="E157" s="947"/>
      <c r="F157" s="947"/>
      <c r="G157" s="947"/>
      <c r="H157" s="948"/>
      <c r="I157" s="964">
        <f>SUMIF(H12:H144,"KVJUD",I12:I144)</f>
        <v>0</v>
      </c>
      <c r="J157" s="965"/>
      <c r="K157" s="965"/>
      <c r="L157" s="966"/>
      <c r="M157" s="964">
        <f>SUMIF(H12:H144,"KVJUD",M12:M144)</f>
        <v>7000</v>
      </c>
      <c r="N157" s="965"/>
      <c r="O157" s="965"/>
      <c r="P157" s="966"/>
      <c r="Q157" s="964">
        <f>SUMIF(H12:H144,"KVJUD",Q12:Q144)</f>
        <v>7000</v>
      </c>
      <c r="R157" s="965"/>
      <c r="S157" s="965"/>
      <c r="T157" s="966"/>
      <c r="U157" s="254"/>
      <c r="V157" s="255"/>
    </row>
    <row r="158" spans="1:22" ht="15.75" customHeight="1">
      <c r="A158" s="949" t="s">
        <v>173</v>
      </c>
      <c r="B158" s="950"/>
      <c r="C158" s="950"/>
      <c r="D158" s="950"/>
      <c r="E158" s="950"/>
      <c r="F158" s="950"/>
      <c r="G158" s="950"/>
      <c r="H158" s="951"/>
      <c r="I158" s="964">
        <f>SUMIF(H12:H144,"Kt",I12:I144)</f>
        <v>200</v>
      </c>
      <c r="J158" s="965"/>
      <c r="K158" s="965"/>
      <c r="L158" s="966"/>
      <c r="M158" s="964">
        <f>SUMIF(H12:H144,"Kt",M12:M144)</f>
        <v>3626.5</v>
      </c>
      <c r="N158" s="965"/>
      <c r="O158" s="965"/>
      <c r="P158" s="966"/>
      <c r="Q158" s="964">
        <f>SUMIF(H12:H144,"Kt",Q12:Q144)</f>
        <v>3626.5</v>
      </c>
      <c r="R158" s="965"/>
      <c r="S158" s="965"/>
      <c r="T158" s="966"/>
      <c r="U158" s="254"/>
      <c r="V158" s="255"/>
    </row>
    <row r="159" spans="1:22" ht="15.75" customHeight="1" thickBot="1">
      <c r="A159" s="984" t="s">
        <v>35</v>
      </c>
      <c r="B159" s="985"/>
      <c r="C159" s="985"/>
      <c r="D159" s="985"/>
      <c r="E159" s="985"/>
      <c r="F159" s="985"/>
      <c r="G159" s="985"/>
      <c r="H159" s="986"/>
      <c r="I159" s="975">
        <f>I153+I149</f>
        <v>50142.9</v>
      </c>
      <c r="J159" s="976"/>
      <c r="K159" s="976"/>
      <c r="L159" s="977"/>
      <c r="M159" s="975">
        <f>M153+M149</f>
        <v>78413.6</v>
      </c>
      <c r="N159" s="976"/>
      <c r="O159" s="976"/>
      <c r="P159" s="977"/>
      <c r="Q159" s="975">
        <f>Q153+Q149</f>
        <v>63731.9</v>
      </c>
      <c r="R159" s="976"/>
      <c r="S159" s="976"/>
      <c r="T159" s="977"/>
      <c r="U159" s="261"/>
      <c r="V159" s="262"/>
    </row>
    <row r="162" spans="9:16" ht="12.75">
      <c r="I162" s="104"/>
      <c r="J162" s="104"/>
      <c r="N162" s="104"/>
      <c r="P162" s="104"/>
    </row>
  </sheetData>
  <sheetProtection/>
  <mergeCells count="274">
    <mergeCell ref="A116:A118"/>
    <mergeCell ref="E94:E100"/>
    <mergeCell ref="E110:E112"/>
    <mergeCell ref="A107:A109"/>
    <mergeCell ref="C101:C104"/>
    <mergeCell ref="A113:A115"/>
    <mergeCell ref="B113:B115"/>
    <mergeCell ref="C106:V106"/>
    <mergeCell ref="F110:F112"/>
    <mergeCell ref="A101:A104"/>
    <mergeCell ref="B110:B112"/>
    <mergeCell ref="B107:B109"/>
    <mergeCell ref="F107:F109"/>
    <mergeCell ref="D107:D109"/>
    <mergeCell ref="C113:C115"/>
    <mergeCell ref="D125:D127"/>
    <mergeCell ref="B116:B118"/>
    <mergeCell ref="E121:E122"/>
    <mergeCell ref="C116:C118"/>
    <mergeCell ref="E113:E114"/>
    <mergeCell ref="G57:G62"/>
    <mergeCell ref="E67:E69"/>
    <mergeCell ref="G101:G104"/>
    <mergeCell ref="C63:C65"/>
    <mergeCell ref="E75:E76"/>
    <mergeCell ref="C70:C74"/>
    <mergeCell ref="C89:C91"/>
    <mergeCell ref="G80:G82"/>
    <mergeCell ref="G85:G88"/>
    <mergeCell ref="G94:G100"/>
    <mergeCell ref="G133:G135"/>
    <mergeCell ref="G130:G132"/>
    <mergeCell ref="B136:B138"/>
    <mergeCell ref="F125:F127"/>
    <mergeCell ref="C129:Q129"/>
    <mergeCell ref="E136:E138"/>
    <mergeCell ref="C136:C138"/>
    <mergeCell ref="B125:B127"/>
    <mergeCell ref="A159:H159"/>
    <mergeCell ref="M156:P156"/>
    <mergeCell ref="A157:H157"/>
    <mergeCell ref="F139:F141"/>
    <mergeCell ref="C142:H142"/>
    <mergeCell ref="M150:P150"/>
    <mergeCell ref="I153:L153"/>
    <mergeCell ref="M151:P151"/>
    <mergeCell ref="M153:P153"/>
    <mergeCell ref="I152:L152"/>
    <mergeCell ref="M148:P148"/>
    <mergeCell ref="Q159:T159"/>
    <mergeCell ref="Q157:T157"/>
    <mergeCell ref="I155:L155"/>
    <mergeCell ref="Q150:T150"/>
    <mergeCell ref="Q152:T152"/>
    <mergeCell ref="Q153:T153"/>
    <mergeCell ref="I150:L150"/>
    <mergeCell ref="Q149:T149"/>
    <mergeCell ref="I149:L149"/>
    <mergeCell ref="M159:P159"/>
    <mergeCell ref="M149:P149"/>
    <mergeCell ref="I159:L159"/>
    <mergeCell ref="Q158:T158"/>
    <mergeCell ref="Q151:T151"/>
    <mergeCell ref="Q156:T156"/>
    <mergeCell ref="M155:P155"/>
    <mergeCell ref="M152:P152"/>
    <mergeCell ref="Q155:T155"/>
    <mergeCell ref="M158:P158"/>
    <mergeCell ref="Q154:T154"/>
    <mergeCell ref="I156:L156"/>
    <mergeCell ref="A158:H158"/>
    <mergeCell ref="I158:L158"/>
    <mergeCell ref="M154:P154"/>
    <mergeCell ref="A156:H156"/>
    <mergeCell ref="I157:L157"/>
    <mergeCell ref="M157:P157"/>
    <mergeCell ref="I148:L148"/>
    <mergeCell ref="B143:H143"/>
    <mergeCell ref="C139:C141"/>
    <mergeCell ref="E139:E141"/>
    <mergeCell ref="A148:H148"/>
    <mergeCell ref="G139:G141"/>
    <mergeCell ref="I154:L154"/>
    <mergeCell ref="A152:H152"/>
    <mergeCell ref="I151:L151"/>
    <mergeCell ref="A149:H149"/>
    <mergeCell ref="A150:H150"/>
    <mergeCell ref="A153:H153"/>
    <mergeCell ref="A155:H155"/>
    <mergeCell ref="A151:H151"/>
    <mergeCell ref="D136:D138"/>
    <mergeCell ref="A154:H154"/>
    <mergeCell ref="D139:D141"/>
    <mergeCell ref="G136:G138"/>
    <mergeCell ref="F133:F135"/>
    <mergeCell ref="C130:C132"/>
    <mergeCell ref="E126:E127"/>
    <mergeCell ref="C52:C56"/>
    <mergeCell ref="C92:H92"/>
    <mergeCell ref="F130:F132"/>
    <mergeCell ref="E133:E135"/>
    <mergeCell ref="D133:D135"/>
    <mergeCell ref="G125:G127"/>
    <mergeCell ref="C125:C127"/>
    <mergeCell ref="A139:A141"/>
    <mergeCell ref="E57:E58"/>
    <mergeCell ref="C44:C51"/>
    <mergeCell ref="D61:D62"/>
    <mergeCell ref="C57:C62"/>
    <mergeCell ref="B133:B135"/>
    <mergeCell ref="B130:B132"/>
    <mergeCell ref="A63:A65"/>
    <mergeCell ref="A66:A69"/>
    <mergeCell ref="D116:D118"/>
    <mergeCell ref="G52:G56"/>
    <mergeCell ref="E71:E74"/>
    <mergeCell ref="N6:O6"/>
    <mergeCell ref="Q6:Q7"/>
    <mergeCell ref="I6:I7"/>
    <mergeCell ref="G63:G65"/>
    <mergeCell ref="F57:F62"/>
    <mergeCell ref="F36:F43"/>
    <mergeCell ref="B10:V10"/>
    <mergeCell ref="G20:G27"/>
    <mergeCell ref="A44:A51"/>
    <mergeCell ref="A28:A35"/>
    <mergeCell ref="D52:D56"/>
    <mergeCell ref="E44:E51"/>
    <mergeCell ref="G12:G19"/>
    <mergeCell ref="A9:V9"/>
    <mergeCell ref="C11:V11"/>
    <mergeCell ref="A36:A43"/>
    <mergeCell ref="A20:A27"/>
    <mergeCell ref="D21:D22"/>
    <mergeCell ref="E23:E26"/>
    <mergeCell ref="F52:F56"/>
    <mergeCell ref="E28:E35"/>
    <mergeCell ref="F28:F35"/>
    <mergeCell ref="B20:B27"/>
    <mergeCell ref="E53:E56"/>
    <mergeCell ref="F44:F51"/>
    <mergeCell ref="E20:E22"/>
    <mergeCell ref="C20:C27"/>
    <mergeCell ref="C28:C35"/>
    <mergeCell ref="D34:D35"/>
    <mergeCell ref="C36:C43"/>
    <mergeCell ref="E36:E43"/>
    <mergeCell ref="F20:F27"/>
    <mergeCell ref="G36:G43"/>
    <mergeCell ref="B44:B51"/>
    <mergeCell ref="R6:S6"/>
    <mergeCell ref="H5:H7"/>
    <mergeCell ref="Q5:T5"/>
    <mergeCell ref="I5:L5"/>
    <mergeCell ref="D16:D17"/>
    <mergeCell ref="M6:M7"/>
    <mergeCell ref="J6:K6"/>
    <mergeCell ref="F12:F19"/>
    <mergeCell ref="A2:V2"/>
    <mergeCell ref="A3:V3"/>
    <mergeCell ref="A5:A7"/>
    <mergeCell ref="B5:B7"/>
    <mergeCell ref="C5:C7"/>
    <mergeCell ref="D5:D7"/>
    <mergeCell ref="F5:F7"/>
    <mergeCell ref="M5:P5"/>
    <mergeCell ref="E5:E7"/>
    <mergeCell ref="A75:A79"/>
    <mergeCell ref="B75:B79"/>
    <mergeCell ref="D75:D79"/>
    <mergeCell ref="C75:C79"/>
    <mergeCell ref="L6:L7"/>
    <mergeCell ref="U5:U7"/>
    <mergeCell ref="T6:T7"/>
    <mergeCell ref="A70:A74"/>
    <mergeCell ref="C66:C69"/>
    <mergeCell ref="D66:D69"/>
    <mergeCell ref="A8:V8"/>
    <mergeCell ref="V5:V7"/>
    <mergeCell ref="G5:G7"/>
    <mergeCell ref="G44:G51"/>
    <mergeCell ref="P6:P7"/>
    <mergeCell ref="A12:A19"/>
    <mergeCell ref="A52:A56"/>
    <mergeCell ref="E59:E62"/>
    <mergeCell ref="E12:E14"/>
    <mergeCell ref="A57:A62"/>
    <mergeCell ref="G28:G35"/>
    <mergeCell ref="B52:B56"/>
    <mergeCell ref="B28:B35"/>
    <mergeCell ref="B36:B43"/>
    <mergeCell ref="A80:A82"/>
    <mergeCell ref="A85:A88"/>
    <mergeCell ref="C80:C82"/>
    <mergeCell ref="C84:V84"/>
    <mergeCell ref="E86:E88"/>
    <mergeCell ref="D80:D82"/>
    <mergeCell ref="C83:H83"/>
    <mergeCell ref="A89:A91"/>
    <mergeCell ref="A94:A100"/>
    <mergeCell ref="B101:B104"/>
    <mergeCell ref="C85:C88"/>
    <mergeCell ref="C93:V93"/>
    <mergeCell ref="F89:F91"/>
    <mergeCell ref="F101:F104"/>
    <mergeCell ref="E101:E104"/>
    <mergeCell ref="C119:C124"/>
    <mergeCell ref="E123:E124"/>
    <mergeCell ref="A130:A132"/>
    <mergeCell ref="C128:H128"/>
    <mergeCell ref="E130:E132"/>
    <mergeCell ref="G119:G124"/>
    <mergeCell ref="D130:D132"/>
    <mergeCell ref="D121:D122"/>
    <mergeCell ref="F119:F124"/>
    <mergeCell ref="A133:A135"/>
    <mergeCell ref="A119:A124"/>
    <mergeCell ref="A125:A127"/>
    <mergeCell ref="B119:B124"/>
    <mergeCell ref="C12:C19"/>
    <mergeCell ref="B85:B88"/>
    <mergeCell ref="B94:B100"/>
    <mergeCell ref="E15:E19"/>
    <mergeCell ref="D57:D58"/>
    <mergeCell ref="B80:B82"/>
    <mergeCell ref="A146:T146"/>
    <mergeCell ref="Q147:T147"/>
    <mergeCell ref="Q148:T148"/>
    <mergeCell ref="G70:G74"/>
    <mergeCell ref="E119:E120"/>
    <mergeCell ref="B139:B141"/>
    <mergeCell ref="B144:H144"/>
    <mergeCell ref="C133:C135"/>
    <mergeCell ref="F136:F138"/>
    <mergeCell ref="A136:A138"/>
    <mergeCell ref="B12:B19"/>
    <mergeCell ref="B57:B62"/>
    <mergeCell ref="B89:B91"/>
    <mergeCell ref="F66:F69"/>
    <mergeCell ref="B66:B69"/>
    <mergeCell ref="E90:E91"/>
    <mergeCell ref="B63:B65"/>
    <mergeCell ref="D63:D65"/>
    <mergeCell ref="B70:B74"/>
    <mergeCell ref="E77:E79"/>
    <mergeCell ref="C94:C100"/>
    <mergeCell ref="G110:G112"/>
    <mergeCell ref="F85:F88"/>
    <mergeCell ref="C107:C109"/>
    <mergeCell ref="G107:G109"/>
    <mergeCell ref="E107:E109"/>
    <mergeCell ref="D110:D112"/>
    <mergeCell ref="C110:C112"/>
    <mergeCell ref="C105:H105"/>
    <mergeCell ref="E63:E65"/>
    <mergeCell ref="F63:F65"/>
    <mergeCell ref="G75:G79"/>
    <mergeCell ref="D123:D124"/>
    <mergeCell ref="G116:G118"/>
    <mergeCell ref="F80:F82"/>
    <mergeCell ref="D113:D115"/>
    <mergeCell ref="F113:F115"/>
    <mergeCell ref="F116:F118"/>
    <mergeCell ref="G113:G115"/>
    <mergeCell ref="E116:E117"/>
    <mergeCell ref="G66:G69"/>
    <mergeCell ref="D85:D88"/>
    <mergeCell ref="D101:D104"/>
    <mergeCell ref="D89:D91"/>
    <mergeCell ref="G89:G91"/>
    <mergeCell ref="D70:D74"/>
    <mergeCell ref="E80:E82"/>
    <mergeCell ref="F75:F79"/>
    <mergeCell ref="F70:F74"/>
  </mergeCells>
  <printOptions horizontalCentered="1"/>
  <pageMargins left="0" right="0" top="0" bottom="0" header="0" footer="0"/>
  <pageSetup horizontalDpi="600" verticalDpi="600" orientation="landscape" paperSize="9" scale="75" r:id="rId1"/>
  <rowBreaks count="4" manualBreakCount="4">
    <brk id="35" max="21" man="1"/>
    <brk id="69" max="21" man="1"/>
    <brk id="105" max="21" man="1"/>
    <brk id="13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2.7109375" style="18" customWidth="1"/>
    <col min="2" max="6" width="11.7109375" style="18" customWidth="1"/>
    <col min="7" max="16384" width="9.140625" style="18" customWidth="1"/>
  </cols>
  <sheetData>
    <row r="1" spans="1:6" s="22" customFormat="1" ht="18" customHeight="1">
      <c r="A1" s="1026" t="s">
        <v>57</v>
      </c>
      <c r="B1" s="1026"/>
      <c r="C1" s="1026"/>
      <c r="D1" s="1026"/>
      <c r="E1" s="1026"/>
      <c r="F1" s="1026"/>
    </row>
    <row r="2" s="22" customFormat="1" ht="18" customHeight="1" thickBot="1">
      <c r="F2" s="273" t="s">
        <v>32</v>
      </c>
    </row>
    <row r="3" spans="1:6" ht="14.25" customHeight="1">
      <c r="A3" s="1030" t="s">
        <v>23</v>
      </c>
      <c r="B3" s="1027" t="s">
        <v>288</v>
      </c>
      <c r="C3" s="1030" t="s">
        <v>155</v>
      </c>
      <c r="D3" s="1027" t="s">
        <v>287</v>
      </c>
      <c r="E3" s="1027" t="s">
        <v>131</v>
      </c>
      <c r="F3" s="1027" t="s">
        <v>159</v>
      </c>
    </row>
    <row r="4" spans="1:6" ht="9.75" customHeight="1">
      <c r="A4" s="1031"/>
      <c r="B4" s="1028"/>
      <c r="C4" s="1033"/>
      <c r="D4" s="1028"/>
      <c r="E4" s="1028"/>
      <c r="F4" s="1028"/>
    </row>
    <row r="5" spans="1:6" ht="12.75">
      <c r="A5" s="1031"/>
      <c r="B5" s="1028"/>
      <c r="C5" s="1033"/>
      <c r="D5" s="1028"/>
      <c r="E5" s="1028"/>
      <c r="F5" s="1028"/>
    </row>
    <row r="6" spans="1:6" ht="32.25" customHeight="1" thickBot="1">
      <c r="A6" s="1032"/>
      <c r="B6" s="1029"/>
      <c r="C6" s="1034"/>
      <c r="D6" s="1029"/>
      <c r="E6" s="1029"/>
      <c r="F6" s="1029"/>
    </row>
    <row r="7" spans="1:8" ht="15.75" customHeight="1">
      <c r="A7" s="502" t="s">
        <v>40</v>
      </c>
      <c r="B7" s="503">
        <f>B8+B10</f>
        <v>50142.9</v>
      </c>
      <c r="C7" s="503">
        <f>C8+C10</f>
        <v>78413.6</v>
      </c>
      <c r="D7" s="503">
        <f>D8+D10</f>
        <v>63731.9</v>
      </c>
      <c r="E7" s="503">
        <f>'1 lentelė'!U144</f>
        <v>56518.600000000006</v>
      </c>
      <c r="F7" s="503">
        <f>'1 lentelė'!V144</f>
        <v>42431.6</v>
      </c>
      <c r="G7" s="20"/>
      <c r="H7" s="19"/>
    </row>
    <row r="8" spans="1:8" ht="15.75" customHeight="1">
      <c r="A8" s="24" t="s">
        <v>41</v>
      </c>
      <c r="B8" s="263">
        <f>SUM('1 lentelė'!J144)</f>
        <v>20361.4</v>
      </c>
      <c r="C8" s="264">
        <f>SUM('1 lentelė'!N144)</f>
        <v>32141.6</v>
      </c>
      <c r="D8" s="506">
        <f>SUM('1 lentelė'!R144)</f>
        <v>22062.800000000003</v>
      </c>
      <c r="E8" s="263"/>
      <c r="F8" s="265"/>
      <c r="G8" s="19"/>
      <c r="H8" s="19"/>
    </row>
    <row r="9" spans="1:8" ht="15.75" customHeight="1">
      <c r="A9" s="25" t="s">
        <v>42</v>
      </c>
      <c r="B9" s="266">
        <f>'1 lentelė'!K144</f>
        <v>0</v>
      </c>
      <c r="C9" s="267">
        <f>'1 lentelė'!O144</f>
        <v>0</v>
      </c>
      <c r="D9" s="507">
        <f>'1 lentelė'!S144</f>
        <v>0</v>
      </c>
      <c r="E9" s="263"/>
      <c r="F9" s="268"/>
      <c r="G9" s="19"/>
      <c r="H9" s="19"/>
    </row>
    <row r="10" spans="1:8" ht="15.75" customHeight="1" thickBot="1">
      <c r="A10" s="96" t="s">
        <v>24</v>
      </c>
      <c r="B10" s="269">
        <f>SUM('1 lentelė'!L144)</f>
        <v>29781.5</v>
      </c>
      <c r="C10" s="270">
        <f>SUM('1 lentelė'!P144)</f>
        <v>46272</v>
      </c>
      <c r="D10" s="508">
        <f>SUM('1 lentelė'!T144)</f>
        <v>41669.1</v>
      </c>
      <c r="E10" s="269"/>
      <c r="F10" s="271"/>
      <c r="G10" s="19"/>
      <c r="H10" s="19"/>
    </row>
    <row r="11" spans="1:6" ht="15.75" customHeight="1" thickBot="1">
      <c r="A11" s="504" t="s">
        <v>43</v>
      </c>
      <c r="B11" s="505">
        <f>B12+B16</f>
        <v>50142.9</v>
      </c>
      <c r="C11" s="505">
        <f>C12+C16</f>
        <v>78413.6</v>
      </c>
      <c r="D11" s="505">
        <f>D12+D16</f>
        <v>63731.9</v>
      </c>
      <c r="E11" s="505">
        <f>E12+E16</f>
        <v>56518.6</v>
      </c>
      <c r="F11" s="505">
        <f>F12+F16</f>
        <v>42431.600000000006</v>
      </c>
    </row>
    <row r="12" spans="1:6" ht="15.75" customHeight="1" thickBot="1">
      <c r="A12" s="102" t="s">
        <v>44</v>
      </c>
      <c r="B12" s="272">
        <f>SUM(B13:B15)</f>
        <v>18692</v>
      </c>
      <c r="C12" s="272">
        <f>SUM(C13:C15)</f>
        <v>28564.600000000002</v>
      </c>
      <c r="D12" s="272">
        <f>SUM(D13:D15)</f>
        <v>20483.1</v>
      </c>
      <c r="E12" s="272">
        <f>SUM(E13:E15)</f>
        <v>19413.4</v>
      </c>
      <c r="F12" s="272">
        <f>SUM(F13:F15)</f>
        <v>20617.9</v>
      </c>
    </row>
    <row r="13" spans="1:6" ht="15.75" customHeight="1">
      <c r="A13" s="230" t="s">
        <v>190</v>
      </c>
      <c r="B13" s="274">
        <f>SUMIF('1 lentelė'!H12:H144,"SB",'1 lentelė'!I12:I144)</f>
        <v>18333.4</v>
      </c>
      <c r="C13" s="274">
        <f>SUMIF('1 lentelė'!H12:H144,"SB",'1 lentelė'!M12:M144)</f>
        <v>27430.7</v>
      </c>
      <c r="D13" s="509">
        <f>SUMIF('1 lentelė'!H12:H144,"SB",'1 lentelė'!Q12:Q144)</f>
        <v>19449.199999999997</v>
      </c>
      <c r="E13" s="274">
        <f>SUMIF('1 lentelė'!H12:H144,"SB",'1 lentelė'!U12:U144)</f>
        <v>18148.600000000002</v>
      </c>
      <c r="F13" s="274">
        <f>SUMIF('1 lentelė'!H12:H144,"SB",'1 lentelė'!V12:V144)</f>
        <v>18117.9</v>
      </c>
    </row>
    <row r="14" spans="1:6" ht="15.75" customHeight="1">
      <c r="A14" s="74" t="s">
        <v>191</v>
      </c>
      <c r="B14" s="274">
        <f>SUMIF('1 lentelė'!H12:H144,"SB(P)",'1 lentelė'!I12:I144)</f>
        <v>358.6</v>
      </c>
      <c r="C14" s="274">
        <f>SUMIF('1 lentelė'!H12:H144,"SB(P)",'1 lentelė'!M12:M144)</f>
        <v>1133.9</v>
      </c>
      <c r="D14" s="509">
        <f>SUMIF('1 lentelė'!H12:H144,"SB(P)",'1 lentelė'!Q12:Q144)</f>
        <v>1033.9</v>
      </c>
      <c r="E14" s="274">
        <f>SUMIF('1 lentelė'!H12:H144,"SB(P)",'1 lentelė'!U12:U144)</f>
        <v>1264.8</v>
      </c>
      <c r="F14" s="274">
        <f>SUMIF('1 lentelė'!H12:H144,"SB(P)",'1 lentelė'!V12:V144)</f>
        <v>2500</v>
      </c>
    </row>
    <row r="15" spans="1:6" ht="15.75" customHeight="1" thickBot="1">
      <c r="A15" s="74" t="s">
        <v>289</v>
      </c>
      <c r="B15" s="275">
        <f>SUMIF('1 lentelė'!H12:H144,"PF",'1 lentelė'!I12:I144)</f>
        <v>0</v>
      </c>
      <c r="C15" s="275">
        <f>SUMIF('1 lentelė'!H12:H144,"PF",'1 lentelė'!M12:M144)</f>
        <v>0</v>
      </c>
      <c r="D15" s="510">
        <f>SUMIF('1 lentelė'!H12:H144,"PF",'1 lentelė'!Q12:Q144)</f>
        <v>0</v>
      </c>
      <c r="E15" s="275">
        <f>SUMIF('1 lentelė'!H12:H144,"PF",'1 lentelė'!U12:U144)</f>
        <v>0</v>
      </c>
      <c r="F15" s="275">
        <f>SUMIF('1 lentelė'!H12:H144,"PF",'1 lentelė'!V12:V144)</f>
        <v>0</v>
      </c>
    </row>
    <row r="16" spans="1:6" ht="15.75" customHeight="1" thickBot="1">
      <c r="A16" s="26" t="s">
        <v>45</v>
      </c>
      <c r="B16" s="272">
        <f>SUM(B17:B21)</f>
        <v>31450.9</v>
      </c>
      <c r="C16" s="272">
        <f>SUM(C17:C21)</f>
        <v>49849</v>
      </c>
      <c r="D16" s="272">
        <f>SUM(D17:D21)</f>
        <v>43248.8</v>
      </c>
      <c r="E16" s="272">
        <f>SUM(E17:E21)</f>
        <v>37105.2</v>
      </c>
      <c r="F16" s="272">
        <f>SUM(F17:F21)</f>
        <v>21813.7</v>
      </c>
    </row>
    <row r="17" spans="1:6" ht="15.75" customHeight="1">
      <c r="A17" s="75" t="s">
        <v>116</v>
      </c>
      <c r="B17" s="274">
        <f>SUMIF('1 lentelė'!H12:H144,"ES",'1 lentelė'!I12:I144)</f>
        <v>14080.9</v>
      </c>
      <c r="C17" s="274">
        <f>SUMIF('1 lentelė'!H12:H144,"ES",'1 lentelė'!M12:M144)</f>
        <v>24139.9</v>
      </c>
      <c r="D17" s="509">
        <f>SUMIF('1 lentelė'!H12:H144,"ES",'1 lentelė'!Q12:Q144)</f>
        <v>24247</v>
      </c>
      <c r="E17" s="274">
        <f>SUMIF('1 lentelė'!H12:H144,"ES",'1 lentelė'!U12:U144)</f>
        <v>8347.9</v>
      </c>
      <c r="F17" s="274">
        <f>SUMIF('1 lentelė'!H12:H144,"ES",'1 lentelė'!V12:V144)</f>
        <v>1491.2</v>
      </c>
    </row>
    <row r="18" spans="1:6" ht="15.75" customHeight="1">
      <c r="A18" s="84" t="s">
        <v>117</v>
      </c>
      <c r="B18" s="274">
        <f>SUMIF('1 lentelė'!H12:H144,"KPP",'1 lentelė'!I12:I144)</f>
        <v>16663.1</v>
      </c>
      <c r="C18" s="274">
        <f>SUMIF('1 lentelė'!H12:H144,"KPP",'1 lentelė'!M12:M144)</f>
        <v>14449.1</v>
      </c>
      <c r="D18" s="509">
        <f>SUMIF('1 lentelė'!H12:H144,"KPP",'1 lentelė'!Q12:Q144)</f>
        <v>7728.6</v>
      </c>
      <c r="E18" s="274">
        <f>SUMIF('1 lentelė'!H12:H144,"KPP",'1 lentelė'!U12:U144)</f>
        <v>23343.299999999996</v>
      </c>
      <c r="F18" s="274">
        <f>SUMIF('1 lentelė'!H12:H144,"KPP",'1 lentelė'!V12:V144)</f>
        <v>11937.6</v>
      </c>
    </row>
    <row r="19" spans="1:6" ht="15.75" customHeight="1">
      <c r="A19" s="83" t="s">
        <v>192</v>
      </c>
      <c r="B19" s="274">
        <f>SUMIF('1 lentelė'!H12:H144,"LRVB",'1 lentelė'!I12:I144)</f>
        <v>506.9</v>
      </c>
      <c r="C19" s="274">
        <f>SUMIF('1 lentelė'!H12:H144,"LRVB",'1 lentelė'!M12:M144)</f>
        <v>633.5</v>
      </c>
      <c r="D19" s="509">
        <f>SUMIF('1 lentelė'!H12:H144,"LRVB",'1 lentelė'!Q12:Q144)</f>
        <v>646.7</v>
      </c>
      <c r="E19" s="274">
        <f>SUMIF('1 lentelė'!H12:H144,"LRVB",'1 lentelė'!U12:U144)</f>
        <v>712.9</v>
      </c>
      <c r="F19" s="274">
        <f>SUMIF('1 lentelė'!H12:H144,"LRVB",'1 lentelė'!V12:V144)</f>
        <v>79.4</v>
      </c>
    </row>
    <row r="20" spans="1:6" ht="15.75" customHeight="1">
      <c r="A20" s="74" t="s">
        <v>111</v>
      </c>
      <c r="B20" s="274">
        <f>SUMIF('1 lentelė'!H12:H144,"KVJUD",'1 lentelė'!I12:I144)</f>
        <v>0</v>
      </c>
      <c r="C20" s="274">
        <f>SUMIF('1 lentelė'!H12:H144,"KVJUD",'1 lentelė'!M12:M144)</f>
        <v>7000</v>
      </c>
      <c r="D20" s="509">
        <f>SUMIF('1 lentelė'!H12:H144,"KVJUD",'1 lentelė'!Q12:Q144)</f>
        <v>7000</v>
      </c>
      <c r="E20" s="274">
        <f>SUMIF('1 lentelė'!H12:H144,"KVJUD",'1 lentelė'!U12:U144)</f>
        <v>659.1</v>
      </c>
      <c r="F20" s="274">
        <f>SUMIF('1 lentelė'!H12:H144,"KVJUD",'1 lentelė'!V12:V144)</f>
        <v>659.1</v>
      </c>
    </row>
    <row r="21" spans="1:6" ht="15.75" customHeight="1" thickBot="1">
      <c r="A21" s="76" t="s">
        <v>193</v>
      </c>
      <c r="B21" s="274">
        <f>SUMIF('1 lentelė'!H12:H144,"Kt",'1 lentelė'!I12:I144)</f>
        <v>200</v>
      </c>
      <c r="C21" s="274">
        <f>SUMIF('1 lentelė'!H12:H144,"Kt",'1 lentelė'!M12:M144)</f>
        <v>3626.5</v>
      </c>
      <c r="D21" s="509">
        <f>SUMIF('1 lentelė'!H12:H144,"Kt",'1 lentelė'!Q12:Q144)</f>
        <v>3626.5</v>
      </c>
      <c r="E21" s="274">
        <f>SUMIF('1 lentelė'!H12:H144,"Kt",'1 lentelė'!U12:U144)</f>
        <v>4042.0000000000005</v>
      </c>
      <c r="F21" s="274">
        <f>SUMIF('1 lentelė'!H12:H144,"Kt",'1 lentelė'!V12:V144)</f>
        <v>7646.4</v>
      </c>
    </row>
    <row r="22" spans="1:6" ht="15.75" customHeight="1">
      <c r="A22" s="753"/>
      <c r="B22" s="753"/>
      <c r="C22" s="753"/>
      <c r="D22" s="753"/>
      <c r="E22" s="753"/>
      <c r="F22" s="753"/>
    </row>
    <row r="23" spans="1:6" ht="15.75" customHeight="1">
      <c r="A23" s="526"/>
      <c r="B23" s="526"/>
      <c r="C23" s="526"/>
      <c r="D23" s="526"/>
      <c r="E23" s="526"/>
      <c r="F23" s="526"/>
    </row>
    <row r="24" ht="12.75">
      <c r="A24" s="21"/>
    </row>
  </sheetData>
  <sheetProtection/>
  <mergeCells count="7">
    <mergeCell ref="A1:F1"/>
    <mergeCell ref="F3:F6"/>
    <mergeCell ref="A3:A6"/>
    <mergeCell ref="B3:B6"/>
    <mergeCell ref="C3:C6"/>
    <mergeCell ref="D3:D6"/>
    <mergeCell ref="E3:E6"/>
  </mergeCells>
  <printOptions/>
  <pageMargins left="0.7874015748031497" right="0.35433070866141736" top="0.7874015748031497" bottom="0.787401574803149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70.7109375" style="0" customWidth="1"/>
    <col min="3" max="3" width="13.8515625" style="371" customWidth="1"/>
    <col min="4" max="7" width="9.7109375" style="0" customWidth="1"/>
  </cols>
  <sheetData>
    <row r="1" spans="1:7" ht="18.75" customHeight="1">
      <c r="A1" s="31"/>
      <c r="B1" s="31" t="s">
        <v>58</v>
      </c>
      <c r="C1" s="32"/>
      <c r="D1" s="32"/>
      <c r="E1" s="32"/>
      <c r="F1" s="33"/>
      <c r="G1" s="34" t="s">
        <v>59</v>
      </c>
    </row>
    <row r="2" spans="1:7" ht="36" customHeight="1">
      <c r="A2" s="35"/>
      <c r="B2" s="36" t="s">
        <v>72</v>
      </c>
      <c r="C2" s="37" t="s">
        <v>60</v>
      </c>
      <c r="D2" s="38" t="s">
        <v>9</v>
      </c>
      <c r="E2" s="39"/>
      <c r="F2" s="39"/>
      <c r="G2" s="39"/>
    </row>
    <row r="3" spans="1:7" ht="15" customHeight="1">
      <c r="A3" s="35"/>
      <c r="B3" s="40" t="s">
        <v>61</v>
      </c>
      <c r="C3" s="41"/>
      <c r="D3" s="42"/>
      <c r="E3" s="39"/>
      <c r="F3" s="39"/>
      <c r="G3" s="39"/>
    </row>
    <row r="4" spans="1:7" ht="25.5" customHeight="1">
      <c r="A4" s="35"/>
      <c r="B4" s="36" t="s">
        <v>73</v>
      </c>
      <c r="C4" s="37" t="s">
        <v>60</v>
      </c>
      <c r="D4" s="38" t="s">
        <v>13</v>
      </c>
      <c r="E4" s="39"/>
      <c r="F4" s="39"/>
      <c r="G4" s="39"/>
    </row>
    <row r="5" spans="1:7" ht="15.75" customHeight="1">
      <c r="A5" s="43"/>
      <c r="B5" s="40" t="s">
        <v>62</v>
      </c>
      <c r="C5" s="44"/>
      <c r="D5" s="45"/>
      <c r="E5" s="46"/>
      <c r="F5" s="47"/>
      <c r="G5" s="47"/>
    </row>
    <row r="6" spans="1:7" ht="15.75" customHeight="1">
      <c r="A6" s="48"/>
      <c r="B6" s="49"/>
      <c r="C6" s="369"/>
      <c r="D6" s="49"/>
      <c r="E6" s="48"/>
      <c r="F6" s="49"/>
      <c r="G6" s="49"/>
    </row>
    <row r="7" spans="1:7" ht="18.75" customHeight="1">
      <c r="A7" s="1038" t="s">
        <v>76</v>
      </c>
      <c r="B7" s="1035" t="s">
        <v>63</v>
      </c>
      <c r="C7" s="1035" t="s">
        <v>64</v>
      </c>
      <c r="D7" s="1035" t="s">
        <v>198</v>
      </c>
      <c r="E7" s="1035" t="s">
        <v>194</v>
      </c>
      <c r="F7" s="1035" t="s">
        <v>133</v>
      </c>
      <c r="G7" s="1035" t="s">
        <v>195</v>
      </c>
    </row>
    <row r="8" spans="1:7" ht="42.75" customHeight="1">
      <c r="A8" s="1039"/>
      <c r="B8" s="1035"/>
      <c r="C8" s="1036" t="s">
        <v>47</v>
      </c>
      <c r="D8" s="1036" t="s">
        <v>65</v>
      </c>
      <c r="E8" s="1036"/>
      <c r="F8" s="1037"/>
      <c r="G8" s="1037"/>
    </row>
    <row r="9" spans="1:7" ht="12.75">
      <c r="A9" s="72" t="s">
        <v>84</v>
      </c>
      <c r="B9" s="50" t="s">
        <v>66</v>
      </c>
      <c r="C9" s="51"/>
      <c r="D9" s="51"/>
      <c r="E9" s="51"/>
      <c r="F9" s="51"/>
      <c r="G9" s="51"/>
    </row>
    <row r="10" spans="1:7" ht="16.5" customHeight="1">
      <c r="A10" s="52"/>
      <c r="B10" s="53" t="s">
        <v>67</v>
      </c>
      <c r="C10" s="54"/>
      <c r="D10" s="54"/>
      <c r="E10" s="54"/>
      <c r="F10" s="54"/>
      <c r="G10" s="54"/>
    </row>
    <row r="11" spans="1:10" ht="17.25" customHeight="1">
      <c r="A11" s="52"/>
      <c r="B11" s="61" t="s">
        <v>122</v>
      </c>
      <c r="C11" s="54" t="s">
        <v>74</v>
      </c>
      <c r="D11" s="54">
        <v>81.4</v>
      </c>
      <c r="E11" s="54">
        <v>82</v>
      </c>
      <c r="F11" s="54">
        <v>83</v>
      </c>
      <c r="G11" s="54">
        <v>84</v>
      </c>
      <c r="I11" s="64"/>
      <c r="J11" s="29"/>
    </row>
    <row r="12" spans="1:10" ht="16.5" customHeight="1">
      <c r="A12" s="55"/>
      <c r="B12" s="63" t="s">
        <v>102</v>
      </c>
      <c r="C12" s="54" t="s">
        <v>75</v>
      </c>
      <c r="D12" s="54">
        <v>3.3</v>
      </c>
      <c r="E12" s="54">
        <v>3.4</v>
      </c>
      <c r="F12" s="54">
        <v>3.5</v>
      </c>
      <c r="G12" s="54">
        <v>3.6</v>
      </c>
      <c r="I12" s="64"/>
      <c r="J12" s="29"/>
    </row>
    <row r="13" spans="1:11" ht="15.75" customHeight="1">
      <c r="A13" s="55"/>
      <c r="B13" s="376" t="s">
        <v>199</v>
      </c>
      <c r="C13" s="372" t="s">
        <v>85</v>
      </c>
      <c r="D13" s="373">
        <v>18</v>
      </c>
      <c r="E13" s="373">
        <v>20</v>
      </c>
      <c r="F13" s="373">
        <v>22</v>
      </c>
      <c r="G13" s="373">
        <v>22</v>
      </c>
      <c r="I13" s="71"/>
      <c r="J13" s="71"/>
      <c r="K13" s="71"/>
    </row>
    <row r="14" spans="1:11" ht="16.5" customHeight="1">
      <c r="A14" s="55"/>
      <c r="B14" s="376" t="s">
        <v>228</v>
      </c>
      <c r="C14" s="374" t="s">
        <v>101</v>
      </c>
      <c r="D14" s="375">
        <v>87</v>
      </c>
      <c r="E14" s="375">
        <v>87</v>
      </c>
      <c r="F14" s="375">
        <v>117</v>
      </c>
      <c r="G14" s="375">
        <v>137</v>
      </c>
      <c r="I14" s="71"/>
      <c r="J14" s="71"/>
      <c r="K14" s="71"/>
    </row>
    <row r="15" spans="1:11" ht="12.75">
      <c r="A15" s="52"/>
      <c r="B15" s="50" t="s">
        <v>68</v>
      </c>
      <c r="C15" s="51"/>
      <c r="D15" s="54"/>
      <c r="E15" s="54"/>
      <c r="F15" s="54"/>
      <c r="G15" s="54"/>
      <c r="I15" s="64"/>
      <c r="J15" s="65"/>
      <c r="K15" s="66"/>
    </row>
    <row r="16" spans="1:10" ht="12.75">
      <c r="A16" s="52"/>
      <c r="B16" s="53" t="s">
        <v>67</v>
      </c>
      <c r="C16" s="54"/>
      <c r="D16" s="54"/>
      <c r="E16" s="54"/>
      <c r="F16" s="54"/>
      <c r="G16" s="54"/>
      <c r="I16" s="64"/>
      <c r="J16" s="29"/>
    </row>
    <row r="17" spans="1:7" ht="12.75">
      <c r="A17" s="52"/>
      <c r="B17" s="58" t="s">
        <v>69</v>
      </c>
      <c r="C17" s="54"/>
      <c r="D17" s="87"/>
      <c r="E17" s="54"/>
      <c r="F17" s="54"/>
      <c r="G17" s="54"/>
    </row>
    <row r="18" spans="1:7" ht="12.75">
      <c r="A18" s="52"/>
      <c r="B18" s="61" t="s">
        <v>105</v>
      </c>
      <c r="C18" s="62" t="s">
        <v>78</v>
      </c>
      <c r="D18" s="113">
        <v>354.8</v>
      </c>
      <c r="E18" s="107">
        <v>1713</v>
      </c>
      <c r="F18" s="62">
        <v>7.33</v>
      </c>
      <c r="G18" s="62">
        <v>0</v>
      </c>
    </row>
    <row r="19" spans="1:7" ht="16.5" customHeight="1">
      <c r="A19" s="55"/>
      <c r="B19" s="63" t="s">
        <v>106</v>
      </c>
      <c r="C19" s="62" t="s">
        <v>86</v>
      </c>
      <c r="D19" s="114">
        <v>3104</v>
      </c>
      <c r="E19" s="107">
        <v>1251</v>
      </c>
      <c r="F19" s="62">
        <v>7937.33</v>
      </c>
      <c r="G19" s="62">
        <v>9421</v>
      </c>
    </row>
    <row r="20" spans="1:7" ht="16.5" customHeight="1">
      <c r="A20" s="55"/>
      <c r="B20" s="63" t="s">
        <v>107</v>
      </c>
      <c r="C20" s="62" t="s">
        <v>87</v>
      </c>
      <c r="D20" s="114"/>
      <c r="E20" s="107">
        <v>1</v>
      </c>
      <c r="F20" s="62">
        <v>1</v>
      </c>
      <c r="G20" s="62">
        <v>0</v>
      </c>
    </row>
    <row r="21" spans="1:7" ht="15" customHeight="1">
      <c r="A21" s="55"/>
      <c r="B21" s="58" t="s">
        <v>70</v>
      </c>
      <c r="C21" s="54"/>
      <c r="D21" s="87"/>
      <c r="E21" s="54"/>
      <c r="F21" s="54"/>
      <c r="G21" s="54"/>
    </row>
    <row r="22" spans="1:7" ht="15" customHeight="1">
      <c r="A22" s="55"/>
      <c r="B22" s="59" t="s">
        <v>88</v>
      </c>
      <c r="C22" s="54" t="s">
        <v>79</v>
      </c>
      <c r="D22" s="54">
        <v>1317</v>
      </c>
      <c r="E22" s="54">
        <v>768</v>
      </c>
      <c r="F22" s="54">
        <v>1007.5</v>
      </c>
      <c r="G22" s="54">
        <v>1773.5</v>
      </c>
    </row>
    <row r="23" spans="1:7" ht="15.75" customHeight="1">
      <c r="A23" s="57"/>
      <c r="B23" s="58" t="s">
        <v>123</v>
      </c>
      <c r="C23" s="54"/>
      <c r="D23" s="54"/>
      <c r="E23" s="54"/>
      <c r="F23" s="54"/>
      <c r="G23" s="54"/>
    </row>
    <row r="24" spans="1:7" ht="15.75" customHeight="1">
      <c r="A24" s="57"/>
      <c r="B24" s="56" t="s">
        <v>203</v>
      </c>
      <c r="C24" s="54" t="s">
        <v>80</v>
      </c>
      <c r="D24" s="54">
        <v>150</v>
      </c>
      <c r="E24" s="54">
        <v>150</v>
      </c>
      <c r="F24" s="54">
        <v>150</v>
      </c>
      <c r="G24" s="54">
        <v>150</v>
      </c>
    </row>
    <row r="25" spans="1:7" ht="15.75" customHeight="1">
      <c r="A25" s="57"/>
      <c r="B25" s="59" t="s">
        <v>200</v>
      </c>
      <c r="C25" s="54" t="s">
        <v>108</v>
      </c>
      <c r="D25" s="54"/>
      <c r="E25" s="54">
        <v>130</v>
      </c>
      <c r="F25" s="54"/>
      <c r="G25" s="54"/>
    </row>
    <row r="26" spans="1:7" ht="15.75" customHeight="1">
      <c r="A26" s="57"/>
      <c r="B26" s="86" t="s">
        <v>112</v>
      </c>
      <c r="C26" s="54" t="s">
        <v>129</v>
      </c>
      <c r="D26" s="62">
        <v>691</v>
      </c>
      <c r="E26" s="62">
        <v>520</v>
      </c>
      <c r="F26" s="62">
        <v>520</v>
      </c>
      <c r="G26" s="62">
        <v>520</v>
      </c>
    </row>
    <row r="27" spans="1:7" ht="15" customHeight="1">
      <c r="A27" s="77"/>
      <c r="B27" s="115" t="s">
        <v>144</v>
      </c>
      <c r="C27" s="54" t="s">
        <v>81</v>
      </c>
      <c r="D27" s="108"/>
      <c r="E27" s="109">
        <v>1</v>
      </c>
      <c r="F27" s="110">
        <v>1</v>
      </c>
      <c r="G27" s="111">
        <v>1</v>
      </c>
    </row>
    <row r="28" spans="1:7" ht="15" customHeight="1">
      <c r="A28" s="77"/>
      <c r="B28" s="116" t="s">
        <v>113</v>
      </c>
      <c r="C28" s="54" t="s">
        <v>82</v>
      </c>
      <c r="D28" s="112">
        <v>5000</v>
      </c>
      <c r="E28" s="99">
        <v>4700</v>
      </c>
      <c r="F28" s="99">
        <v>4700</v>
      </c>
      <c r="G28" s="99">
        <v>4700</v>
      </c>
    </row>
    <row r="29" spans="1:7" ht="15" customHeight="1">
      <c r="A29" s="77"/>
      <c r="B29" s="117" t="s">
        <v>114</v>
      </c>
      <c r="C29" s="54" t="s">
        <v>109</v>
      </c>
      <c r="D29" s="89">
        <v>1</v>
      </c>
      <c r="E29" s="79">
        <v>3</v>
      </c>
      <c r="F29" s="79">
        <v>3</v>
      </c>
      <c r="G29" s="79">
        <v>3</v>
      </c>
    </row>
    <row r="30" spans="1:13" ht="15.75" customHeight="1">
      <c r="A30" s="57"/>
      <c r="B30" s="368" t="s">
        <v>71</v>
      </c>
      <c r="C30" s="54"/>
      <c r="D30" s="54"/>
      <c r="E30" s="54"/>
      <c r="F30" s="54"/>
      <c r="G30" s="54"/>
      <c r="I30" s="80"/>
      <c r="J30" s="80"/>
      <c r="K30" s="80"/>
      <c r="L30" s="80"/>
      <c r="M30" s="29"/>
    </row>
    <row r="31" spans="1:8" ht="15.75" customHeight="1">
      <c r="A31" s="57"/>
      <c r="B31" s="59" t="s">
        <v>118</v>
      </c>
      <c r="C31" s="54" t="s">
        <v>77</v>
      </c>
      <c r="D31" s="304">
        <v>9.7</v>
      </c>
      <c r="E31" s="304">
        <v>11</v>
      </c>
      <c r="F31" s="304">
        <v>14</v>
      </c>
      <c r="G31" s="304">
        <v>14</v>
      </c>
      <c r="H31" s="29"/>
    </row>
    <row r="32" spans="1:7" ht="15.75" customHeight="1">
      <c r="A32" s="57"/>
      <c r="B32" s="59" t="s">
        <v>119</v>
      </c>
      <c r="C32" s="54" t="s">
        <v>83</v>
      </c>
      <c r="D32" s="54">
        <v>24.5</v>
      </c>
      <c r="E32" s="54">
        <v>11</v>
      </c>
      <c r="F32" s="54">
        <v>15</v>
      </c>
      <c r="G32" s="54">
        <v>15</v>
      </c>
    </row>
    <row r="33" spans="1:7" ht="15.75" customHeight="1">
      <c r="A33" s="57"/>
      <c r="B33" s="59" t="s">
        <v>202</v>
      </c>
      <c r="C33" s="54" t="s">
        <v>89</v>
      </c>
      <c r="D33" s="54">
        <v>2.6</v>
      </c>
      <c r="E33" s="54">
        <v>2</v>
      </c>
      <c r="F33" s="54">
        <v>2</v>
      </c>
      <c r="G33" s="54">
        <v>2</v>
      </c>
    </row>
    <row r="34" spans="1:7" ht="15.75" customHeight="1">
      <c r="A34" s="57"/>
      <c r="B34" s="59" t="s">
        <v>120</v>
      </c>
      <c r="C34" s="54" t="s">
        <v>90</v>
      </c>
      <c r="D34" s="54">
        <v>0.19</v>
      </c>
      <c r="E34" s="54">
        <v>0.13</v>
      </c>
      <c r="F34" s="54">
        <v>0.16</v>
      </c>
      <c r="G34" s="54">
        <v>0.16</v>
      </c>
    </row>
    <row r="35" spans="1:7" ht="15.75" customHeight="1">
      <c r="A35" s="57"/>
      <c r="B35" s="59" t="s">
        <v>204</v>
      </c>
      <c r="C35" s="54" t="s">
        <v>91</v>
      </c>
      <c r="D35" s="54">
        <v>872</v>
      </c>
      <c r="E35" s="54">
        <v>872</v>
      </c>
      <c r="F35" s="54">
        <v>872</v>
      </c>
      <c r="G35" s="54">
        <v>872</v>
      </c>
    </row>
    <row r="36" spans="1:7" ht="15.75" customHeight="1">
      <c r="A36" s="57"/>
      <c r="B36" s="59" t="s">
        <v>96</v>
      </c>
      <c r="C36" s="54" t="s">
        <v>92</v>
      </c>
      <c r="D36" s="54">
        <v>3.7</v>
      </c>
      <c r="E36" s="54">
        <v>3.8</v>
      </c>
      <c r="F36" s="54">
        <v>5.5</v>
      </c>
      <c r="G36" s="54">
        <v>5.5</v>
      </c>
    </row>
    <row r="37" spans="1:7" ht="15.75" customHeight="1">
      <c r="A37" s="57"/>
      <c r="B37" s="59" t="s">
        <v>124</v>
      </c>
      <c r="C37" s="54" t="s">
        <v>93</v>
      </c>
      <c r="D37" s="54"/>
      <c r="E37" s="54">
        <v>20</v>
      </c>
      <c r="F37" s="54">
        <v>20</v>
      </c>
      <c r="G37" s="54">
        <v>20</v>
      </c>
    </row>
    <row r="38" spans="1:7" ht="15.75" customHeight="1">
      <c r="A38" s="57"/>
      <c r="B38" s="59" t="s">
        <v>121</v>
      </c>
      <c r="C38" s="54" t="s">
        <v>94</v>
      </c>
      <c r="D38" s="54">
        <v>7.5</v>
      </c>
      <c r="E38" s="54">
        <v>6.9</v>
      </c>
      <c r="F38" s="54">
        <v>6.9</v>
      </c>
      <c r="G38" s="54">
        <v>6.9</v>
      </c>
    </row>
    <row r="39" spans="1:7" ht="15.75" customHeight="1">
      <c r="A39" s="57"/>
      <c r="B39" s="59" t="s">
        <v>97</v>
      </c>
      <c r="C39" s="54" t="s">
        <v>95</v>
      </c>
      <c r="D39" s="54">
        <v>88</v>
      </c>
      <c r="E39" s="54">
        <v>0</v>
      </c>
      <c r="F39" s="54">
        <v>0</v>
      </c>
      <c r="G39" s="54">
        <v>0</v>
      </c>
    </row>
    <row r="40" spans="1:7" ht="15.75" customHeight="1">
      <c r="A40" s="57"/>
      <c r="B40" s="59" t="s">
        <v>98</v>
      </c>
      <c r="C40" s="54" t="s">
        <v>100</v>
      </c>
      <c r="D40" s="54"/>
      <c r="E40" s="54"/>
      <c r="F40" s="54">
        <v>0</v>
      </c>
      <c r="G40" s="54">
        <v>0</v>
      </c>
    </row>
    <row r="41" spans="1:7" ht="15.75" customHeight="1">
      <c r="A41" s="57"/>
      <c r="B41" s="59" t="s">
        <v>99</v>
      </c>
      <c r="C41" s="54" t="s">
        <v>125</v>
      </c>
      <c r="D41" s="54"/>
      <c r="E41" s="54">
        <v>0</v>
      </c>
      <c r="F41" s="54">
        <v>0</v>
      </c>
      <c r="G41" s="54">
        <v>0</v>
      </c>
    </row>
    <row r="42" spans="1:7" ht="15.75" customHeight="1">
      <c r="A42" s="73"/>
      <c r="B42" s="88" t="s">
        <v>201</v>
      </c>
      <c r="C42" s="78" t="s">
        <v>128</v>
      </c>
      <c r="D42" s="81">
        <v>18</v>
      </c>
      <c r="E42" s="78">
        <v>18</v>
      </c>
      <c r="F42" s="78">
        <v>18</v>
      </c>
      <c r="G42" s="78">
        <v>18</v>
      </c>
    </row>
    <row r="43" spans="1:7" ht="12.75">
      <c r="A43" s="60"/>
      <c r="B43" s="67"/>
      <c r="C43" s="370"/>
      <c r="D43" s="68"/>
      <c r="E43" s="69"/>
      <c r="F43" s="70"/>
      <c r="G43" s="70"/>
    </row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5511811023622047" right="0.5511811023622047" top="0.3937007874015748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3"/>
  <sheetViews>
    <sheetView zoomScaleSheetLayoutView="95" zoomScalePageLayoutView="0" workbookViewId="0" topLeftCell="A1">
      <selection activeCell="A1" sqref="A1:V1"/>
    </sheetView>
  </sheetViews>
  <sheetFormatPr defaultColWidth="9.140625" defaultRowHeight="12.75"/>
  <cols>
    <col min="1" max="1" width="3.140625" style="18" customWidth="1"/>
    <col min="2" max="2" width="2.7109375" style="18" customWidth="1"/>
    <col min="3" max="3" width="4.28125" style="18" customWidth="1"/>
    <col min="4" max="4" width="40.8515625" style="658" customWidth="1"/>
    <col min="5" max="5" width="5.140625" style="18" hidden="1" customWidth="1"/>
    <col min="6" max="6" width="5.140625" style="18" customWidth="1"/>
    <col min="7" max="7" width="4.7109375" style="18" customWidth="1"/>
    <col min="8" max="8" width="7.28125" style="18" customWidth="1"/>
    <col min="9" max="12" width="7.28125" style="18" hidden="1" customWidth="1"/>
    <col min="13" max="22" width="7.28125" style="18" customWidth="1"/>
    <col min="23" max="16384" width="9.140625" style="18" customWidth="1"/>
  </cols>
  <sheetData>
    <row r="1" spans="1:22" ht="26.25" customHeight="1">
      <c r="A1" s="1347" t="s">
        <v>232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  <c r="R1" s="1347"/>
      <c r="S1" s="1347"/>
      <c r="T1" s="1347"/>
      <c r="U1" s="1347"/>
      <c r="V1" s="1347"/>
    </row>
    <row r="2" spans="1:22" ht="15" customHeight="1">
      <c r="A2" s="1347" t="s">
        <v>233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</row>
    <row r="3" spans="1:22" ht="15" customHeight="1" thickBot="1">
      <c r="A3" s="325"/>
      <c r="B3" s="325"/>
      <c r="C3" s="325"/>
      <c r="D3" s="523"/>
      <c r="E3" s="524"/>
      <c r="F3" s="525"/>
      <c r="G3" s="325"/>
      <c r="H3" s="325"/>
      <c r="I3" s="526"/>
      <c r="J3" s="526"/>
      <c r="K3" s="526"/>
      <c r="L3" s="526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spans="1:22" s="527" customFormat="1" ht="36.75" customHeight="1">
      <c r="A4" s="1348" t="s">
        <v>0</v>
      </c>
      <c r="B4" s="1351" t="s">
        <v>1</v>
      </c>
      <c r="C4" s="1351" t="s">
        <v>2</v>
      </c>
      <c r="D4" s="1354" t="s">
        <v>47</v>
      </c>
      <c r="E4" s="1357" t="s">
        <v>3</v>
      </c>
      <c r="F4" s="1351" t="s">
        <v>286</v>
      </c>
      <c r="G4" s="1360" t="s">
        <v>4</v>
      </c>
      <c r="H4" s="1363" t="s">
        <v>5</v>
      </c>
      <c r="I4" s="1337" t="s">
        <v>149</v>
      </c>
      <c r="J4" s="1338"/>
      <c r="K4" s="1338"/>
      <c r="L4" s="1339"/>
      <c r="M4" s="1337" t="s">
        <v>234</v>
      </c>
      <c r="N4" s="1338"/>
      <c r="O4" s="1338"/>
      <c r="P4" s="1339"/>
      <c r="Q4" s="1340" t="s">
        <v>156</v>
      </c>
      <c r="R4" s="1338"/>
      <c r="S4" s="1338"/>
      <c r="T4" s="1341"/>
      <c r="U4" s="1342" t="s">
        <v>235</v>
      </c>
      <c r="V4" s="1342" t="s">
        <v>236</v>
      </c>
    </row>
    <row r="5" spans="1:22" s="527" customFormat="1" ht="15" customHeight="1">
      <c r="A5" s="1349"/>
      <c r="B5" s="1352"/>
      <c r="C5" s="1352"/>
      <c r="D5" s="1355"/>
      <c r="E5" s="1358"/>
      <c r="F5" s="1352"/>
      <c r="G5" s="1361"/>
      <c r="H5" s="1364"/>
      <c r="I5" s="1345" t="s">
        <v>6</v>
      </c>
      <c r="J5" s="1328" t="s">
        <v>7</v>
      </c>
      <c r="K5" s="1328"/>
      <c r="L5" s="1324" t="s">
        <v>126</v>
      </c>
      <c r="M5" s="1345" t="s">
        <v>6</v>
      </c>
      <c r="N5" s="1328" t="s">
        <v>7</v>
      </c>
      <c r="O5" s="1328"/>
      <c r="P5" s="1324" t="s">
        <v>126</v>
      </c>
      <c r="Q5" s="1326" t="s">
        <v>6</v>
      </c>
      <c r="R5" s="1328" t="s">
        <v>7</v>
      </c>
      <c r="S5" s="1328"/>
      <c r="T5" s="1329" t="s">
        <v>126</v>
      </c>
      <c r="U5" s="1343"/>
      <c r="V5" s="1343"/>
    </row>
    <row r="6" spans="1:22" s="527" customFormat="1" ht="88.5" customHeight="1" thickBot="1">
      <c r="A6" s="1350"/>
      <c r="B6" s="1353"/>
      <c r="C6" s="1353"/>
      <c r="D6" s="1356"/>
      <c r="E6" s="1359"/>
      <c r="F6" s="1353"/>
      <c r="G6" s="1362"/>
      <c r="H6" s="1365"/>
      <c r="I6" s="1346"/>
      <c r="J6" s="528" t="s">
        <v>6</v>
      </c>
      <c r="K6" s="529" t="s">
        <v>127</v>
      </c>
      <c r="L6" s="1325"/>
      <c r="M6" s="1346"/>
      <c r="N6" s="528" t="s">
        <v>6</v>
      </c>
      <c r="O6" s="529" t="s">
        <v>127</v>
      </c>
      <c r="P6" s="1325"/>
      <c r="Q6" s="1327"/>
      <c r="R6" s="528" t="s">
        <v>6</v>
      </c>
      <c r="S6" s="529" t="s">
        <v>127</v>
      </c>
      <c r="T6" s="1330"/>
      <c r="U6" s="1344"/>
      <c r="V6" s="1344"/>
    </row>
    <row r="7" spans="1:22" ht="15" customHeight="1">
      <c r="A7" s="1331" t="s">
        <v>115</v>
      </c>
      <c r="B7" s="1332"/>
      <c r="C7" s="1332"/>
      <c r="D7" s="1332"/>
      <c r="E7" s="1332"/>
      <c r="F7" s="1332"/>
      <c r="G7" s="1332"/>
      <c r="H7" s="1332"/>
      <c r="I7" s="1332"/>
      <c r="J7" s="1332"/>
      <c r="K7" s="1332"/>
      <c r="L7" s="1332"/>
      <c r="M7" s="1332"/>
      <c r="N7" s="1332"/>
      <c r="O7" s="1332"/>
      <c r="P7" s="1332"/>
      <c r="Q7" s="1332"/>
      <c r="R7" s="1332"/>
      <c r="S7" s="1332"/>
      <c r="T7" s="1332"/>
      <c r="U7" s="1332"/>
      <c r="V7" s="1333"/>
    </row>
    <row r="8" spans="1:22" ht="15" customHeight="1">
      <c r="A8" s="1334" t="s">
        <v>31</v>
      </c>
      <c r="B8" s="1335"/>
      <c r="C8" s="1335"/>
      <c r="D8" s="1335"/>
      <c r="E8" s="1335"/>
      <c r="F8" s="1335"/>
      <c r="G8" s="1335"/>
      <c r="H8" s="1335"/>
      <c r="I8" s="1335"/>
      <c r="J8" s="1335"/>
      <c r="K8" s="1335"/>
      <c r="L8" s="1335"/>
      <c r="M8" s="1335"/>
      <c r="N8" s="1335"/>
      <c r="O8" s="1335"/>
      <c r="P8" s="1335"/>
      <c r="Q8" s="1335"/>
      <c r="R8" s="1335"/>
      <c r="S8" s="1335"/>
      <c r="T8" s="1335"/>
      <c r="U8" s="1335"/>
      <c r="V8" s="1336"/>
    </row>
    <row r="9" spans="1:22" ht="15" customHeight="1">
      <c r="A9" s="530" t="s">
        <v>8</v>
      </c>
      <c r="B9" s="1316" t="s">
        <v>37</v>
      </c>
      <c r="C9" s="1317"/>
      <c r="D9" s="1317"/>
      <c r="E9" s="1317"/>
      <c r="F9" s="1317"/>
      <c r="G9" s="1317"/>
      <c r="H9" s="1317"/>
      <c r="I9" s="1317"/>
      <c r="J9" s="1317"/>
      <c r="K9" s="1317"/>
      <c r="L9" s="1317"/>
      <c r="M9" s="1317"/>
      <c r="N9" s="1317"/>
      <c r="O9" s="1317"/>
      <c r="P9" s="1317"/>
      <c r="Q9" s="1317"/>
      <c r="R9" s="1317"/>
      <c r="S9" s="1317"/>
      <c r="T9" s="1317"/>
      <c r="U9" s="1317"/>
      <c r="V9" s="1318"/>
    </row>
    <row r="10" spans="1:22" ht="15" customHeight="1" thickBot="1">
      <c r="A10" s="531" t="s">
        <v>8</v>
      </c>
      <c r="B10" s="532" t="s">
        <v>8</v>
      </c>
      <c r="C10" s="1319" t="s">
        <v>48</v>
      </c>
      <c r="D10" s="1320"/>
      <c r="E10" s="1320"/>
      <c r="F10" s="1320"/>
      <c r="G10" s="1320"/>
      <c r="H10" s="1320"/>
      <c r="I10" s="1320"/>
      <c r="J10" s="1320"/>
      <c r="K10" s="1320"/>
      <c r="L10" s="1320"/>
      <c r="M10" s="1320"/>
      <c r="N10" s="1320"/>
      <c r="O10" s="1320"/>
      <c r="P10" s="1320"/>
      <c r="Q10" s="1320"/>
      <c r="R10" s="1320"/>
      <c r="S10" s="1320"/>
      <c r="T10" s="1320"/>
      <c r="U10" s="1320"/>
      <c r="V10" s="1321"/>
    </row>
    <row r="11" spans="1:22" ht="15" customHeight="1" thickBot="1">
      <c r="A11" s="1251" t="s">
        <v>8</v>
      </c>
      <c r="B11" s="1252" t="s">
        <v>8</v>
      </c>
      <c r="C11" s="1253" t="s">
        <v>8</v>
      </c>
      <c r="D11" s="1254" t="s">
        <v>237</v>
      </c>
      <c r="E11" s="535" t="s">
        <v>22</v>
      </c>
      <c r="F11" s="1256" t="s">
        <v>12</v>
      </c>
      <c r="G11" s="1240" t="s">
        <v>145</v>
      </c>
      <c r="H11" s="536" t="s">
        <v>11</v>
      </c>
      <c r="I11" s="188">
        <f>J11+L11</f>
        <v>4.3</v>
      </c>
      <c r="J11" s="189"/>
      <c r="K11" s="189"/>
      <c r="L11" s="323">
        <v>4.3</v>
      </c>
      <c r="M11" s="188">
        <f>N11+P11</f>
        <v>0</v>
      </c>
      <c r="N11" s="172"/>
      <c r="O11" s="172"/>
      <c r="P11" s="173"/>
      <c r="Q11" s="401">
        <f>R11+T11</f>
        <v>0</v>
      </c>
      <c r="R11" s="396"/>
      <c r="S11" s="396"/>
      <c r="T11" s="397"/>
      <c r="U11" s="193"/>
      <c r="V11" s="193"/>
    </row>
    <row r="12" spans="1:22" ht="15" customHeight="1" thickBot="1">
      <c r="A12" s="1251"/>
      <c r="B12" s="1252"/>
      <c r="C12" s="1253"/>
      <c r="D12" s="1254"/>
      <c r="E12" s="537"/>
      <c r="F12" s="1256"/>
      <c r="G12" s="1240"/>
      <c r="H12" s="536" t="s">
        <v>238</v>
      </c>
      <c r="I12" s="188"/>
      <c r="J12" s="189"/>
      <c r="K12" s="189"/>
      <c r="L12" s="323"/>
      <c r="M12" s="188">
        <f>N12+P12</f>
        <v>513.5</v>
      </c>
      <c r="N12" s="189"/>
      <c r="O12" s="189"/>
      <c r="P12" s="190">
        <v>513.5</v>
      </c>
      <c r="Q12" s="401">
        <f>R12+T12</f>
        <v>513.5</v>
      </c>
      <c r="R12" s="399"/>
      <c r="S12" s="399"/>
      <c r="T12" s="400">
        <v>513.5</v>
      </c>
      <c r="U12" s="193">
        <v>513.5</v>
      </c>
      <c r="V12" s="193"/>
    </row>
    <row r="13" spans="1:22" ht="15" customHeight="1" thickBot="1">
      <c r="A13" s="1251"/>
      <c r="B13" s="1252"/>
      <c r="C13" s="1253"/>
      <c r="D13" s="1254"/>
      <c r="E13" s="1280" t="s">
        <v>139</v>
      </c>
      <c r="F13" s="1256"/>
      <c r="G13" s="1240"/>
      <c r="H13" s="536" t="s">
        <v>18</v>
      </c>
      <c r="I13" s="188">
        <f>J13+L13</f>
        <v>1381.1</v>
      </c>
      <c r="J13" s="189"/>
      <c r="K13" s="189"/>
      <c r="L13" s="323">
        <v>1381.1</v>
      </c>
      <c r="M13" s="188">
        <f>N13+P13</f>
        <v>1385.4</v>
      </c>
      <c r="N13" s="189"/>
      <c r="O13" s="189"/>
      <c r="P13" s="190">
        <v>1385.4</v>
      </c>
      <c r="Q13" s="401">
        <f>R13+T13</f>
        <v>1385.4</v>
      </c>
      <c r="R13" s="399"/>
      <c r="S13" s="399"/>
      <c r="T13" s="400">
        <v>1385.4</v>
      </c>
      <c r="U13" s="193">
        <v>1385.4</v>
      </c>
      <c r="V13" s="193"/>
    </row>
    <row r="14" spans="1:22" ht="15" customHeight="1" thickBot="1">
      <c r="A14" s="1251"/>
      <c r="B14" s="1252"/>
      <c r="C14" s="1253"/>
      <c r="D14" s="1254"/>
      <c r="E14" s="1322"/>
      <c r="F14" s="1256"/>
      <c r="G14" s="1240"/>
      <c r="H14" s="538" t="s">
        <v>110</v>
      </c>
      <c r="I14" s="180">
        <f>J14+L14</f>
        <v>0</v>
      </c>
      <c r="J14" s="206"/>
      <c r="K14" s="206"/>
      <c r="L14" s="278"/>
      <c r="M14" s="180">
        <f>N14+P14</f>
        <v>171.1</v>
      </c>
      <c r="N14" s="206"/>
      <c r="O14" s="206"/>
      <c r="P14" s="207">
        <v>171.1</v>
      </c>
      <c r="Q14" s="398">
        <f>R14+T14</f>
        <v>171.1</v>
      </c>
      <c r="R14" s="413"/>
      <c r="S14" s="413"/>
      <c r="T14" s="414">
        <v>171.1</v>
      </c>
      <c r="U14" s="208">
        <v>171.1</v>
      </c>
      <c r="V14" s="208"/>
    </row>
    <row r="15" spans="1:22" ht="15" customHeight="1" thickBot="1">
      <c r="A15" s="1251"/>
      <c r="B15" s="1252"/>
      <c r="C15" s="1253"/>
      <c r="D15" s="1254"/>
      <c r="E15" s="1323"/>
      <c r="F15" s="1256"/>
      <c r="G15" s="1240"/>
      <c r="H15" s="707" t="s">
        <v>20</v>
      </c>
      <c r="I15" s="388">
        <f aca="true" t="shared" si="0" ref="I15:V15">SUM(I11:I14)</f>
        <v>1385.3999999999999</v>
      </c>
      <c r="J15" s="469">
        <f t="shared" si="0"/>
        <v>0</v>
      </c>
      <c r="K15" s="469">
        <f t="shared" si="0"/>
        <v>0</v>
      </c>
      <c r="L15" s="469">
        <f t="shared" si="0"/>
        <v>1385.3999999999999</v>
      </c>
      <c r="M15" s="388">
        <f t="shared" si="0"/>
        <v>2070</v>
      </c>
      <c r="N15" s="469">
        <f t="shared" si="0"/>
        <v>0</v>
      </c>
      <c r="O15" s="469">
        <f t="shared" si="0"/>
        <v>0</v>
      </c>
      <c r="P15" s="469">
        <f t="shared" si="0"/>
        <v>2070</v>
      </c>
      <c r="Q15" s="388">
        <f t="shared" si="0"/>
        <v>2070</v>
      </c>
      <c r="R15" s="469">
        <f t="shared" si="0"/>
        <v>0</v>
      </c>
      <c r="S15" s="469">
        <f t="shared" si="0"/>
        <v>0</v>
      </c>
      <c r="T15" s="469">
        <f t="shared" si="0"/>
        <v>2070</v>
      </c>
      <c r="U15" s="393">
        <f t="shared" si="0"/>
        <v>2070</v>
      </c>
      <c r="V15" s="393">
        <f t="shared" si="0"/>
        <v>0</v>
      </c>
    </row>
    <row r="16" spans="1:22" ht="15" customHeight="1">
      <c r="A16" s="1140" t="s">
        <v>8</v>
      </c>
      <c r="B16" s="1155" t="s">
        <v>8</v>
      </c>
      <c r="C16" s="1157" t="s">
        <v>8</v>
      </c>
      <c r="D16" s="1310" t="s">
        <v>239</v>
      </c>
      <c r="E16" s="1313" t="s">
        <v>22</v>
      </c>
      <c r="F16" s="1210" t="s">
        <v>12</v>
      </c>
      <c r="G16" s="1213" t="s">
        <v>145</v>
      </c>
      <c r="H16" s="541" t="s">
        <v>18</v>
      </c>
      <c r="I16" s="180">
        <f>J16+L16</f>
        <v>0</v>
      </c>
      <c r="J16" s="206"/>
      <c r="K16" s="206"/>
      <c r="L16" s="207"/>
      <c r="M16" s="180">
        <f>N16+P16</f>
        <v>0</v>
      </c>
      <c r="N16" s="203"/>
      <c r="O16" s="203"/>
      <c r="P16" s="204"/>
      <c r="Q16" s="398">
        <f>R16+T16</f>
        <v>0</v>
      </c>
      <c r="R16" s="413"/>
      <c r="S16" s="413"/>
      <c r="T16" s="414"/>
      <c r="U16" s="208">
        <v>643</v>
      </c>
      <c r="V16" s="208">
        <v>643</v>
      </c>
    </row>
    <row r="17" spans="1:22" ht="15" customHeight="1">
      <c r="A17" s="1096"/>
      <c r="B17" s="1099"/>
      <c r="C17" s="1102"/>
      <c r="D17" s="1311"/>
      <c r="E17" s="1314"/>
      <c r="F17" s="1279"/>
      <c r="G17" s="1250"/>
      <c r="H17" s="541" t="s">
        <v>110</v>
      </c>
      <c r="I17" s="180">
        <f>J17+L17</f>
        <v>0</v>
      </c>
      <c r="J17" s="206"/>
      <c r="K17" s="206"/>
      <c r="L17" s="207"/>
      <c r="M17" s="180">
        <f>N17+P17</f>
        <v>0</v>
      </c>
      <c r="N17" s="203"/>
      <c r="O17" s="203"/>
      <c r="P17" s="204"/>
      <c r="Q17" s="398">
        <f>R17+T17</f>
        <v>0</v>
      </c>
      <c r="R17" s="413"/>
      <c r="S17" s="413"/>
      <c r="T17" s="414"/>
      <c r="U17" s="208">
        <v>79.4</v>
      </c>
      <c r="V17" s="208">
        <v>79.4</v>
      </c>
    </row>
    <row r="18" spans="1:22" ht="15" customHeight="1">
      <c r="A18" s="1096"/>
      <c r="B18" s="1099"/>
      <c r="C18" s="1102"/>
      <c r="D18" s="1311"/>
      <c r="E18" s="1314"/>
      <c r="F18" s="1211"/>
      <c r="G18" s="1214"/>
      <c r="H18" s="541" t="s">
        <v>25</v>
      </c>
      <c r="I18" s="180">
        <f>J18+L18</f>
        <v>0</v>
      </c>
      <c r="J18" s="206"/>
      <c r="K18" s="206"/>
      <c r="L18" s="207"/>
      <c r="M18" s="180">
        <f>N18+P18</f>
        <v>0</v>
      </c>
      <c r="N18" s="203"/>
      <c r="O18" s="203"/>
      <c r="P18" s="204"/>
      <c r="Q18" s="398">
        <f>R18+T18</f>
        <v>0</v>
      </c>
      <c r="R18" s="413"/>
      <c r="S18" s="413"/>
      <c r="T18" s="414"/>
      <c r="U18" s="208">
        <v>659.1</v>
      </c>
      <c r="V18" s="208">
        <v>659.1</v>
      </c>
    </row>
    <row r="19" spans="1:22" ht="15" customHeight="1" thickBot="1">
      <c r="A19" s="1141"/>
      <c r="B19" s="1156"/>
      <c r="C19" s="1158"/>
      <c r="D19" s="1312"/>
      <c r="E19" s="1315"/>
      <c r="F19" s="1212"/>
      <c r="G19" s="1215"/>
      <c r="H19" s="707" t="s">
        <v>20</v>
      </c>
      <c r="I19" s="388">
        <f aca="true" t="shared" si="1" ref="I19:V19">SUM(I16:I18)</f>
        <v>0</v>
      </c>
      <c r="J19" s="469">
        <f t="shared" si="1"/>
        <v>0</v>
      </c>
      <c r="K19" s="469">
        <f t="shared" si="1"/>
        <v>0</v>
      </c>
      <c r="L19" s="391">
        <f t="shared" si="1"/>
        <v>0</v>
      </c>
      <c r="M19" s="388">
        <f t="shared" si="1"/>
        <v>0</v>
      </c>
      <c r="N19" s="469">
        <f t="shared" si="1"/>
        <v>0</v>
      </c>
      <c r="O19" s="469">
        <f t="shared" si="1"/>
        <v>0</v>
      </c>
      <c r="P19" s="391">
        <f t="shared" si="1"/>
        <v>0</v>
      </c>
      <c r="Q19" s="388">
        <f t="shared" si="1"/>
        <v>0</v>
      </c>
      <c r="R19" s="469">
        <f t="shared" si="1"/>
        <v>0</v>
      </c>
      <c r="S19" s="469">
        <f t="shared" si="1"/>
        <v>0</v>
      </c>
      <c r="T19" s="391">
        <f t="shared" si="1"/>
        <v>0</v>
      </c>
      <c r="U19" s="393">
        <f t="shared" si="1"/>
        <v>1381.5</v>
      </c>
      <c r="V19" s="393">
        <f t="shared" si="1"/>
        <v>1381.5</v>
      </c>
    </row>
    <row r="20" spans="1:22" ht="15" customHeight="1">
      <c r="A20" s="1140" t="s">
        <v>8</v>
      </c>
      <c r="B20" s="1155" t="s">
        <v>8</v>
      </c>
      <c r="C20" s="1275" t="s">
        <v>8</v>
      </c>
      <c r="D20" s="1244" t="s">
        <v>240</v>
      </c>
      <c r="E20" s="545" t="s">
        <v>22</v>
      </c>
      <c r="F20" s="1210" t="s">
        <v>12</v>
      </c>
      <c r="G20" s="1213" t="s">
        <v>145</v>
      </c>
      <c r="H20" s="541" t="s">
        <v>11</v>
      </c>
      <c r="I20" s="175">
        <f>J20+L20</f>
        <v>0</v>
      </c>
      <c r="J20" s="198"/>
      <c r="K20" s="198"/>
      <c r="L20" s="202"/>
      <c r="M20" s="175">
        <f>N20+P20</f>
        <v>0</v>
      </c>
      <c r="N20" s="203"/>
      <c r="O20" s="203"/>
      <c r="P20" s="204"/>
      <c r="Q20" s="395">
        <f>R20+T20</f>
        <v>0</v>
      </c>
      <c r="R20" s="411"/>
      <c r="S20" s="411"/>
      <c r="T20" s="412"/>
      <c r="U20" s="205"/>
      <c r="V20" s="205"/>
    </row>
    <row r="21" spans="1:22" ht="15" customHeight="1">
      <c r="A21" s="1096"/>
      <c r="B21" s="1099"/>
      <c r="C21" s="1276"/>
      <c r="D21" s="1245"/>
      <c r="E21" s="1297" t="s">
        <v>241</v>
      </c>
      <c r="F21" s="1211"/>
      <c r="G21" s="1214"/>
      <c r="H21" s="536" t="s">
        <v>53</v>
      </c>
      <c r="I21" s="180">
        <f>J21+L21</f>
        <v>0</v>
      </c>
      <c r="J21" s="206"/>
      <c r="K21" s="206"/>
      <c r="L21" s="207"/>
      <c r="M21" s="180">
        <f>N21+P21</f>
        <v>0</v>
      </c>
      <c r="N21" s="203"/>
      <c r="O21" s="203"/>
      <c r="P21" s="204"/>
      <c r="Q21" s="398">
        <f>R21+T21</f>
        <v>0</v>
      </c>
      <c r="R21" s="413"/>
      <c r="S21" s="413"/>
      <c r="T21" s="414"/>
      <c r="U21" s="546">
        <v>1139.4</v>
      </c>
      <c r="V21" s="208"/>
    </row>
    <row r="22" spans="1:22" ht="15" customHeight="1" thickBot="1">
      <c r="A22" s="1141"/>
      <c r="B22" s="1156"/>
      <c r="C22" s="1277"/>
      <c r="D22" s="1278"/>
      <c r="E22" s="1298"/>
      <c r="F22" s="1212"/>
      <c r="G22" s="1215"/>
      <c r="H22" s="707" t="s">
        <v>20</v>
      </c>
      <c r="I22" s="388">
        <f aca="true" t="shared" si="2" ref="I22:V22">SUM(I20:I21)</f>
        <v>0</v>
      </c>
      <c r="J22" s="389">
        <f t="shared" si="2"/>
        <v>0</v>
      </c>
      <c r="K22" s="390">
        <f t="shared" si="2"/>
        <v>0</v>
      </c>
      <c r="L22" s="391">
        <f t="shared" si="2"/>
        <v>0</v>
      </c>
      <c r="M22" s="388">
        <f t="shared" si="2"/>
        <v>0</v>
      </c>
      <c r="N22" s="389">
        <f t="shared" si="2"/>
        <v>0</v>
      </c>
      <c r="O22" s="390">
        <f t="shared" si="2"/>
        <v>0</v>
      </c>
      <c r="P22" s="391">
        <f t="shared" si="2"/>
        <v>0</v>
      </c>
      <c r="Q22" s="388">
        <f t="shared" si="2"/>
        <v>0</v>
      </c>
      <c r="R22" s="389">
        <f t="shared" si="2"/>
        <v>0</v>
      </c>
      <c r="S22" s="390">
        <f t="shared" si="2"/>
        <v>0</v>
      </c>
      <c r="T22" s="391">
        <f t="shared" si="2"/>
        <v>0</v>
      </c>
      <c r="U22" s="393">
        <f t="shared" si="2"/>
        <v>1139.4</v>
      </c>
      <c r="V22" s="393">
        <f t="shared" si="2"/>
        <v>0</v>
      </c>
    </row>
    <row r="23" spans="1:22" ht="15" customHeight="1">
      <c r="A23" s="1140" t="s">
        <v>8</v>
      </c>
      <c r="B23" s="1155" t="s">
        <v>8</v>
      </c>
      <c r="C23" s="1157" t="s">
        <v>8</v>
      </c>
      <c r="D23" s="1244" t="s">
        <v>242</v>
      </c>
      <c r="E23" s="1246" t="s">
        <v>22</v>
      </c>
      <c r="F23" s="1210" t="s">
        <v>12</v>
      </c>
      <c r="G23" s="1213" t="s">
        <v>145</v>
      </c>
      <c r="H23" s="541" t="s">
        <v>53</v>
      </c>
      <c r="I23" s="180">
        <f>J23+L23</f>
        <v>0</v>
      </c>
      <c r="J23" s="206"/>
      <c r="K23" s="206"/>
      <c r="L23" s="207"/>
      <c r="M23" s="180">
        <f>N23+P23</f>
        <v>0</v>
      </c>
      <c r="N23" s="203"/>
      <c r="O23" s="203"/>
      <c r="P23" s="278"/>
      <c r="Q23" s="398">
        <f>R23+T23</f>
        <v>0</v>
      </c>
      <c r="R23" s="396"/>
      <c r="S23" s="396"/>
      <c r="T23" s="397"/>
      <c r="U23" s="208"/>
      <c r="V23" s="205"/>
    </row>
    <row r="24" spans="1:22" ht="15" customHeight="1">
      <c r="A24" s="1096"/>
      <c r="B24" s="1099"/>
      <c r="C24" s="1102"/>
      <c r="D24" s="1245"/>
      <c r="E24" s="1247"/>
      <c r="F24" s="1249"/>
      <c r="G24" s="1250"/>
      <c r="H24" s="547" t="s">
        <v>30</v>
      </c>
      <c r="I24" s="548">
        <f>J24+L24</f>
        <v>0</v>
      </c>
      <c r="J24" s="549"/>
      <c r="K24" s="549"/>
      <c r="L24" s="550"/>
      <c r="M24" s="548">
        <f>N24+P24</f>
        <v>200</v>
      </c>
      <c r="N24" s="551"/>
      <c r="O24" s="551"/>
      <c r="P24" s="552">
        <v>200</v>
      </c>
      <c r="Q24" s="705">
        <f>R24+T24</f>
        <v>200</v>
      </c>
      <c r="R24" s="692"/>
      <c r="S24" s="692"/>
      <c r="T24" s="706">
        <v>200</v>
      </c>
      <c r="U24" s="553"/>
      <c r="V24" s="553"/>
    </row>
    <row r="25" spans="1:22" ht="15" customHeight="1" thickBot="1">
      <c r="A25" s="1141"/>
      <c r="B25" s="1156"/>
      <c r="C25" s="1158"/>
      <c r="D25" s="1245"/>
      <c r="E25" s="1248"/>
      <c r="F25" s="1212"/>
      <c r="G25" s="1214"/>
      <c r="H25" s="707" t="s">
        <v>20</v>
      </c>
      <c r="I25" s="388">
        <f>SUM(I23:I24)</f>
        <v>0</v>
      </c>
      <c r="J25" s="390">
        <f>SUM(J23,J24)</f>
        <v>0</v>
      </c>
      <c r="K25" s="390">
        <f>SUM(K23,K24)</f>
        <v>0</v>
      </c>
      <c r="L25" s="391">
        <f>SUM(L23,L24)</f>
        <v>0</v>
      </c>
      <c r="M25" s="388">
        <f>SUM(M23:M24)</f>
        <v>200</v>
      </c>
      <c r="N25" s="390">
        <f>SUM(N23,N24)</f>
        <v>0</v>
      </c>
      <c r="O25" s="390">
        <f>SUM(O23,O24)</f>
        <v>0</v>
      </c>
      <c r="P25" s="391">
        <f>SUM(P23,P24)</f>
        <v>200</v>
      </c>
      <c r="Q25" s="388">
        <f>SUM(Q23:Q24)</f>
        <v>200</v>
      </c>
      <c r="R25" s="390">
        <f>SUM(R23,R24)</f>
        <v>0</v>
      </c>
      <c r="S25" s="390">
        <f>SUM(S23,S24)</f>
        <v>0</v>
      </c>
      <c r="T25" s="391">
        <f>SUM(T23,T24)</f>
        <v>200</v>
      </c>
      <c r="U25" s="393">
        <f>SUM(U23,U24)</f>
        <v>0</v>
      </c>
      <c r="V25" s="393">
        <f>SUM(V23,V24)</f>
        <v>0</v>
      </c>
    </row>
    <row r="26" spans="1:22" ht="15" customHeight="1" thickBot="1">
      <c r="A26" s="1303" t="s">
        <v>160</v>
      </c>
      <c r="B26" s="1304"/>
      <c r="C26" s="1304"/>
      <c r="D26" s="1304"/>
      <c r="E26" s="1304"/>
      <c r="F26" s="1304"/>
      <c r="G26" s="1304"/>
      <c r="H26" s="1305"/>
      <c r="I26" s="554"/>
      <c r="J26" s="555"/>
      <c r="K26" s="555"/>
      <c r="L26" s="556"/>
      <c r="M26" s="554">
        <f>SUM(M25,M22,M19,M15)</f>
        <v>2270</v>
      </c>
      <c r="N26" s="554">
        <f aca="true" t="shared" si="3" ref="N26:V26">SUM(N25,N22,N19,N15)</f>
        <v>0</v>
      </c>
      <c r="O26" s="554">
        <f t="shared" si="3"/>
        <v>0</v>
      </c>
      <c r="P26" s="554">
        <f t="shared" si="3"/>
        <v>2270</v>
      </c>
      <c r="Q26" s="554">
        <f t="shared" si="3"/>
        <v>2270</v>
      </c>
      <c r="R26" s="554">
        <f t="shared" si="3"/>
        <v>0</v>
      </c>
      <c r="S26" s="554">
        <f t="shared" si="3"/>
        <v>0</v>
      </c>
      <c r="T26" s="554">
        <f t="shared" si="3"/>
        <v>2270</v>
      </c>
      <c r="U26" s="554">
        <f t="shared" si="3"/>
        <v>4590.9</v>
      </c>
      <c r="V26" s="554">
        <f t="shared" si="3"/>
        <v>1381.5</v>
      </c>
    </row>
    <row r="27" spans="1:22" ht="15" customHeight="1">
      <c r="A27" s="1095" t="s">
        <v>8</v>
      </c>
      <c r="B27" s="1098" t="s">
        <v>8</v>
      </c>
      <c r="C27" s="1101" t="s">
        <v>9</v>
      </c>
      <c r="D27" s="1162" t="s">
        <v>243</v>
      </c>
      <c r="E27" s="1246" t="s">
        <v>22</v>
      </c>
      <c r="F27" s="1210" t="s">
        <v>12</v>
      </c>
      <c r="G27" s="1213" t="s">
        <v>145</v>
      </c>
      <c r="H27" s="557" t="s">
        <v>53</v>
      </c>
      <c r="I27" s="180">
        <f>J27+L27</f>
        <v>0</v>
      </c>
      <c r="J27" s="206"/>
      <c r="K27" s="206"/>
      <c r="L27" s="207"/>
      <c r="M27" s="180">
        <f>N27+P27</f>
        <v>0</v>
      </c>
      <c r="N27" s="203"/>
      <c r="O27" s="203"/>
      <c r="P27" s="278"/>
      <c r="Q27" s="398">
        <f>R27+T27</f>
        <v>0</v>
      </c>
      <c r="R27" s="396"/>
      <c r="S27" s="396"/>
      <c r="T27" s="397"/>
      <c r="U27" s="208">
        <v>3376.8</v>
      </c>
      <c r="V27" s="205"/>
    </row>
    <row r="28" spans="1:22" ht="15" customHeight="1">
      <c r="A28" s="1096"/>
      <c r="B28" s="1099"/>
      <c r="C28" s="1102"/>
      <c r="D28" s="1163"/>
      <c r="E28" s="1247"/>
      <c r="F28" s="1249"/>
      <c r="G28" s="1290"/>
      <c r="H28" s="558" t="s">
        <v>11</v>
      </c>
      <c r="I28" s="548">
        <f>J28+L28</f>
        <v>0</v>
      </c>
      <c r="J28" s="549"/>
      <c r="K28" s="549"/>
      <c r="L28" s="550"/>
      <c r="M28" s="548">
        <f>N28+P28</f>
        <v>0</v>
      </c>
      <c r="N28" s="551"/>
      <c r="O28" s="551"/>
      <c r="P28" s="552"/>
      <c r="Q28" s="705">
        <f>R28+T28</f>
        <v>0</v>
      </c>
      <c r="R28" s="692"/>
      <c r="S28" s="692"/>
      <c r="T28" s="706"/>
      <c r="U28" s="553"/>
      <c r="V28" s="553"/>
    </row>
    <row r="29" spans="1:22" ht="15" customHeight="1" thickBot="1">
      <c r="A29" s="1097"/>
      <c r="B29" s="1100"/>
      <c r="C29" s="1103"/>
      <c r="D29" s="1309"/>
      <c r="E29" s="1248"/>
      <c r="F29" s="1212"/>
      <c r="G29" s="1215"/>
      <c r="H29" s="707" t="s">
        <v>20</v>
      </c>
      <c r="I29" s="388">
        <f>SUM(I27:I28)</f>
        <v>0</v>
      </c>
      <c r="J29" s="390">
        <f>SUM(J27,J28)</f>
        <v>0</v>
      </c>
      <c r="K29" s="390">
        <f>SUM(K27,K28)</f>
        <v>0</v>
      </c>
      <c r="L29" s="391">
        <f>SUM(L27,L28)</f>
        <v>0</v>
      </c>
      <c r="M29" s="388">
        <f>SUM(M27:M28)</f>
        <v>0</v>
      </c>
      <c r="N29" s="390">
        <f>SUM(N27,N28)</f>
        <v>0</v>
      </c>
      <c r="O29" s="390">
        <f>SUM(O27,O28)</f>
        <v>0</v>
      </c>
      <c r="P29" s="391">
        <f>SUM(P27,P28)</f>
        <v>0</v>
      </c>
      <c r="Q29" s="388">
        <f>SUM(Q27:Q28)</f>
        <v>0</v>
      </c>
      <c r="R29" s="390">
        <f>SUM(R27,R28)</f>
        <v>0</v>
      </c>
      <c r="S29" s="390">
        <f>SUM(S27,S28)</f>
        <v>0</v>
      </c>
      <c r="T29" s="391">
        <f>SUM(T27,T28)</f>
        <v>0</v>
      </c>
      <c r="U29" s="393">
        <f>SUM(U27,U28)</f>
        <v>3376.8</v>
      </c>
      <c r="V29" s="393">
        <f>SUM(V27,V28)</f>
        <v>0</v>
      </c>
    </row>
    <row r="30" spans="1:22" ht="15" customHeight="1">
      <c r="A30" s="1140" t="s">
        <v>8</v>
      </c>
      <c r="B30" s="1155" t="s">
        <v>8</v>
      </c>
      <c r="C30" s="1275" t="s">
        <v>9</v>
      </c>
      <c r="D30" s="1244" t="s">
        <v>244</v>
      </c>
      <c r="E30" s="545" t="s">
        <v>22</v>
      </c>
      <c r="F30" s="1210" t="s">
        <v>12</v>
      </c>
      <c r="G30" s="1213" t="s">
        <v>145</v>
      </c>
      <c r="H30" s="536" t="s">
        <v>53</v>
      </c>
      <c r="I30" s="175">
        <f>J30+L30</f>
        <v>0</v>
      </c>
      <c r="J30" s="198"/>
      <c r="K30" s="198"/>
      <c r="L30" s="202"/>
      <c r="M30" s="175">
        <f>N30+P30</f>
        <v>0</v>
      </c>
      <c r="N30" s="203"/>
      <c r="O30" s="203"/>
      <c r="P30" s="204"/>
      <c r="Q30" s="395">
        <f>R30+T30</f>
        <v>0</v>
      </c>
      <c r="R30" s="411"/>
      <c r="S30" s="411"/>
      <c r="T30" s="412"/>
      <c r="U30" s="205"/>
      <c r="V30" s="205"/>
    </row>
    <row r="31" spans="1:22" ht="15" customHeight="1">
      <c r="A31" s="1096"/>
      <c r="B31" s="1099"/>
      <c r="C31" s="1276"/>
      <c r="D31" s="1245"/>
      <c r="E31" s="1291" t="s">
        <v>241</v>
      </c>
      <c r="F31" s="1211"/>
      <c r="G31" s="1214"/>
      <c r="H31" s="541" t="s">
        <v>30</v>
      </c>
      <c r="I31" s="180">
        <f>J31+L31</f>
        <v>0</v>
      </c>
      <c r="J31" s="206"/>
      <c r="K31" s="206"/>
      <c r="L31" s="207"/>
      <c r="M31" s="180">
        <f>N31+P31</f>
        <v>0</v>
      </c>
      <c r="N31" s="203"/>
      <c r="O31" s="203"/>
      <c r="P31" s="204"/>
      <c r="Q31" s="398">
        <f>R31+T31</f>
        <v>0</v>
      </c>
      <c r="R31" s="413"/>
      <c r="S31" s="413"/>
      <c r="T31" s="414"/>
      <c r="U31" s="546">
        <v>870</v>
      </c>
      <c r="V31" s="208">
        <v>910</v>
      </c>
    </row>
    <row r="32" spans="1:22" ht="15" customHeight="1" thickBot="1">
      <c r="A32" s="1141"/>
      <c r="B32" s="1156"/>
      <c r="C32" s="1277"/>
      <c r="D32" s="1278"/>
      <c r="E32" s="1292"/>
      <c r="F32" s="1212"/>
      <c r="G32" s="1215"/>
      <c r="H32" s="707" t="s">
        <v>20</v>
      </c>
      <c r="I32" s="388">
        <f aca="true" t="shared" si="4" ref="I32:V32">SUM(I30:I31)</f>
        <v>0</v>
      </c>
      <c r="J32" s="389">
        <f t="shared" si="4"/>
        <v>0</v>
      </c>
      <c r="K32" s="390">
        <f t="shared" si="4"/>
        <v>0</v>
      </c>
      <c r="L32" s="391">
        <f t="shared" si="4"/>
        <v>0</v>
      </c>
      <c r="M32" s="388">
        <f t="shared" si="4"/>
        <v>0</v>
      </c>
      <c r="N32" s="389">
        <f t="shared" si="4"/>
        <v>0</v>
      </c>
      <c r="O32" s="390">
        <f t="shared" si="4"/>
        <v>0</v>
      </c>
      <c r="P32" s="391">
        <f t="shared" si="4"/>
        <v>0</v>
      </c>
      <c r="Q32" s="388">
        <f t="shared" si="4"/>
        <v>0</v>
      </c>
      <c r="R32" s="389">
        <f t="shared" si="4"/>
        <v>0</v>
      </c>
      <c r="S32" s="390">
        <f t="shared" si="4"/>
        <v>0</v>
      </c>
      <c r="T32" s="391">
        <f t="shared" si="4"/>
        <v>0</v>
      </c>
      <c r="U32" s="393">
        <f t="shared" si="4"/>
        <v>870</v>
      </c>
      <c r="V32" s="393">
        <f t="shared" si="4"/>
        <v>910</v>
      </c>
    </row>
    <row r="33" spans="1:22" ht="15" customHeight="1">
      <c r="A33" s="1119" t="s">
        <v>8</v>
      </c>
      <c r="B33" s="1120" t="s">
        <v>8</v>
      </c>
      <c r="C33" s="1121" t="s">
        <v>9</v>
      </c>
      <c r="D33" s="1296" t="s">
        <v>245</v>
      </c>
      <c r="E33" s="1246" t="s">
        <v>22</v>
      </c>
      <c r="F33" s="1279" t="s">
        <v>12</v>
      </c>
      <c r="G33" s="1250" t="s">
        <v>145</v>
      </c>
      <c r="H33" s="538" t="s">
        <v>53</v>
      </c>
      <c r="I33" s="188">
        <f>J33+L33</f>
        <v>0</v>
      </c>
      <c r="J33" s="189"/>
      <c r="K33" s="189"/>
      <c r="L33" s="190"/>
      <c r="M33" s="188">
        <f>N33+P33</f>
        <v>0</v>
      </c>
      <c r="N33" s="189"/>
      <c r="O33" s="189"/>
      <c r="P33" s="323"/>
      <c r="Q33" s="401">
        <f>R33+T33</f>
        <v>0</v>
      </c>
      <c r="R33" s="396"/>
      <c r="S33" s="396"/>
      <c r="T33" s="397"/>
      <c r="U33" s="193">
        <v>50</v>
      </c>
      <c r="V33" s="193"/>
    </row>
    <row r="34" spans="1:22" ht="15" customHeight="1">
      <c r="A34" s="1119"/>
      <c r="B34" s="1120"/>
      <c r="C34" s="1121"/>
      <c r="D34" s="1296"/>
      <c r="E34" s="1255"/>
      <c r="F34" s="1279"/>
      <c r="G34" s="1250"/>
      <c r="H34" s="538" t="s">
        <v>238</v>
      </c>
      <c r="I34" s="188">
        <f>J34+L34</f>
        <v>0</v>
      </c>
      <c r="J34" s="189"/>
      <c r="K34" s="189"/>
      <c r="L34" s="190"/>
      <c r="M34" s="188">
        <f>N34+P34</f>
        <v>0</v>
      </c>
      <c r="N34" s="189"/>
      <c r="O34" s="189"/>
      <c r="P34" s="323"/>
      <c r="Q34" s="401">
        <f>R34+T34</f>
        <v>0</v>
      </c>
      <c r="R34" s="399"/>
      <c r="S34" s="399"/>
      <c r="T34" s="400"/>
      <c r="U34" s="193"/>
      <c r="V34" s="193">
        <v>2500</v>
      </c>
    </row>
    <row r="35" spans="1:22" ht="15" customHeight="1">
      <c r="A35" s="1113"/>
      <c r="B35" s="1114"/>
      <c r="C35" s="1115"/>
      <c r="D35" s="1296"/>
      <c r="E35" s="1293" t="s">
        <v>246</v>
      </c>
      <c r="F35" s="1211"/>
      <c r="G35" s="1214"/>
      <c r="H35" s="541" t="s">
        <v>30</v>
      </c>
      <c r="I35" s="180">
        <f>J35+L35</f>
        <v>0</v>
      </c>
      <c r="J35" s="206"/>
      <c r="K35" s="206"/>
      <c r="L35" s="207"/>
      <c r="M35" s="180">
        <f>N35+P35</f>
        <v>0</v>
      </c>
      <c r="N35" s="206"/>
      <c r="O35" s="206"/>
      <c r="P35" s="278"/>
      <c r="Q35" s="398">
        <f>R35+T35</f>
        <v>0</v>
      </c>
      <c r="R35" s="413"/>
      <c r="S35" s="413"/>
      <c r="T35" s="414"/>
      <c r="U35" s="546"/>
      <c r="V35" s="546"/>
    </row>
    <row r="36" spans="1:22" ht="15" customHeight="1" thickBot="1">
      <c r="A36" s="1097"/>
      <c r="B36" s="1100"/>
      <c r="C36" s="1103"/>
      <c r="D36" s="1309"/>
      <c r="E36" s="1294"/>
      <c r="F36" s="1212"/>
      <c r="G36" s="1215"/>
      <c r="H36" s="707" t="s">
        <v>20</v>
      </c>
      <c r="I36" s="406">
        <f aca="true" t="shared" si="5" ref="I36:V36">SUM(I33:I35)</f>
        <v>0</v>
      </c>
      <c r="J36" s="390">
        <f t="shared" si="5"/>
        <v>0</v>
      </c>
      <c r="K36" s="389">
        <f t="shared" si="5"/>
        <v>0</v>
      </c>
      <c r="L36" s="391">
        <f t="shared" si="5"/>
        <v>0</v>
      </c>
      <c r="M36" s="406">
        <f t="shared" si="5"/>
        <v>0</v>
      </c>
      <c r="N36" s="390">
        <f t="shared" si="5"/>
        <v>0</v>
      </c>
      <c r="O36" s="389">
        <f t="shared" si="5"/>
        <v>0</v>
      </c>
      <c r="P36" s="391">
        <f t="shared" si="5"/>
        <v>0</v>
      </c>
      <c r="Q36" s="406">
        <f t="shared" si="5"/>
        <v>0</v>
      </c>
      <c r="R36" s="390">
        <f t="shared" si="5"/>
        <v>0</v>
      </c>
      <c r="S36" s="389">
        <f t="shared" si="5"/>
        <v>0</v>
      </c>
      <c r="T36" s="391">
        <f t="shared" si="5"/>
        <v>0</v>
      </c>
      <c r="U36" s="393">
        <f t="shared" si="5"/>
        <v>50</v>
      </c>
      <c r="V36" s="393">
        <f t="shared" si="5"/>
        <v>2500</v>
      </c>
    </row>
    <row r="37" spans="1:22" ht="15" customHeight="1">
      <c r="A37" s="1140" t="s">
        <v>8</v>
      </c>
      <c r="B37" s="1155" t="s">
        <v>8</v>
      </c>
      <c r="C37" s="1275" t="s">
        <v>9</v>
      </c>
      <c r="D37" s="1244" t="s">
        <v>247</v>
      </c>
      <c r="E37" s="545" t="s">
        <v>22</v>
      </c>
      <c r="F37" s="1210" t="s">
        <v>12</v>
      </c>
      <c r="G37" s="1213" t="s">
        <v>145</v>
      </c>
      <c r="H37" s="536" t="s">
        <v>53</v>
      </c>
      <c r="I37" s="175">
        <f>J37+L37</f>
        <v>0</v>
      </c>
      <c r="J37" s="198"/>
      <c r="K37" s="198"/>
      <c r="L37" s="202"/>
      <c r="M37" s="175">
        <f>N37+P37</f>
        <v>20</v>
      </c>
      <c r="N37" s="203"/>
      <c r="O37" s="203"/>
      <c r="P37" s="204">
        <v>20</v>
      </c>
      <c r="Q37" s="395">
        <f>R37+T37</f>
        <v>20</v>
      </c>
      <c r="R37" s="411"/>
      <c r="S37" s="411"/>
      <c r="T37" s="412">
        <v>20</v>
      </c>
      <c r="U37" s="205"/>
      <c r="V37" s="205"/>
    </row>
    <row r="38" spans="1:22" ht="15" customHeight="1">
      <c r="A38" s="1096"/>
      <c r="B38" s="1099"/>
      <c r="C38" s="1276"/>
      <c r="D38" s="1245"/>
      <c r="E38" s="1291" t="s">
        <v>246</v>
      </c>
      <c r="F38" s="1211"/>
      <c r="G38" s="1214"/>
      <c r="H38" s="541" t="s">
        <v>11</v>
      </c>
      <c r="I38" s="180">
        <f>J38+L38</f>
        <v>0</v>
      </c>
      <c r="J38" s="206"/>
      <c r="K38" s="206"/>
      <c r="L38" s="207"/>
      <c r="M38" s="180">
        <f>N38+P38</f>
        <v>0</v>
      </c>
      <c r="N38" s="203"/>
      <c r="O38" s="203"/>
      <c r="P38" s="204"/>
      <c r="Q38" s="398">
        <f>R38+T38</f>
        <v>0</v>
      </c>
      <c r="R38" s="413"/>
      <c r="S38" s="413"/>
      <c r="T38" s="414"/>
      <c r="U38" s="546"/>
      <c r="V38" s="208"/>
    </row>
    <row r="39" spans="1:22" ht="15" customHeight="1" thickBot="1">
      <c r="A39" s="1141"/>
      <c r="B39" s="1156"/>
      <c r="C39" s="1277"/>
      <c r="D39" s="1278"/>
      <c r="E39" s="1292"/>
      <c r="F39" s="1212"/>
      <c r="G39" s="1215"/>
      <c r="H39" s="707" t="s">
        <v>20</v>
      </c>
      <c r="I39" s="388">
        <f aca="true" t="shared" si="6" ref="I39:V39">SUM(I37:I38)</f>
        <v>0</v>
      </c>
      <c r="J39" s="389">
        <f t="shared" si="6"/>
        <v>0</v>
      </c>
      <c r="K39" s="390">
        <f t="shared" si="6"/>
        <v>0</v>
      </c>
      <c r="L39" s="391">
        <f t="shared" si="6"/>
        <v>0</v>
      </c>
      <c r="M39" s="388">
        <f t="shared" si="6"/>
        <v>20</v>
      </c>
      <c r="N39" s="389">
        <f t="shared" si="6"/>
        <v>0</v>
      </c>
      <c r="O39" s="390">
        <f t="shared" si="6"/>
        <v>0</v>
      </c>
      <c r="P39" s="391">
        <f t="shared" si="6"/>
        <v>20</v>
      </c>
      <c r="Q39" s="388">
        <f t="shared" si="6"/>
        <v>20</v>
      </c>
      <c r="R39" s="389">
        <f t="shared" si="6"/>
        <v>0</v>
      </c>
      <c r="S39" s="390">
        <f t="shared" si="6"/>
        <v>0</v>
      </c>
      <c r="T39" s="391">
        <f t="shared" si="6"/>
        <v>20</v>
      </c>
      <c r="U39" s="393">
        <f t="shared" si="6"/>
        <v>0</v>
      </c>
      <c r="V39" s="393">
        <f t="shared" si="6"/>
        <v>0</v>
      </c>
    </row>
    <row r="40" spans="1:22" ht="15" customHeight="1">
      <c r="A40" s="1140" t="s">
        <v>8</v>
      </c>
      <c r="B40" s="1155" t="s">
        <v>8</v>
      </c>
      <c r="C40" s="1157" t="s">
        <v>9</v>
      </c>
      <c r="D40" s="1244" t="s">
        <v>185</v>
      </c>
      <c r="E40" s="1246" t="s">
        <v>22</v>
      </c>
      <c r="F40" s="1210" t="s">
        <v>12</v>
      </c>
      <c r="G40" s="1213" t="s">
        <v>145</v>
      </c>
      <c r="H40" s="541" t="s">
        <v>53</v>
      </c>
      <c r="I40" s="180">
        <f>J40+L40</f>
        <v>0</v>
      </c>
      <c r="J40" s="206"/>
      <c r="K40" s="206"/>
      <c r="L40" s="207"/>
      <c r="M40" s="180">
        <f>N40+P40</f>
        <v>100</v>
      </c>
      <c r="N40" s="203"/>
      <c r="O40" s="203"/>
      <c r="P40" s="204">
        <v>100</v>
      </c>
      <c r="Q40" s="398">
        <f>R40+T40</f>
        <v>100</v>
      </c>
      <c r="R40" s="413"/>
      <c r="S40" s="413"/>
      <c r="T40" s="414">
        <v>100</v>
      </c>
      <c r="U40" s="208">
        <v>562</v>
      </c>
      <c r="V40" s="208">
        <v>3151</v>
      </c>
    </row>
    <row r="41" spans="1:22" ht="15" customHeight="1">
      <c r="A41" s="1096"/>
      <c r="B41" s="1099"/>
      <c r="C41" s="1102"/>
      <c r="D41" s="1245"/>
      <c r="E41" s="1247"/>
      <c r="F41" s="1249"/>
      <c r="G41" s="1250"/>
      <c r="H41" s="547"/>
      <c r="I41" s="548"/>
      <c r="J41" s="549"/>
      <c r="K41" s="549"/>
      <c r="L41" s="550"/>
      <c r="M41" s="548"/>
      <c r="N41" s="551"/>
      <c r="O41" s="551"/>
      <c r="P41" s="560"/>
      <c r="Q41" s="705"/>
      <c r="R41" s="692"/>
      <c r="S41" s="692"/>
      <c r="T41" s="706"/>
      <c r="U41" s="553"/>
      <c r="V41" s="553"/>
    </row>
    <row r="42" spans="1:22" ht="15" customHeight="1" thickBot="1">
      <c r="A42" s="1141"/>
      <c r="B42" s="1156"/>
      <c r="C42" s="1158"/>
      <c r="D42" s="1245"/>
      <c r="E42" s="1248"/>
      <c r="F42" s="1212"/>
      <c r="G42" s="1214"/>
      <c r="H42" s="707" t="s">
        <v>20</v>
      </c>
      <c r="I42" s="388">
        <f aca="true" t="shared" si="7" ref="I42:V42">SUM(I40)</f>
        <v>0</v>
      </c>
      <c r="J42" s="390">
        <f t="shared" si="7"/>
        <v>0</v>
      </c>
      <c r="K42" s="390">
        <f t="shared" si="7"/>
        <v>0</v>
      </c>
      <c r="L42" s="391">
        <f t="shared" si="7"/>
        <v>0</v>
      </c>
      <c r="M42" s="388">
        <f t="shared" si="7"/>
        <v>100</v>
      </c>
      <c r="N42" s="390">
        <f t="shared" si="7"/>
        <v>0</v>
      </c>
      <c r="O42" s="390">
        <f t="shared" si="7"/>
        <v>0</v>
      </c>
      <c r="P42" s="391">
        <f t="shared" si="7"/>
        <v>100</v>
      </c>
      <c r="Q42" s="388">
        <f t="shared" si="7"/>
        <v>100</v>
      </c>
      <c r="R42" s="390">
        <f t="shared" si="7"/>
        <v>0</v>
      </c>
      <c r="S42" s="390">
        <f t="shared" si="7"/>
        <v>0</v>
      </c>
      <c r="T42" s="391">
        <f t="shared" si="7"/>
        <v>100</v>
      </c>
      <c r="U42" s="393">
        <f t="shared" si="7"/>
        <v>562</v>
      </c>
      <c r="V42" s="393">
        <f t="shared" si="7"/>
        <v>3151</v>
      </c>
    </row>
    <row r="43" spans="1:22" ht="15" customHeight="1">
      <c r="A43" s="1140" t="s">
        <v>8</v>
      </c>
      <c r="B43" s="1155" t="s">
        <v>8</v>
      </c>
      <c r="C43" s="1157" t="s">
        <v>9</v>
      </c>
      <c r="D43" s="1244" t="s">
        <v>197</v>
      </c>
      <c r="E43" s="1246" t="s">
        <v>22</v>
      </c>
      <c r="F43" s="1210" t="s">
        <v>12</v>
      </c>
      <c r="G43" s="1213" t="s">
        <v>145</v>
      </c>
      <c r="H43" s="541" t="s">
        <v>53</v>
      </c>
      <c r="I43" s="180">
        <f>J43+L43</f>
        <v>0</v>
      </c>
      <c r="J43" s="206"/>
      <c r="K43" s="206"/>
      <c r="L43" s="207"/>
      <c r="M43" s="180">
        <f>N43+P43</f>
        <v>350</v>
      </c>
      <c r="N43" s="203"/>
      <c r="O43" s="203"/>
      <c r="P43" s="204">
        <v>350</v>
      </c>
      <c r="Q43" s="398">
        <f>R43+T43</f>
        <v>350</v>
      </c>
      <c r="R43" s="413"/>
      <c r="S43" s="413"/>
      <c r="T43" s="414">
        <v>350</v>
      </c>
      <c r="U43" s="208"/>
      <c r="V43" s="208"/>
    </row>
    <row r="44" spans="1:22" ht="15" customHeight="1">
      <c r="A44" s="1096"/>
      <c r="B44" s="1099"/>
      <c r="C44" s="1102"/>
      <c r="D44" s="1245"/>
      <c r="E44" s="1247"/>
      <c r="F44" s="1249"/>
      <c r="G44" s="1250"/>
      <c r="H44" s="547"/>
      <c r="I44" s="548"/>
      <c r="J44" s="549"/>
      <c r="K44" s="549"/>
      <c r="L44" s="550"/>
      <c r="M44" s="548"/>
      <c r="N44" s="551"/>
      <c r="O44" s="551"/>
      <c r="P44" s="560"/>
      <c r="Q44" s="705"/>
      <c r="R44" s="692"/>
      <c r="S44" s="692"/>
      <c r="T44" s="706"/>
      <c r="U44" s="553"/>
      <c r="V44" s="553"/>
    </row>
    <row r="45" spans="1:22" ht="15" customHeight="1" thickBot="1">
      <c r="A45" s="1141"/>
      <c r="B45" s="1156"/>
      <c r="C45" s="1158"/>
      <c r="D45" s="1245"/>
      <c r="E45" s="1248"/>
      <c r="F45" s="1212"/>
      <c r="G45" s="1214"/>
      <c r="H45" s="707" t="s">
        <v>20</v>
      </c>
      <c r="I45" s="388">
        <f aca="true" t="shared" si="8" ref="I45:V45">SUM(I43)</f>
        <v>0</v>
      </c>
      <c r="J45" s="390">
        <f t="shared" si="8"/>
        <v>0</v>
      </c>
      <c r="K45" s="390">
        <f t="shared" si="8"/>
        <v>0</v>
      </c>
      <c r="L45" s="391">
        <f t="shared" si="8"/>
        <v>0</v>
      </c>
      <c r="M45" s="388">
        <f t="shared" si="8"/>
        <v>350</v>
      </c>
      <c r="N45" s="390">
        <f t="shared" si="8"/>
        <v>0</v>
      </c>
      <c r="O45" s="390">
        <f t="shared" si="8"/>
        <v>0</v>
      </c>
      <c r="P45" s="391">
        <f t="shared" si="8"/>
        <v>350</v>
      </c>
      <c r="Q45" s="388">
        <f t="shared" si="8"/>
        <v>350</v>
      </c>
      <c r="R45" s="390">
        <f t="shared" si="8"/>
        <v>0</v>
      </c>
      <c r="S45" s="390">
        <f t="shared" si="8"/>
        <v>0</v>
      </c>
      <c r="T45" s="391">
        <f t="shared" si="8"/>
        <v>350</v>
      </c>
      <c r="U45" s="393">
        <f t="shared" si="8"/>
        <v>0</v>
      </c>
      <c r="V45" s="393">
        <f t="shared" si="8"/>
        <v>0</v>
      </c>
    </row>
    <row r="46" spans="1:22" ht="15" customHeight="1" thickBot="1">
      <c r="A46" s="1303" t="s">
        <v>161</v>
      </c>
      <c r="B46" s="1304"/>
      <c r="C46" s="1304"/>
      <c r="D46" s="1304"/>
      <c r="E46" s="1304"/>
      <c r="F46" s="1304"/>
      <c r="G46" s="1304"/>
      <c r="H46" s="1305"/>
      <c r="I46" s="554"/>
      <c r="J46" s="555"/>
      <c r="K46" s="555"/>
      <c r="L46" s="556"/>
      <c r="M46" s="554">
        <f>SUM(M45,M42,M39,M36,M32,M29)</f>
        <v>470</v>
      </c>
      <c r="N46" s="554">
        <f aca="true" t="shared" si="9" ref="N46:V46">SUM(N45,N42,N39,N36,N32,N29)</f>
        <v>0</v>
      </c>
      <c r="O46" s="554">
        <f t="shared" si="9"/>
        <v>0</v>
      </c>
      <c r="P46" s="554">
        <f t="shared" si="9"/>
        <v>470</v>
      </c>
      <c r="Q46" s="554">
        <f t="shared" si="9"/>
        <v>470</v>
      </c>
      <c r="R46" s="554">
        <f t="shared" si="9"/>
        <v>0</v>
      </c>
      <c r="S46" s="554">
        <f t="shared" si="9"/>
        <v>0</v>
      </c>
      <c r="T46" s="554">
        <f t="shared" si="9"/>
        <v>470</v>
      </c>
      <c r="U46" s="554">
        <f t="shared" si="9"/>
        <v>4858.8</v>
      </c>
      <c r="V46" s="554">
        <f t="shared" si="9"/>
        <v>6561</v>
      </c>
    </row>
    <row r="47" spans="1:22" ht="15" customHeight="1">
      <c r="A47" s="1140" t="s">
        <v>8</v>
      </c>
      <c r="B47" s="1155" t="s">
        <v>8</v>
      </c>
      <c r="C47" s="1275" t="s">
        <v>10</v>
      </c>
      <c r="D47" s="1306" t="s">
        <v>248</v>
      </c>
      <c r="E47" s="1246" t="s">
        <v>22</v>
      </c>
      <c r="F47" s="1210" t="s">
        <v>12</v>
      </c>
      <c r="G47" s="1213" t="s">
        <v>145</v>
      </c>
      <c r="H47" s="536" t="s">
        <v>238</v>
      </c>
      <c r="I47" s="175">
        <f>J47+L47</f>
        <v>0</v>
      </c>
      <c r="J47" s="198"/>
      <c r="K47" s="198"/>
      <c r="L47" s="202"/>
      <c r="M47" s="175">
        <f>N47+P47</f>
        <v>100</v>
      </c>
      <c r="N47" s="203"/>
      <c r="O47" s="203"/>
      <c r="P47" s="204">
        <v>100</v>
      </c>
      <c r="Q47" s="395">
        <f>R47+T47</f>
        <v>0</v>
      </c>
      <c r="R47" s="411"/>
      <c r="S47" s="411"/>
      <c r="T47" s="414"/>
      <c r="U47" s="205">
        <v>300</v>
      </c>
      <c r="V47" s="205"/>
    </row>
    <row r="48" spans="1:22" ht="15" customHeight="1">
      <c r="A48" s="1096"/>
      <c r="B48" s="1099"/>
      <c r="C48" s="1276"/>
      <c r="D48" s="1307"/>
      <c r="E48" s="1247"/>
      <c r="F48" s="1249"/>
      <c r="G48" s="1290"/>
      <c r="H48" s="693" t="s">
        <v>11</v>
      </c>
      <c r="I48" s="180">
        <f>J48+L48</f>
        <v>0</v>
      </c>
      <c r="J48" s="206"/>
      <c r="K48" s="206"/>
      <c r="L48" s="207"/>
      <c r="M48" s="180">
        <f>N48+P48</f>
        <v>0</v>
      </c>
      <c r="N48" s="203"/>
      <c r="O48" s="203"/>
      <c r="P48" s="204"/>
      <c r="Q48" s="398">
        <f>R48+T48</f>
        <v>0</v>
      </c>
      <c r="R48" s="413"/>
      <c r="S48" s="413"/>
      <c r="T48" s="414"/>
      <c r="U48" s="546"/>
      <c r="V48" s="208"/>
    </row>
    <row r="49" spans="1:22" ht="15" customHeight="1">
      <c r="A49" s="1096"/>
      <c r="B49" s="1099"/>
      <c r="C49" s="1276"/>
      <c r="D49" s="1307"/>
      <c r="E49" s="1247"/>
      <c r="F49" s="1249"/>
      <c r="G49" s="1290"/>
      <c r="H49" s="561" t="s">
        <v>53</v>
      </c>
      <c r="I49" s="548"/>
      <c r="J49" s="564"/>
      <c r="K49" s="549"/>
      <c r="L49" s="550"/>
      <c r="M49" s="548"/>
      <c r="N49" s="565"/>
      <c r="O49" s="551"/>
      <c r="P49" s="560"/>
      <c r="Q49" s="684">
        <f>R49+T49</f>
        <v>400</v>
      </c>
      <c r="R49" s="691"/>
      <c r="S49" s="692"/>
      <c r="T49" s="694">
        <v>400</v>
      </c>
      <c r="U49" s="566"/>
      <c r="V49" s="553"/>
    </row>
    <row r="50" spans="1:22" ht="15" customHeight="1" thickBot="1">
      <c r="A50" s="1141"/>
      <c r="B50" s="1156"/>
      <c r="C50" s="1277"/>
      <c r="D50" s="1308"/>
      <c r="E50" s="1248"/>
      <c r="F50" s="1212"/>
      <c r="G50" s="1215"/>
      <c r="H50" s="707" t="s">
        <v>20</v>
      </c>
      <c r="I50" s="388">
        <f aca="true" t="shared" si="10" ref="I50:P50">SUM(I47:I48)</f>
        <v>0</v>
      </c>
      <c r="J50" s="389">
        <f t="shared" si="10"/>
        <v>0</v>
      </c>
      <c r="K50" s="390">
        <f t="shared" si="10"/>
        <v>0</v>
      </c>
      <c r="L50" s="391">
        <f t="shared" si="10"/>
        <v>0</v>
      </c>
      <c r="M50" s="388">
        <f t="shared" si="10"/>
        <v>100</v>
      </c>
      <c r="N50" s="389">
        <f t="shared" si="10"/>
        <v>0</v>
      </c>
      <c r="O50" s="390">
        <f t="shared" si="10"/>
        <v>0</v>
      </c>
      <c r="P50" s="391">
        <f t="shared" si="10"/>
        <v>100</v>
      </c>
      <c r="Q50" s="388">
        <f aca="true" t="shared" si="11" ref="Q50:V50">SUM(Q47:Q49)</f>
        <v>400</v>
      </c>
      <c r="R50" s="390">
        <f t="shared" si="11"/>
        <v>0</v>
      </c>
      <c r="S50" s="390">
        <f t="shared" si="11"/>
        <v>0</v>
      </c>
      <c r="T50" s="405">
        <f t="shared" si="11"/>
        <v>400</v>
      </c>
      <c r="U50" s="393">
        <f t="shared" si="11"/>
        <v>300</v>
      </c>
      <c r="V50" s="393">
        <f t="shared" si="11"/>
        <v>0</v>
      </c>
    </row>
    <row r="51" spans="1:22" ht="15" customHeight="1">
      <c r="A51" s="1096" t="s">
        <v>8</v>
      </c>
      <c r="B51" s="1099" t="s">
        <v>8</v>
      </c>
      <c r="C51" s="1102" t="s">
        <v>10</v>
      </c>
      <c r="D51" s="1300" t="s">
        <v>249</v>
      </c>
      <c r="E51" s="542" t="s">
        <v>22</v>
      </c>
      <c r="F51" s="1279" t="s">
        <v>12</v>
      </c>
      <c r="G51" s="1250" t="s">
        <v>145</v>
      </c>
      <c r="H51" s="538" t="s">
        <v>11</v>
      </c>
      <c r="I51" s="188">
        <f>J51+L51</f>
        <v>51.1</v>
      </c>
      <c r="J51" s="189">
        <v>51.1</v>
      </c>
      <c r="K51" s="189"/>
      <c r="L51" s="190"/>
      <c r="M51" s="188">
        <f>N51+P51</f>
        <v>0</v>
      </c>
      <c r="N51" s="189"/>
      <c r="O51" s="189"/>
      <c r="P51" s="323"/>
      <c r="Q51" s="401">
        <f>R51+T51</f>
        <v>0</v>
      </c>
      <c r="R51" s="399"/>
      <c r="S51" s="399"/>
      <c r="T51" s="400"/>
      <c r="U51" s="213"/>
      <c r="V51" s="213"/>
    </row>
    <row r="52" spans="1:22" ht="15" customHeight="1">
      <c r="A52" s="1096"/>
      <c r="B52" s="1099"/>
      <c r="C52" s="1102"/>
      <c r="D52" s="1300"/>
      <c r="E52" s="542"/>
      <c r="F52" s="1279"/>
      <c r="G52" s="1250"/>
      <c r="H52" s="538" t="s">
        <v>30</v>
      </c>
      <c r="I52" s="188">
        <f>J52+L52</f>
        <v>0</v>
      </c>
      <c r="J52" s="189"/>
      <c r="K52" s="189"/>
      <c r="L52" s="190"/>
      <c r="M52" s="188">
        <f>N52+P52</f>
        <v>0</v>
      </c>
      <c r="N52" s="189"/>
      <c r="O52" s="189"/>
      <c r="P52" s="323"/>
      <c r="Q52" s="401">
        <f>R52+T52</f>
        <v>0</v>
      </c>
      <c r="R52" s="399"/>
      <c r="S52" s="399"/>
      <c r="T52" s="400"/>
      <c r="U52" s="213">
        <v>2837.3</v>
      </c>
      <c r="V52" s="213"/>
    </row>
    <row r="53" spans="1:22" ht="15" customHeight="1">
      <c r="A53" s="1096"/>
      <c r="B53" s="1099"/>
      <c r="C53" s="1102"/>
      <c r="D53" s="1300"/>
      <c r="E53" s="1302" t="s">
        <v>250</v>
      </c>
      <c r="F53" s="1279"/>
      <c r="G53" s="1250"/>
      <c r="H53" s="538" t="s">
        <v>53</v>
      </c>
      <c r="I53" s="188">
        <f>J53+L53</f>
        <v>3850</v>
      </c>
      <c r="J53" s="189"/>
      <c r="K53" s="189"/>
      <c r="L53" s="190">
        <v>3850</v>
      </c>
      <c r="M53" s="188">
        <f>N53+P53</f>
        <v>3963</v>
      </c>
      <c r="N53" s="189"/>
      <c r="O53" s="189"/>
      <c r="P53" s="323">
        <v>3963</v>
      </c>
      <c r="Q53" s="701">
        <f>R53+T53</f>
        <v>2300</v>
      </c>
      <c r="R53" s="399"/>
      <c r="S53" s="399"/>
      <c r="T53" s="685">
        <f>3963-1663</f>
        <v>2300</v>
      </c>
      <c r="U53" s="213">
        <v>4000</v>
      </c>
      <c r="V53" s="213">
        <v>1995</v>
      </c>
    </row>
    <row r="54" spans="1:22" ht="15" customHeight="1">
      <c r="A54" s="1096"/>
      <c r="B54" s="1099"/>
      <c r="C54" s="1102"/>
      <c r="D54" s="1300"/>
      <c r="E54" s="1198"/>
      <c r="F54" s="1211"/>
      <c r="G54" s="1214"/>
      <c r="H54" s="541" t="s">
        <v>25</v>
      </c>
      <c r="I54" s="180">
        <f>J54+L54</f>
        <v>3000</v>
      </c>
      <c r="J54" s="206"/>
      <c r="K54" s="206"/>
      <c r="L54" s="207">
        <v>3000</v>
      </c>
      <c r="M54" s="180">
        <f>N54+P54</f>
        <v>7000</v>
      </c>
      <c r="N54" s="203"/>
      <c r="O54" s="203"/>
      <c r="P54" s="204">
        <v>7000</v>
      </c>
      <c r="Q54" s="398">
        <f>R54+T54</f>
        <v>7000</v>
      </c>
      <c r="R54" s="413"/>
      <c r="S54" s="413"/>
      <c r="T54" s="414">
        <v>7000</v>
      </c>
      <c r="U54" s="208"/>
      <c r="V54" s="208"/>
    </row>
    <row r="55" spans="1:22" ht="15" customHeight="1" thickBot="1">
      <c r="A55" s="1141"/>
      <c r="B55" s="1156"/>
      <c r="C55" s="1158"/>
      <c r="D55" s="1301"/>
      <c r="E55" s="1199"/>
      <c r="F55" s="1212"/>
      <c r="G55" s="1215"/>
      <c r="H55" s="707" t="s">
        <v>20</v>
      </c>
      <c r="I55" s="388">
        <f aca="true" t="shared" si="12" ref="I55:V55">SUM(I51:I54)</f>
        <v>6901.1</v>
      </c>
      <c r="J55" s="405">
        <f t="shared" si="12"/>
        <v>51.1</v>
      </c>
      <c r="K55" s="405">
        <f t="shared" si="12"/>
        <v>0</v>
      </c>
      <c r="L55" s="392">
        <f t="shared" si="12"/>
        <v>6850</v>
      </c>
      <c r="M55" s="388">
        <f t="shared" si="12"/>
        <v>10963</v>
      </c>
      <c r="N55" s="405">
        <f t="shared" si="12"/>
        <v>0</v>
      </c>
      <c r="O55" s="405">
        <f t="shared" si="12"/>
        <v>0</v>
      </c>
      <c r="P55" s="392">
        <f t="shared" si="12"/>
        <v>10963</v>
      </c>
      <c r="Q55" s="388">
        <f t="shared" si="12"/>
        <v>9300</v>
      </c>
      <c r="R55" s="405">
        <f t="shared" si="12"/>
        <v>0</v>
      </c>
      <c r="S55" s="405">
        <f t="shared" si="12"/>
        <v>0</v>
      </c>
      <c r="T55" s="392">
        <f t="shared" si="12"/>
        <v>9300</v>
      </c>
      <c r="U55" s="393">
        <f t="shared" si="12"/>
        <v>6837.3</v>
      </c>
      <c r="V55" s="393">
        <f t="shared" si="12"/>
        <v>1995</v>
      </c>
    </row>
    <row r="56" spans="1:22" ht="15" customHeight="1">
      <c r="A56" s="1140" t="s">
        <v>8</v>
      </c>
      <c r="B56" s="1155" t="s">
        <v>8</v>
      </c>
      <c r="C56" s="1157" t="s">
        <v>10</v>
      </c>
      <c r="D56" s="1244" t="s">
        <v>251</v>
      </c>
      <c r="E56" s="545" t="s">
        <v>22</v>
      </c>
      <c r="F56" s="1210" t="s">
        <v>12</v>
      </c>
      <c r="G56" s="1213" t="s">
        <v>145</v>
      </c>
      <c r="H56" s="541" t="s">
        <v>30</v>
      </c>
      <c r="I56" s="180">
        <f>J56+L56</f>
        <v>0</v>
      </c>
      <c r="J56" s="206"/>
      <c r="K56" s="206"/>
      <c r="L56" s="207"/>
      <c r="M56" s="180">
        <f>N56+P56</f>
        <v>0</v>
      </c>
      <c r="N56" s="203"/>
      <c r="O56" s="203"/>
      <c r="P56" s="278"/>
      <c r="Q56" s="398">
        <f>R56+T56</f>
        <v>0</v>
      </c>
      <c r="R56" s="413"/>
      <c r="S56" s="413"/>
      <c r="T56" s="414"/>
      <c r="U56" s="208"/>
      <c r="V56" s="208">
        <v>110</v>
      </c>
    </row>
    <row r="57" spans="1:22" ht="15" customHeight="1">
      <c r="A57" s="1096"/>
      <c r="B57" s="1099"/>
      <c r="C57" s="1102"/>
      <c r="D57" s="1245"/>
      <c r="E57" s="1299" t="s">
        <v>252</v>
      </c>
      <c r="F57" s="1249"/>
      <c r="G57" s="1250"/>
      <c r="H57" s="547" t="s">
        <v>11</v>
      </c>
      <c r="I57" s="548">
        <f>J57+L57</f>
        <v>0</v>
      </c>
      <c r="J57" s="549"/>
      <c r="K57" s="549"/>
      <c r="L57" s="550"/>
      <c r="M57" s="548">
        <f>N57+P57</f>
        <v>0</v>
      </c>
      <c r="N57" s="551"/>
      <c r="O57" s="551"/>
      <c r="P57" s="552"/>
      <c r="Q57" s="705">
        <f>R57+T57</f>
        <v>0</v>
      </c>
      <c r="R57" s="692"/>
      <c r="S57" s="692"/>
      <c r="T57" s="706"/>
      <c r="U57" s="553"/>
      <c r="V57" s="553"/>
    </row>
    <row r="58" spans="1:22" ht="15" customHeight="1">
      <c r="A58" s="1096"/>
      <c r="B58" s="1099"/>
      <c r="C58" s="1102"/>
      <c r="D58" s="1245"/>
      <c r="E58" s="1198"/>
      <c r="F58" s="1249"/>
      <c r="G58" s="1250"/>
      <c r="H58" s="547" t="s">
        <v>53</v>
      </c>
      <c r="I58" s="548">
        <f>J58+L58</f>
        <v>0</v>
      </c>
      <c r="J58" s="549"/>
      <c r="K58" s="549"/>
      <c r="L58" s="550"/>
      <c r="M58" s="548">
        <f>N58+P58</f>
        <v>0</v>
      </c>
      <c r="N58" s="551"/>
      <c r="O58" s="551"/>
      <c r="P58" s="552"/>
      <c r="Q58" s="705">
        <f>R58+T58</f>
        <v>0</v>
      </c>
      <c r="R58" s="692"/>
      <c r="S58" s="692"/>
      <c r="T58" s="706"/>
      <c r="U58" s="553"/>
      <c r="V58" s="553">
        <v>200</v>
      </c>
    </row>
    <row r="59" spans="1:22" ht="15" customHeight="1" thickBot="1">
      <c r="A59" s="1141"/>
      <c r="B59" s="1156"/>
      <c r="C59" s="1158"/>
      <c r="D59" s="1245"/>
      <c r="E59" s="1199"/>
      <c r="F59" s="1212"/>
      <c r="G59" s="1214"/>
      <c r="H59" s="707" t="s">
        <v>20</v>
      </c>
      <c r="I59" s="388">
        <f aca="true" t="shared" si="13" ref="I59:V59">SUM(I56:I58)</f>
        <v>0</v>
      </c>
      <c r="J59" s="390">
        <f t="shared" si="13"/>
        <v>0</v>
      </c>
      <c r="K59" s="390">
        <f t="shared" si="13"/>
        <v>0</v>
      </c>
      <c r="L59" s="391">
        <f t="shared" si="13"/>
        <v>0</v>
      </c>
      <c r="M59" s="388">
        <f t="shared" si="13"/>
        <v>0</v>
      </c>
      <c r="N59" s="390">
        <f t="shared" si="13"/>
        <v>0</v>
      </c>
      <c r="O59" s="390">
        <f t="shared" si="13"/>
        <v>0</v>
      </c>
      <c r="P59" s="391">
        <f t="shared" si="13"/>
        <v>0</v>
      </c>
      <c r="Q59" s="388">
        <f t="shared" si="13"/>
        <v>0</v>
      </c>
      <c r="R59" s="390">
        <f t="shared" si="13"/>
        <v>0</v>
      </c>
      <c r="S59" s="390">
        <f t="shared" si="13"/>
        <v>0</v>
      </c>
      <c r="T59" s="391">
        <f t="shared" si="13"/>
        <v>0</v>
      </c>
      <c r="U59" s="393">
        <f t="shared" si="13"/>
        <v>0</v>
      </c>
      <c r="V59" s="393">
        <f t="shared" si="13"/>
        <v>310</v>
      </c>
    </row>
    <row r="60" spans="1:22" ht="15" customHeight="1">
      <c r="A60" s="1095" t="s">
        <v>8</v>
      </c>
      <c r="B60" s="1098" t="s">
        <v>8</v>
      </c>
      <c r="C60" s="1101" t="s">
        <v>10</v>
      </c>
      <c r="D60" s="1295" t="s">
        <v>253</v>
      </c>
      <c r="E60" s="545" t="s">
        <v>22</v>
      </c>
      <c r="F60" s="1210" t="s">
        <v>12</v>
      </c>
      <c r="G60" s="1213" t="s">
        <v>145</v>
      </c>
      <c r="H60" s="557" t="s">
        <v>30</v>
      </c>
      <c r="I60" s="175">
        <f>J60+L60</f>
        <v>0</v>
      </c>
      <c r="J60" s="172"/>
      <c r="K60" s="172"/>
      <c r="L60" s="173"/>
      <c r="M60" s="175">
        <f>N60+P60</f>
        <v>0</v>
      </c>
      <c r="N60" s="172"/>
      <c r="O60" s="172"/>
      <c r="P60" s="209"/>
      <c r="Q60" s="395">
        <f>R60+T60</f>
        <v>0</v>
      </c>
      <c r="R60" s="396"/>
      <c r="S60" s="396"/>
      <c r="T60" s="397"/>
      <c r="U60" s="199"/>
      <c r="V60" s="199">
        <v>6000</v>
      </c>
    </row>
    <row r="61" spans="1:22" ht="15" customHeight="1">
      <c r="A61" s="1113"/>
      <c r="B61" s="1114"/>
      <c r="C61" s="1115"/>
      <c r="D61" s="1296"/>
      <c r="E61" s="1297" t="s">
        <v>254</v>
      </c>
      <c r="F61" s="1211"/>
      <c r="G61" s="1214"/>
      <c r="H61" s="538" t="s">
        <v>53</v>
      </c>
      <c r="I61" s="180">
        <f>J61+L61</f>
        <v>0</v>
      </c>
      <c r="J61" s="562"/>
      <c r="K61" s="562"/>
      <c r="L61" s="207"/>
      <c r="M61" s="180">
        <f>N61+P61</f>
        <v>0</v>
      </c>
      <c r="N61" s="206"/>
      <c r="O61" s="562"/>
      <c r="P61" s="278"/>
      <c r="Q61" s="398">
        <f>R61+T61</f>
        <v>0</v>
      </c>
      <c r="R61" s="411"/>
      <c r="S61" s="411"/>
      <c r="T61" s="414"/>
      <c r="U61" s="546"/>
      <c r="V61" s="546"/>
    </row>
    <row r="62" spans="1:22" ht="15" customHeight="1" thickBot="1">
      <c r="A62" s="1097"/>
      <c r="B62" s="1100"/>
      <c r="C62" s="1103"/>
      <c r="D62" s="1296"/>
      <c r="E62" s="1298"/>
      <c r="F62" s="1212"/>
      <c r="G62" s="1215"/>
      <c r="H62" s="707" t="s">
        <v>20</v>
      </c>
      <c r="I62" s="406">
        <f aca="true" t="shared" si="14" ref="I62:V62">SUM(I60:I61)</f>
        <v>0</v>
      </c>
      <c r="J62" s="390">
        <f t="shared" si="14"/>
        <v>0</v>
      </c>
      <c r="K62" s="405">
        <f t="shared" si="14"/>
        <v>0</v>
      </c>
      <c r="L62" s="392">
        <f t="shared" si="14"/>
        <v>0</v>
      </c>
      <c r="M62" s="406">
        <f t="shared" si="14"/>
        <v>0</v>
      </c>
      <c r="N62" s="390">
        <f t="shared" si="14"/>
        <v>0</v>
      </c>
      <c r="O62" s="405">
        <f t="shared" si="14"/>
        <v>0</v>
      </c>
      <c r="P62" s="392">
        <f t="shared" si="14"/>
        <v>0</v>
      </c>
      <c r="Q62" s="406">
        <f t="shared" si="14"/>
        <v>0</v>
      </c>
      <c r="R62" s="390">
        <f t="shared" si="14"/>
        <v>0</v>
      </c>
      <c r="S62" s="405">
        <f t="shared" si="14"/>
        <v>0</v>
      </c>
      <c r="T62" s="392">
        <f t="shared" si="14"/>
        <v>0</v>
      </c>
      <c r="U62" s="393">
        <f t="shared" si="14"/>
        <v>0</v>
      </c>
      <c r="V62" s="393">
        <f t="shared" si="14"/>
        <v>6000</v>
      </c>
    </row>
    <row r="63" spans="1:22" ht="15" customHeight="1">
      <c r="A63" s="1140" t="s">
        <v>8</v>
      </c>
      <c r="B63" s="1155" t="s">
        <v>8</v>
      </c>
      <c r="C63" s="1275" t="s">
        <v>10</v>
      </c>
      <c r="D63" s="1244" t="s">
        <v>255</v>
      </c>
      <c r="E63" s="545" t="s">
        <v>22</v>
      </c>
      <c r="F63" s="1210" t="s">
        <v>12</v>
      </c>
      <c r="G63" s="1213" t="s">
        <v>145</v>
      </c>
      <c r="H63" s="536" t="s">
        <v>53</v>
      </c>
      <c r="I63" s="175">
        <f>J63+L63</f>
        <v>0</v>
      </c>
      <c r="J63" s="198"/>
      <c r="K63" s="198"/>
      <c r="L63" s="202"/>
      <c r="M63" s="175">
        <f>N63+P63</f>
        <v>0</v>
      </c>
      <c r="N63" s="203"/>
      <c r="O63" s="203"/>
      <c r="P63" s="204"/>
      <c r="Q63" s="395">
        <f>R63+T63</f>
        <v>0</v>
      </c>
      <c r="R63" s="411"/>
      <c r="S63" s="411"/>
      <c r="T63" s="412"/>
      <c r="U63" s="205">
        <v>100</v>
      </c>
      <c r="V63" s="205">
        <f>182+300</f>
        <v>482</v>
      </c>
    </row>
    <row r="64" spans="1:22" ht="15" customHeight="1">
      <c r="A64" s="1096"/>
      <c r="B64" s="1099"/>
      <c r="C64" s="1276"/>
      <c r="D64" s="1245"/>
      <c r="E64" s="1216" t="s">
        <v>252</v>
      </c>
      <c r="F64" s="1211"/>
      <c r="G64" s="1214"/>
      <c r="H64" s="541" t="s">
        <v>11</v>
      </c>
      <c r="I64" s="180">
        <f>J64+L64</f>
        <v>0</v>
      </c>
      <c r="J64" s="206"/>
      <c r="K64" s="206"/>
      <c r="L64" s="207"/>
      <c r="M64" s="180">
        <f>N64+P64</f>
        <v>0</v>
      </c>
      <c r="N64" s="203"/>
      <c r="O64" s="203"/>
      <c r="P64" s="204"/>
      <c r="Q64" s="398">
        <f>R64+T64</f>
        <v>0</v>
      </c>
      <c r="R64" s="413"/>
      <c r="S64" s="413"/>
      <c r="T64" s="414"/>
      <c r="U64" s="546"/>
      <c r="V64" s="208"/>
    </row>
    <row r="65" spans="1:22" ht="15" customHeight="1" thickBot="1">
      <c r="A65" s="1141"/>
      <c r="B65" s="1156"/>
      <c r="C65" s="1277"/>
      <c r="D65" s="1278"/>
      <c r="E65" s="1217"/>
      <c r="F65" s="1212"/>
      <c r="G65" s="1215"/>
      <c r="H65" s="707" t="s">
        <v>20</v>
      </c>
      <c r="I65" s="388">
        <f aca="true" t="shared" si="15" ref="I65:V65">SUM(I63:I64)</f>
        <v>0</v>
      </c>
      <c r="J65" s="389">
        <f t="shared" si="15"/>
        <v>0</v>
      </c>
      <c r="K65" s="390">
        <f t="shared" si="15"/>
        <v>0</v>
      </c>
      <c r="L65" s="391">
        <f t="shared" si="15"/>
        <v>0</v>
      </c>
      <c r="M65" s="388">
        <f t="shared" si="15"/>
        <v>0</v>
      </c>
      <c r="N65" s="389">
        <f t="shared" si="15"/>
        <v>0</v>
      </c>
      <c r="O65" s="390">
        <f t="shared" si="15"/>
        <v>0</v>
      </c>
      <c r="P65" s="391">
        <f t="shared" si="15"/>
        <v>0</v>
      </c>
      <c r="Q65" s="388">
        <f t="shared" si="15"/>
        <v>0</v>
      </c>
      <c r="R65" s="389">
        <f t="shared" si="15"/>
        <v>0</v>
      </c>
      <c r="S65" s="390">
        <f t="shared" si="15"/>
        <v>0</v>
      </c>
      <c r="T65" s="391">
        <f t="shared" si="15"/>
        <v>0</v>
      </c>
      <c r="U65" s="393">
        <f t="shared" si="15"/>
        <v>100</v>
      </c>
      <c r="V65" s="393">
        <f t="shared" si="15"/>
        <v>482</v>
      </c>
    </row>
    <row r="66" spans="1:22" ht="15" customHeight="1">
      <c r="A66" s="1140" t="s">
        <v>8</v>
      </c>
      <c r="B66" s="1155" t="s">
        <v>8</v>
      </c>
      <c r="C66" s="1275" t="s">
        <v>10</v>
      </c>
      <c r="D66" s="1244" t="s">
        <v>150</v>
      </c>
      <c r="E66" s="545" t="s">
        <v>22</v>
      </c>
      <c r="F66" s="1210" t="s">
        <v>12</v>
      </c>
      <c r="G66" s="1213" t="s">
        <v>145</v>
      </c>
      <c r="H66" s="536" t="s">
        <v>53</v>
      </c>
      <c r="I66" s="175">
        <f>J66+L66</f>
        <v>0</v>
      </c>
      <c r="J66" s="198"/>
      <c r="K66" s="198"/>
      <c r="L66" s="202"/>
      <c r="M66" s="175">
        <f>N66+P66</f>
        <v>0</v>
      </c>
      <c r="N66" s="203"/>
      <c r="O66" s="203"/>
      <c r="P66" s="204"/>
      <c r="Q66" s="395">
        <f>R66+T66</f>
        <v>0</v>
      </c>
      <c r="R66" s="411"/>
      <c r="S66" s="411"/>
      <c r="T66" s="412"/>
      <c r="U66" s="205">
        <v>100</v>
      </c>
      <c r="V66" s="205">
        <v>361</v>
      </c>
    </row>
    <row r="67" spans="1:22" ht="15" customHeight="1">
      <c r="A67" s="1096"/>
      <c r="B67" s="1099"/>
      <c r="C67" s="1276"/>
      <c r="D67" s="1245"/>
      <c r="E67" s="1293" t="s">
        <v>256</v>
      </c>
      <c r="F67" s="1211"/>
      <c r="G67" s="1214"/>
      <c r="H67" s="541"/>
      <c r="I67" s="180">
        <f>J67+L67</f>
        <v>0</v>
      </c>
      <c r="J67" s="206"/>
      <c r="K67" s="206"/>
      <c r="L67" s="207"/>
      <c r="M67" s="180">
        <f>N67+P67</f>
        <v>0</v>
      </c>
      <c r="N67" s="203"/>
      <c r="O67" s="203"/>
      <c r="P67" s="204"/>
      <c r="Q67" s="398">
        <f>R67+T67</f>
        <v>0</v>
      </c>
      <c r="R67" s="413"/>
      <c r="S67" s="413"/>
      <c r="T67" s="414"/>
      <c r="U67" s="546"/>
      <c r="V67" s="208"/>
    </row>
    <row r="68" spans="1:22" ht="15" customHeight="1" thickBot="1">
      <c r="A68" s="1141"/>
      <c r="B68" s="1156"/>
      <c r="C68" s="1277"/>
      <c r="D68" s="1278"/>
      <c r="E68" s="1294"/>
      <c r="F68" s="1212"/>
      <c r="G68" s="1215"/>
      <c r="H68" s="707" t="s">
        <v>20</v>
      </c>
      <c r="I68" s="388">
        <f aca="true" t="shared" si="16" ref="I68:V68">SUM(I66:I67)</f>
        <v>0</v>
      </c>
      <c r="J68" s="389">
        <f t="shared" si="16"/>
        <v>0</v>
      </c>
      <c r="K68" s="390">
        <f t="shared" si="16"/>
        <v>0</v>
      </c>
      <c r="L68" s="391">
        <f t="shared" si="16"/>
        <v>0</v>
      </c>
      <c r="M68" s="388">
        <f t="shared" si="16"/>
        <v>0</v>
      </c>
      <c r="N68" s="389">
        <f t="shared" si="16"/>
        <v>0</v>
      </c>
      <c r="O68" s="390">
        <f t="shared" si="16"/>
        <v>0</v>
      </c>
      <c r="P68" s="391">
        <f t="shared" si="16"/>
        <v>0</v>
      </c>
      <c r="Q68" s="388">
        <f t="shared" si="16"/>
        <v>0</v>
      </c>
      <c r="R68" s="389">
        <f t="shared" si="16"/>
        <v>0</v>
      </c>
      <c r="S68" s="390">
        <f t="shared" si="16"/>
        <v>0</v>
      </c>
      <c r="T68" s="391">
        <f t="shared" si="16"/>
        <v>0</v>
      </c>
      <c r="U68" s="393">
        <f t="shared" si="16"/>
        <v>100</v>
      </c>
      <c r="V68" s="393">
        <f t="shared" si="16"/>
        <v>361</v>
      </c>
    </row>
    <row r="69" spans="1:22" ht="15" customHeight="1" thickBot="1">
      <c r="A69" s="1281" t="s">
        <v>257</v>
      </c>
      <c r="B69" s="1282"/>
      <c r="C69" s="1282"/>
      <c r="D69" s="1282"/>
      <c r="E69" s="1282"/>
      <c r="F69" s="1282"/>
      <c r="G69" s="1282"/>
      <c r="H69" s="1283"/>
      <c r="I69" s="554"/>
      <c r="J69" s="563"/>
      <c r="K69" s="555"/>
      <c r="L69" s="556"/>
      <c r="M69" s="554">
        <f>SUM(M68,M65,M62,M59,M55,M50)</f>
        <v>11063</v>
      </c>
      <c r="N69" s="554">
        <f aca="true" t="shared" si="17" ref="N69:V69">SUM(N68,N65,N62,N59,N55,N50)</f>
        <v>0</v>
      </c>
      <c r="O69" s="554">
        <f t="shared" si="17"/>
        <v>0</v>
      </c>
      <c r="P69" s="554">
        <f t="shared" si="17"/>
        <v>11063</v>
      </c>
      <c r="Q69" s="554">
        <f t="shared" si="17"/>
        <v>9700</v>
      </c>
      <c r="R69" s="554">
        <f t="shared" si="17"/>
        <v>0</v>
      </c>
      <c r="S69" s="554">
        <f t="shared" si="17"/>
        <v>0</v>
      </c>
      <c r="T69" s="554">
        <f t="shared" si="17"/>
        <v>9700</v>
      </c>
      <c r="U69" s="554">
        <f t="shared" si="17"/>
        <v>7337.3</v>
      </c>
      <c r="V69" s="554">
        <f t="shared" si="17"/>
        <v>9148</v>
      </c>
    </row>
    <row r="70" spans="1:22" ht="15" customHeight="1">
      <c r="A70" s="1140" t="s">
        <v>8</v>
      </c>
      <c r="B70" s="1155" t="s">
        <v>8</v>
      </c>
      <c r="C70" s="1275" t="s">
        <v>12</v>
      </c>
      <c r="D70" s="1244" t="s">
        <v>104</v>
      </c>
      <c r="E70" s="545" t="s">
        <v>22</v>
      </c>
      <c r="F70" s="1210" t="s">
        <v>12</v>
      </c>
      <c r="G70" s="1213" t="s">
        <v>145</v>
      </c>
      <c r="H70" s="536" t="s">
        <v>53</v>
      </c>
      <c r="I70" s="180">
        <f>J70+L70</f>
        <v>0</v>
      </c>
      <c r="J70" s="206"/>
      <c r="K70" s="206"/>
      <c r="L70" s="207"/>
      <c r="M70" s="180">
        <f>N70+P70</f>
        <v>0</v>
      </c>
      <c r="N70" s="203"/>
      <c r="O70" s="203"/>
      <c r="P70" s="278"/>
      <c r="Q70" s="398">
        <f>R70+T70</f>
        <v>0</v>
      </c>
      <c r="R70" s="413"/>
      <c r="S70" s="413"/>
      <c r="T70" s="414"/>
      <c r="U70" s="546">
        <v>400</v>
      </c>
      <c r="V70" s="546">
        <v>286</v>
      </c>
    </row>
    <row r="71" spans="1:22" ht="15" customHeight="1">
      <c r="A71" s="1096"/>
      <c r="B71" s="1099"/>
      <c r="C71" s="1276"/>
      <c r="D71" s="1245"/>
      <c r="E71" s="542"/>
      <c r="F71" s="1249"/>
      <c r="G71" s="1290"/>
      <c r="H71" s="561"/>
      <c r="I71" s="548">
        <f>J71+L71</f>
        <v>0</v>
      </c>
      <c r="J71" s="564"/>
      <c r="K71" s="552"/>
      <c r="L71" s="550"/>
      <c r="M71" s="548">
        <f>N71+P71</f>
        <v>0</v>
      </c>
      <c r="N71" s="565"/>
      <c r="O71" s="560"/>
      <c r="P71" s="552"/>
      <c r="Q71" s="705">
        <f>R71+T71</f>
        <v>0</v>
      </c>
      <c r="R71" s="691"/>
      <c r="S71" s="708"/>
      <c r="T71" s="706"/>
      <c r="U71" s="566"/>
      <c r="V71" s="566"/>
    </row>
    <row r="72" spans="1:22" ht="15" customHeight="1" thickBot="1">
      <c r="A72" s="1141"/>
      <c r="B72" s="1156"/>
      <c r="C72" s="1277"/>
      <c r="D72" s="1278"/>
      <c r="E72" s="567" t="s">
        <v>258</v>
      </c>
      <c r="F72" s="1212"/>
      <c r="G72" s="1215"/>
      <c r="H72" s="707" t="s">
        <v>20</v>
      </c>
      <c r="I72" s="388">
        <f aca="true" t="shared" si="18" ref="I72:V72">SUM(I70:I71)</f>
        <v>0</v>
      </c>
      <c r="J72" s="389">
        <f t="shared" si="18"/>
        <v>0</v>
      </c>
      <c r="K72" s="469">
        <f t="shared" si="18"/>
        <v>0</v>
      </c>
      <c r="L72" s="391">
        <f t="shared" si="18"/>
        <v>0</v>
      </c>
      <c r="M72" s="388">
        <f t="shared" si="18"/>
        <v>0</v>
      </c>
      <c r="N72" s="389">
        <f t="shared" si="18"/>
        <v>0</v>
      </c>
      <c r="O72" s="469">
        <f t="shared" si="18"/>
        <v>0</v>
      </c>
      <c r="P72" s="391">
        <f t="shared" si="18"/>
        <v>0</v>
      </c>
      <c r="Q72" s="388">
        <f t="shared" si="18"/>
        <v>0</v>
      </c>
      <c r="R72" s="389">
        <f t="shared" si="18"/>
        <v>0</v>
      </c>
      <c r="S72" s="469">
        <f t="shared" si="18"/>
        <v>0</v>
      </c>
      <c r="T72" s="391">
        <f t="shared" si="18"/>
        <v>0</v>
      </c>
      <c r="U72" s="393">
        <f t="shared" si="18"/>
        <v>400</v>
      </c>
      <c r="V72" s="393">
        <f t="shared" si="18"/>
        <v>286</v>
      </c>
    </row>
    <row r="73" spans="1:22" ht="15" customHeight="1">
      <c r="A73" s="1140" t="s">
        <v>8</v>
      </c>
      <c r="B73" s="1155" t="s">
        <v>8</v>
      </c>
      <c r="C73" s="1275" t="s">
        <v>12</v>
      </c>
      <c r="D73" s="1244" t="s">
        <v>259</v>
      </c>
      <c r="E73" s="545" t="s">
        <v>22</v>
      </c>
      <c r="F73" s="1210" t="s">
        <v>12</v>
      </c>
      <c r="G73" s="1213" t="s">
        <v>145</v>
      </c>
      <c r="H73" s="568" t="s">
        <v>11</v>
      </c>
      <c r="I73" s="175">
        <f>J73+L73</f>
        <v>0</v>
      </c>
      <c r="J73" s="172"/>
      <c r="K73" s="172"/>
      <c r="L73" s="173"/>
      <c r="M73" s="175">
        <f>N73+P73</f>
        <v>0</v>
      </c>
      <c r="N73" s="176"/>
      <c r="O73" s="176"/>
      <c r="P73" s="277"/>
      <c r="Q73" s="395">
        <f>R73+T73</f>
        <v>0</v>
      </c>
      <c r="R73" s="396"/>
      <c r="S73" s="396"/>
      <c r="T73" s="397"/>
      <c r="U73" s="199"/>
      <c r="V73" s="199"/>
    </row>
    <row r="74" spans="1:22" ht="15" customHeight="1">
      <c r="A74" s="1096"/>
      <c r="B74" s="1099"/>
      <c r="C74" s="1276"/>
      <c r="D74" s="1245"/>
      <c r="E74" s="1291" t="s">
        <v>258</v>
      </c>
      <c r="F74" s="1211"/>
      <c r="G74" s="1214"/>
      <c r="H74" s="536" t="s">
        <v>53</v>
      </c>
      <c r="I74" s="180">
        <f>J74+L74</f>
        <v>0</v>
      </c>
      <c r="J74" s="206"/>
      <c r="K74" s="206"/>
      <c r="L74" s="207"/>
      <c r="M74" s="180">
        <f>N74+P74</f>
        <v>0</v>
      </c>
      <c r="N74" s="203"/>
      <c r="O74" s="203"/>
      <c r="P74" s="204"/>
      <c r="Q74" s="398">
        <f>R74+T74</f>
        <v>0</v>
      </c>
      <c r="R74" s="413"/>
      <c r="S74" s="413"/>
      <c r="T74" s="414"/>
      <c r="U74" s="546">
        <v>300</v>
      </c>
      <c r="V74" s="546">
        <v>156</v>
      </c>
    </row>
    <row r="75" spans="1:22" ht="15" customHeight="1" thickBot="1">
      <c r="A75" s="1141"/>
      <c r="B75" s="1156"/>
      <c r="C75" s="1277"/>
      <c r="D75" s="1278"/>
      <c r="E75" s="1292"/>
      <c r="F75" s="1212"/>
      <c r="G75" s="1215"/>
      <c r="H75" s="707" t="s">
        <v>20</v>
      </c>
      <c r="I75" s="388">
        <f aca="true" t="shared" si="19" ref="I75:V75">SUM(I73:I74)</f>
        <v>0</v>
      </c>
      <c r="J75" s="389">
        <f t="shared" si="19"/>
        <v>0</v>
      </c>
      <c r="K75" s="469">
        <f t="shared" si="19"/>
        <v>0</v>
      </c>
      <c r="L75" s="391">
        <f t="shared" si="19"/>
        <v>0</v>
      </c>
      <c r="M75" s="388">
        <f t="shared" si="19"/>
        <v>0</v>
      </c>
      <c r="N75" s="389">
        <f t="shared" si="19"/>
        <v>0</v>
      </c>
      <c r="O75" s="469">
        <f t="shared" si="19"/>
        <v>0</v>
      </c>
      <c r="P75" s="391">
        <f t="shared" si="19"/>
        <v>0</v>
      </c>
      <c r="Q75" s="388">
        <f t="shared" si="19"/>
        <v>0</v>
      </c>
      <c r="R75" s="389">
        <f t="shared" si="19"/>
        <v>0</v>
      </c>
      <c r="S75" s="469">
        <f t="shared" si="19"/>
        <v>0</v>
      </c>
      <c r="T75" s="391">
        <f t="shared" si="19"/>
        <v>0</v>
      </c>
      <c r="U75" s="393">
        <f t="shared" si="19"/>
        <v>300</v>
      </c>
      <c r="V75" s="393">
        <f t="shared" si="19"/>
        <v>156</v>
      </c>
    </row>
    <row r="76" spans="1:22" ht="15" customHeight="1" thickBot="1">
      <c r="A76" s="1281" t="s">
        <v>162</v>
      </c>
      <c r="B76" s="1282"/>
      <c r="C76" s="1282"/>
      <c r="D76" s="1282"/>
      <c r="E76" s="1282"/>
      <c r="F76" s="1282"/>
      <c r="G76" s="1282"/>
      <c r="H76" s="1283"/>
      <c r="I76" s="554"/>
      <c r="J76" s="563"/>
      <c r="K76" s="569"/>
      <c r="L76" s="556"/>
      <c r="M76" s="554">
        <f>SUM(M75,M72)</f>
        <v>0</v>
      </c>
      <c r="N76" s="554">
        <f aca="true" t="shared" si="20" ref="N76:V76">SUM(N75,N72)</f>
        <v>0</v>
      </c>
      <c r="O76" s="554">
        <f t="shared" si="20"/>
        <v>0</v>
      </c>
      <c r="P76" s="554">
        <f t="shared" si="20"/>
        <v>0</v>
      </c>
      <c r="Q76" s="554">
        <f t="shared" si="20"/>
        <v>0</v>
      </c>
      <c r="R76" s="554">
        <f t="shared" si="20"/>
        <v>0</v>
      </c>
      <c r="S76" s="554">
        <f t="shared" si="20"/>
        <v>0</v>
      </c>
      <c r="T76" s="554">
        <f t="shared" si="20"/>
        <v>0</v>
      </c>
      <c r="U76" s="554">
        <f t="shared" si="20"/>
        <v>700</v>
      </c>
      <c r="V76" s="554">
        <f t="shared" si="20"/>
        <v>442</v>
      </c>
    </row>
    <row r="77" spans="1:22" ht="15" customHeight="1">
      <c r="A77" s="1140" t="s">
        <v>8</v>
      </c>
      <c r="B77" s="1284" t="s">
        <v>8</v>
      </c>
      <c r="C77" s="1157" t="s">
        <v>38</v>
      </c>
      <c r="D77" s="1287" t="s">
        <v>260</v>
      </c>
      <c r="E77" s="1246"/>
      <c r="F77" s="1210" t="s">
        <v>12</v>
      </c>
      <c r="G77" s="1213" t="s">
        <v>145</v>
      </c>
      <c r="H77" s="570" t="s">
        <v>53</v>
      </c>
      <c r="I77" s="175">
        <f>J77+L77</f>
        <v>0</v>
      </c>
      <c r="J77" s="172"/>
      <c r="K77" s="172"/>
      <c r="L77" s="173"/>
      <c r="M77" s="175">
        <f>N77+P77</f>
        <v>370.4</v>
      </c>
      <c r="N77" s="176"/>
      <c r="O77" s="277"/>
      <c r="P77" s="277">
        <v>370.4</v>
      </c>
      <c r="Q77" s="395">
        <f>R77+T77</f>
        <v>370.4</v>
      </c>
      <c r="R77" s="402"/>
      <c r="S77" s="402"/>
      <c r="T77" s="397">
        <v>370.4</v>
      </c>
      <c r="U77" s="199">
        <v>4000</v>
      </c>
      <c r="V77" s="199">
        <v>2000</v>
      </c>
    </row>
    <row r="78" spans="1:22" ht="15" customHeight="1">
      <c r="A78" s="1096"/>
      <c r="B78" s="1285"/>
      <c r="C78" s="1102"/>
      <c r="D78" s="1288"/>
      <c r="E78" s="1247"/>
      <c r="F78" s="1249"/>
      <c r="G78" s="1290"/>
      <c r="H78" s="561"/>
      <c r="I78" s="571">
        <f>J78+L78</f>
        <v>0</v>
      </c>
      <c r="J78" s="279"/>
      <c r="K78" s="210"/>
      <c r="L78" s="182"/>
      <c r="M78" s="571">
        <f>N78+P78</f>
        <v>0</v>
      </c>
      <c r="N78" s="572"/>
      <c r="O78" s="573"/>
      <c r="P78" s="573"/>
      <c r="Q78" s="447">
        <f>R78+T78</f>
        <v>0</v>
      </c>
      <c r="R78" s="715"/>
      <c r="S78" s="716"/>
      <c r="T78" s="418"/>
      <c r="U78" s="201"/>
      <c r="V78" s="201"/>
    </row>
    <row r="79" spans="1:22" ht="15" customHeight="1" thickBot="1">
      <c r="A79" s="1141"/>
      <c r="B79" s="1286"/>
      <c r="C79" s="1158"/>
      <c r="D79" s="1289"/>
      <c r="E79" s="1248"/>
      <c r="F79" s="1212"/>
      <c r="G79" s="1215"/>
      <c r="H79" s="707" t="s">
        <v>20</v>
      </c>
      <c r="I79" s="388">
        <f aca="true" t="shared" si="21" ref="I79:V79">SUM(I77:I78)</f>
        <v>0</v>
      </c>
      <c r="J79" s="389">
        <f t="shared" si="21"/>
        <v>0</v>
      </c>
      <c r="K79" s="469">
        <f t="shared" si="21"/>
        <v>0</v>
      </c>
      <c r="L79" s="391">
        <f t="shared" si="21"/>
        <v>0</v>
      </c>
      <c r="M79" s="388">
        <f t="shared" si="21"/>
        <v>370.4</v>
      </c>
      <c r="N79" s="389">
        <f t="shared" si="21"/>
        <v>0</v>
      </c>
      <c r="O79" s="469">
        <f t="shared" si="21"/>
        <v>0</v>
      </c>
      <c r="P79" s="391">
        <f t="shared" si="21"/>
        <v>370.4</v>
      </c>
      <c r="Q79" s="388">
        <f t="shared" si="21"/>
        <v>370.4</v>
      </c>
      <c r="R79" s="389">
        <f t="shared" si="21"/>
        <v>0</v>
      </c>
      <c r="S79" s="469">
        <f t="shared" si="21"/>
        <v>0</v>
      </c>
      <c r="T79" s="391">
        <f t="shared" si="21"/>
        <v>370.4</v>
      </c>
      <c r="U79" s="393">
        <f t="shared" si="21"/>
        <v>4000</v>
      </c>
      <c r="V79" s="393">
        <f t="shared" si="21"/>
        <v>2000</v>
      </c>
    </row>
    <row r="80" spans="1:22" ht="15" customHeight="1">
      <c r="A80" s="1140" t="s">
        <v>8</v>
      </c>
      <c r="B80" s="1155" t="s">
        <v>8</v>
      </c>
      <c r="C80" s="1275" t="s">
        <v>13</v>
      </c>
      <c r="D80" s="1244" t="s">
        <v>26</v>
      </c>
      <c r="E80" s="574" t="s">
        <v>22</v>
      </c>
      <c r="F80" s="1210" t="s">
        <v>12</v>
      </c>
      <c r="G80" s="1213" t="s">
        <v>145</v>
      </c>
      <c r="H80" s="568" t="s">
        <v>11</v>
      </c>
      <c r="I80" s="180">
        <f>J80+L80</f>
        <v>4.2</v>
      </c>
      <c r="J80" s="206"/>
      <c r="K80" s="206"/>
      <c r="L80" s="207">
        <v>4.2</v>
      </c>
      <c r="M80" s="180">
        <f>N80+P80</f>
        <v>0</v>
      </c>
      <c r="N80" s="203"/>
      <c r="O80" s="203"/>
      <c r="P80" s="204"/>
      <c r="Q80" s="398">
        <f>R80+T80</f>
        <v>0</v>
      </c>
      <c r="R80" s="396"/>
      <c r="S80" s="396"/>
      <c r="T80" s="397"/>
      <c r="U80" s="546"/>
      <c r="V80" s="546"/>
    </row>
    <row r="81" spans="1:22" ht="15" customHeight="1">
      <c r="A81" s="1096"/>
      <c r="B81" s="1099"/>
      <c r="C81" s="1276"/>
      <c r="D81" s="1245"/>
      <c r="E81" s="575"/>
      <c r="F81" s="1279"/>
      <c r="G81" s="1250"/>
      <c r="H81" s="568" t="s">
        <v>238</v>
      </c>
      <c r="I81" s="180">
        <f>J81+L81</f>
        <v>0</v>
      </c>
      <c r="J81" s="206"/>
      <c r="K81" s="206"/>
      <c r="L81" s="207"/>
      <c r="M81" s="180">
        <f>N81+P81</f>
        <v>451.4</v>
      </c>
      <c r="N81" s="203"/>
      <c r="O81" s="203"/>
      <c r="P81" s="204">
        <v>451.4</v>
      </c>
      <c r="Q81" s="398">
        <f>R81+T81</f>
        <v>451.4</v>
      </c>
      <c r="R81" s="399"/>
      <c r="S81" s="399"/>
      <c r="T81" s="717">
        <v>451.4</v>
      </c>
      <c r="U81" s="546">
        <v>451.3</v>
      </c>
      <c r="V81" s="546"/>
    </row>
    <row r="82" spans="1:22" ht="15" customHeight="1">
      <c r="A82" s="1096"/>
      <c r="B82" s="1099"/>
      <c r="C82" s="1276"/>
      <c r="D82" s="1245"/>
      <c r="E82" s="1280" t="s">
        <v>142</v>
      </c>
      <c r="F82" s="1279"/>
      <c r="G82" s="1250"/>
      <c r="H82" s="568" t="s">
        <v>18</v>
      </c>
      <c r="I82" s="180">
        <f>J82+L82</f>
        <v>2762.8</v>
      </c>
      <c r="J82" s="206"/>
      <c r="K82" s="206"/>
      <c r="L82" s="207">
        <v>2762.8</v>
      </c>
      <c r="M82" s="180">
        <f>N82+P82</f>
        <v>3743.2</v>
      </c>
      <c r="N82" s="203"/>
      <c r="O82" s="203"/>
      <c r="P82" s="204">
        <v>3743.2</v>
      </c>
      <c r="Q82" s="398">
        <f>R82+T82</f>
        <v>3743.2</v>
      </c>
      <c r="R82" s="413"/>
      <c r="S82" s="413"/>
      <c r="T82" s="414">
        <v>3743.2</v>
      </c>
      <c r="U82" s="546">
        <v>3743.2</v>
      </c>
      <c r="V82" s="546"/>
    </row>
    <row r="83" spans="1:22" ht="15" customHeight="1">
      <c r="A83" s="1096"/>
      <c r="B83" s="1099"/>
      <c r="C83" s="1276"/>
      <c r="D83" s="1245"/>
      <c r="E83" s="1198"/>
      <c r="F83" s="1211"/>
      <c r="G83" s="1214"/>
      <c r="H83" s="541" t="s">
        <v>110</v>
      </c>
      <c r="I83" s="180">
        <f>J83+L83</f>
        <v>0</v>
      </c>
      <c r="J83" s="206"/>
      <c r="K83" s="206"/>
      <c r="L83" s="207"/>
      <c r="M83" s="180">
        <f>N83+P83</f>
        <v>462.4</v>
      </c>
      <c r="N83" s="203"/>
      <c r="O83" s="203"/>
      <c r="P83" s="204">
        <v>462.4</v>
      </c>
      <c r="Q83" s="398">
        <f>R83+T83</f>
        <v>462.4</v>
      </c>
      <c r="R83" s="413"/>
      <c r="S83" s="413"/>
      <c r="T83" s="414">
        <v>462.4</v>
      </c>
      <c r="U83" s="546">
        <v>462.4</v>
      </c>
      <c r="V83" s="546"/>
    </row>
    <row r="84" spans="1:22" ht="15" customHeight="1" thickBot="1">
      <c r="A84" s="1141"/>
      <c r="B84" s="1156"/>
      <c r="C84" s="1277"/>
      <c r="D84" s="1278"/>
      <c r="E84" s="1199"/>
      <c r="F84" s="1212"/>
      <c r="G84" s="1215"/>
      <c r="H84" s="707" t="s">
        <v>20</v>
      </c>
      <c r="I84" s="388">
        <f aca="true" t="shared" si="22" ref="I84:V84">SUM(I80:I83)</f>
        <v>2767</v>
      </c>
      <c r="J84" s="389">
        <f t="shared" si="22"/>
        <v>0</v>
      </c>
      <c r="K84" s="469">
        <f t="shared" si="22"/>
        <v>0</v>
      </c>
      <c r="L84" s="391">
        <f t="shared" si="22"/>
        <v>2767</v>
      </c>
      <c r="M84" s="388">
        <f t="shared" si="22"/>
        <v>4656.999999999999</v>
      </c>
      <c r="N84" s="389">
        <f t="shared" si="22"/>
        <v>0</v>
      </c>
      <c r="O84" s="469">
        <f t="shared" si="22"/>
        <v>0</v>
      </c>
      <c r="P84" s="391">
        <f t="shared" si="22"/>
        <v>4656.999999999999</v>
      </c>
      <c r="Q84" s="388">
        <f t="shared" si="22"/>
        <v>4656.999999999999</v>
      </c>
      <c r="R84" s="389">
        <f t="shared" si="22"/>
        <v>0</v>
      </c>
      <c r="S84" s="469">
        <f t="shared" si="22"/>
        <v>0</v>
      </c>
      <c r="T84" s="391">
        <f t="shared" si="22"/>
        <v>4656.999999999999</v>
      </c>
      <c r="U84" s="393">
        <f t="shared" si="22"/>
        <v>4656.9</v>
      </c>
      <c r="V84" s="393">
        <f t="shared" si="22"/>
        <v>0</v>
      </c>
    </row>
    <row r="85" spans="1:22" ht="18" customHeight="1" thickBot="1">
      <c r="A85" s="1251" t="s">
        <v>8</v>
      </c>
      <c r="B85" s="1252" t="s">
        <v>8</v>
      </c>
      <c r="C85" s="1253" t="s">
        <v>14</v>
      </c>
      <c r="D85" s="1271" t="s">
        <v>132</v>
      </c>
      <c r="E85" s="540" t="s">
        <v>22</v>
      </c>
      <c r="F85" s="1256" t="s">
        <v>12</v>
      </c>
      <c r="G85" s="1240" t="s">
        <v>145</v>
      </c>
      <c r="H85" s="568" t="s">
        <v>30</v>
      </c>
      <c r="I85" s="188">
        <f>J85+L85</f>
        <v>0</v>
      </c>
      <c r="J85" s="189"/>
      <c r="K85" s="189"/>
      <c r="L85" s="190"/>
      <c r="M85" s="188">
        <f>N85+P85</f>
        <v>0</v>
      </c>
      <c r="N85" s="214"/>
      <c r="O85" s="214"/>
      <c r="P85" s="323"/>
      <c r="Q85" s="401">
        <f>R85+T85</f>
        <v>0</v>
      </c>
      <c r="R85" s="399"/>
      <c r="S85" s="399"/>
      <c r="T85" s="400"/>
      <c r="U85" s="213">
        <v>227.9</v>
      </c>
      <c r="V85" s="213">
        <v>186.4</v>
      </c>
    </row>
    <row r="86" spans="1:22" ht="18" customHeight="1" thickBot="1">
      <c r="A86" s="1251"/>
      <c r="B86" s="1252"/>
      <c r="C86" s="1253"/>
      <c r="D86" s="1272"/>
      <c r="E86" s="542"/>
      <c r="F86" s="1256"/>
      <c r="G86" s="1240"/>
      <c r="H86" s="576" t="s">
        <v>18</v>
      </c>
      <c r="I86" s="571">
        <f>J86+L86</f>
        <v>0</v>
      </c>
      <c r="J86" s="181"/>
      <c r="K86" s="181"/>
      <c r="L86" s="182"/>
      <c r="M86" s="571">
        <f>N86+P86</f>
        <v>932.3</v>
      </c>
      <c r="N86" s="577"/>
      <c r="O86" s="577"/>
      <c r="P86" s="210">
        <v>932.3</v>
      </c>
      <c r="Q86" s="447">
        <f>R86+T86</f>
        <v>932.3</v>
      </c>
      <c r="R86" s="417"/>
      <c r="S86" s="417"/>
      <c r="T86" s="418">
        <v>932.3</v>
      </c>
      <c r="U86" s="578">
        <v>2050.9</v>
      </c>
      <c r="V86" s="578">
        <v>745.9</v>
      </c>
    </row>
    <row r="87" spans="1:22" ht="15" customHeight="1" thickBot="1">
      <c r="A87" s="1251"/>
      <c r="B87" s="1252"/>
      <c r="C87" s="1253"/>
      <c r="D87" s="579" t="s">
        <v>261</v>
      </c>
      <c r="E87" s="1241" t="s">
        <v>141</v>
      </c>
      <c r="F87" s="1256"/>
      <c r="G87" s="1240"/>
      <c r="H87" s="580"/>
      <c r="I87" s="548"/>
      <c r="J87" s="549"/>
      <c r="K87" s="549"/>
      <c r="L87" s="550"/>
      <c r="M87" s="581"/>
      <c r="N87" s="549"/>
      <c r="O87" s="549"/>
      <c r="P87" s="552"/>
      <c r="Q87" s="705"/>
      <c r="R87" s="692"/>
      <c r="S87" s="692"/>
      <c r="T87" s="706"/>
      <c r="U87" s="553"/>
      <c r="V87" s="553"/>
    </row>
    <row r="88" spans="1:22" ht="15" customHeight="1" thickBot="1">
      <c r="A88" s="1251"/>
      <c r="B88" s="1252"/>
      <c r="C88" s="1253"/>
      <c r="D88" s="579" t="s">
        <v>262</v>
      </c>
      <c r="E88" s="1242"/>
      <c r="F88" s="1256"/>
      <c r="G88" s="1240"/>
      <c r="H88" s="576"/>
      <c r="I88" s="582"/>
      <c r="J88" s="210"/>
      <c r="K88" s="210"/>
      <c r="L88" s="182"/>
      <c r="M88" s="279"/>
      <c r="N88" s="210"/>
      <c r="O88" s="210"/>
      <c r="P88" s="210"/>
      <c r="Q88" s="718"/>
      <c r="R88" s="716"/>
      <c r="S88" s="716"/>
      <c r="T88" s="418"/>
      <c r="U88" s="578"/>
      <c r="V88" s="578"/>
    </row>
    <row r="89" spans="1:22" ht="15" customHeight="1" thickBot="1">
      <c r="A89" s="1251"/>
      <c r="B89" s="1252"/>
      <c r="C89" s="1253"/>
      <c r="D89" s="1273" t="s">
        <v>151</v>
      </c>
      <c r="E89" s="1242"/>
      <c r="F89" s="1256"/>
      <c r="G89" s="1240"/>
      <c r="H89" s="536"/>
      <c r="I89" s="582"/>
      <c r="J89" s="210"/>
      <c r="K89" s="210"/>
      <c r="L89" s="182"/>
      <c r="M89" s="279"/>
      <c r="N89" s="210"/>
      <c r="O89" s="210"/>
      <c r="P89" s="210"/>
      <c r="Q89" s="718"/>
      <c r="R89" s="716"/>
      <c r="S89" s="716"/>
      <c r="T89" s="418"/>
      <c r="U89" s="578"/>
      <c r="V89" s="578"/>
    </row>
    <row r="90" spans="1:22" ht="20.25" customHeight="1" thickBot="1">
      <c r="A90" s="1251"/>
      <c r="B90" s="1252"/>
      <c r="C90" s="1253"/>
      <c r="D90" s="1274"/>
      <c r="E90" s="1243"/>
      <c r="F90" s="1256"/>
      <c r="G90" s="1240"/>
      <c r="H90" s="707" t="s">
        <v>20</v>
      </c>
      <c r="I90" s="406">
        <f aca="true" t="shared" si="23" ref="I90:V90">SUM(I85:I89)</f>
        <v>0</v>
      </c>
      <c r="J90" s="469">
        <f t="shared" si="23"/>
        <v>0</v>
      </c>
      <c r="K90" s="469">
        <f t="shared" si="23"/>
        <v>0</v>
      </c>
      <c r="L90" s="391">
        <f t="shared" si="23"/>
        <v>0</v>
      </c>
      <c r="M90" s="406">
        <f t="shared" si="23"/>
        <v>932.3</v>
      </c>
      <c r="N90" s="469">
        <f t="shared" si="23"/>
        <v>0</v>
      </c>
      <c r="O90" s="469">
        <f t="shared" si="23"/>
        <v>0</v>
      </c>
      <c r="P90" s="391">
        <f t="shared" si="23"/>
        <v>932.3</v>
      </c>
      <c r="Q90" s="406">
        <f t="shared" si="23"/>
        <v>932.3</v>
      </c>
      <c r="R90" s="469">
        <f t="shared" si="23"/>
        <v>0</v>
      </c>
      <c r="S90" s="469">
        <f t="shared" si="23"/>
        <v>0</v>
      </c>
      <c r="T90" s="391">
        <f t="shared" si="23"/>
        <v>932.3</v>
      </c>
      <c r="U90" s="393">
        <f t="shared" si="23"/>
        <v>2278.8</v>
      </c>
      <c r="V90" s="393">
        <f t="shared" si="23"/>
        <v>932.3</v>
      </c>
    </row>
    <row r="91" spans="1:22" ht="15" customHeight="1">
      <c r="A91" s="1140" t="s">
        <v>8</v>
      </c>
      <c r="B91" s="1155" t="s">
        <v>38</v>
      </c>
      <c r="C91" s="1267" t="s">
        <v>15</v>
      </c>
      <c r="D91" s="1145" t="s">
        <v>56</v>
      </c>
      <c r="E91" s="1107"/>
      <c r="F91" s="1110" t="s">
        <v>12</v>
      </c>
      <c r="G91" s="1082" t="s">
        <v>145</v>
      </c>
      <c r="H91" s="583" t="s">
        <v>11</v>
      </c>
      <c r="I91" s="218">
        <f>J91+L91</f>
        <v>59.9</v>
      </c>
      <c r="J91" s="219"/>
      <c r="K91" s="219"/>
      <c r="L91" s="220">
        <v>59.9</v>
      </c>
      <c r="M91" s="218">
        <f>N91+P91</f>
        <v>41.4</v>
      </c>
      <c r="N91" s="219"/>
      <c r="O91" s="219"/>
      <c r="P91" s="220">
        <v>41.4</v>
      </c>
      <c r="Q91" s="719">
        <f>R91+T91</f>
        <v>41.4</v>
      </c>
      <c r="R91" s="720"/>
      <c r="S91" s="720"/>
      <c r="T91" s="721">
        <v>41.4</v>
      </c>
      <c r="U91" s="221">
        <v>60</v>
      </c>
      <c r="V91" s="222">
        <v>60</v>
      </c>
    </row>
    <row r="92" spans="1:22" ht="15" customHeight="1">
      <c r="A92" s="1096"/>
      <c r="B92" s="1099"/>
      <c r="C92" s="1268"/>
      <c r="D92" s="1270"/>
      <c r="E92" s="1108"/>
      <c r="F92" s="1111"/>
      <c r="G92" s="1083"/>
      <c r="H92" s="584" t="s">
        <v>53</v>
      </c>
      <c r="I92" s="223">
        <f>J92+L92</f>
        <v>0</v>
      </c>
      <c r="J92" s="224"/>
      <c r="K92" s="224"/>
      <c r="L92" s="225">
        <v>0</v>
      </c>
      <c r="M92" s="223">
        <f>N92+P92</f>
        <v>0</v>
      </c>
      <c r="N92" s="224"/>
      <c r="O92" s="224"/>
      <c r="P92" s="225"/>
      <c r="Q92" s="722">
        <f>R92+T92</f>
        <v>0</v>
      </c>
      <c r="R92" s="723"/>
      <c r="S92" s="723"/>
      <c r="T92" s="724"/>
      <c r="U92" s="226"/>
      <c r="V92" s="227"/>
    </row>
    <row r="93" spans="1:22" ht="15" customHeight="1" thickBot="1">
      <c r="A93" s="1141"/>
      <c r="B93" s="1156"/>
      <c r="C93" s="1269"/>
      <c r="D93" s="1148"/>
      <c r="E93" s="1109"/>
      <c r="F93" s="1112"/>
      <c r="G93" s="1084"/>
      <c r="H93" s="709" t="s">
        <v>20</v>
      </c>
      <c r="I93" s="458">
        <f aca="true" t="shared" si="24" ref="I93:V93">SUM(I91:I92)</f>
        <v>59.9</v>
      </c>
      <c r="J93" s="459">
        <f t="shared" si="24"/>
        <v>0</v>
      </c>
      <c r="K93" s="460">
        <f t="shared" si="24"/>
        <v>0</v>
      </c>
      <c r="L93" s="461">
        <f t="shared" si="24"/>
        <v>59.9</v>
      </c>
      <c r="M93" s="458">
        <f t="shared" si="24"/>
        <v>41.4</v>
      </c>
      <c r="N93" s="459">
        <f t="shared" si="24"/>
        <v>0</v>
      </c>
      <c r="O93" s="460">
        <f t="shared" si="24"/>
        <v>0</v>
      </c>
      <c r="P93" s="461">
        <f t="shared" si="24"/>
        <v>41.4</v>
      </c>
      <c r="Q93" s="458">
        <f t="shared" si="24"/>
        <v>41.4</v>
      </c>
      <c r="R93" s="459">
        <f t="shared" si="24"/>
        <v>0</v>
      </c>
      <c r="S93" s="460">
        <f t="shared" si="24"/>
        <v>0</v>
      </c>
      <c r="T93" s="461">
        <f t="shared" si="24"/>
        <v>41.4</v>
      </c>
      <c r="U93" s="466">
        <f t="shared" si="24"/>
        <v>60</v>
      </c>
      <c r="V93" s="467">
        <f t="shared" si="24"/>
        <v>60</v>
      </c>
    </row>
    <row r="94" spans="1:22" ht="15" customHeight="1">
      <c r="A94" s="1095" t="s">
        <v>8</v>
      </c>
      <c r="B94" s="1098" t="s">
        <v>8</v>
      </c>
      <c r="C94" s="1226" t="s">
        <v>39</v>
      </c>
      <c r="D94" s="1159" t="s">
        <v>50</v>
      </c>
      <c r="E94" s="585" t="s">
        <v>22</v>
      </c>
      <c r="F94" s="1258" t="s">
        <v>12</v>
      </c>
      <c r="G94" s="1261">
        <v>5</v>
      </c>
      <c r="H94" s="570" t="s">
        <v>11</v>
      </c>
      <c r="I94" s="194">
        <f>J94+L94</f>
        <v>15.2</v>
      </c>
      <c r="J94" s="172">
        <v>15.2</v>
      </c>
      <c r="K94" s="172"/>
      <c r="L94" s="173"/>
      <c r="M94" s="194">
        <f>N94+P94</f>
        <v>0</v>
      </c>
      <c r="N94" s="172"/>
      <c r="O94" s="172"/>
      <c r="P94" s="173"/>
      <c r="Q94" s="415">
        <f>R94+T94</f>
        <v>0</v>
      </c>
      <c r="R94" s="396"/>
      <c r="S94" s="396"/>
      <c r="T94" s="397"/>
      <c r="U94" s="179"/>
      <c r="V94" s="179"/>
    </row>
    <row r="95" spans="1:22" ht="15" customHeight="1">
      <c r="A95" s="1096"/>
      <c r="B95" s="1099"/>
      <c r="C95" s="1257"/>
      <c r="D95" s="1160"/>
      <c r="E95" s="1264" t="s">
        <v>138</v>
      </c>
      <c r="F95" s="1259"/>
      <c r="G95" s="1262"/>
      <c r="H95" s="586" t="s">
        <v>18</v>
      </c>
      <c r="I95" s="195">
        <f>J95+L95</f>
        <v>0</v>
      </c>
      <c r="J95" s="181"/>
      <c r="K95" s="181"/>
      <c r="L95" s="182"/>
      <c r="M95" s="195">
        <f>N95+P95</f>
        <v>0</v>
      </c>
      <c r="N95" s="181"/>
      <c r="O95" s="181"/>
      <c r="P95" s="182"/>
      <c r="Q95" s="416">
        <f>R95+T95</f>
        <v>0</v>
      </c>
      <c r="R95" s="417"/>
      <c r="S95" s="417"/>
      <c r="T95" s="418"/>
      <c r="U95" s="183"/>
      <c r="V95" s="183"/>
    </row>
    <row r="96" spans="1:22" ht="15" customHeight="1">
      <c r="A96" s="1096"/>
      <c r="B96" s="1099"/>
      <c r="C96" s="1257"/>
      <c r="D96" s="1160"/>
      <c r="E96" s="1265"/>
      <c r="F96" s="1259"/>
      <c r="G96" s="1262"/>
      <c r="H96" s="586" t="s">
        <v>25</v>
      </c>
      <c r="I96" s="197">
        <f>J96+L96</f>
        <v>0</v>
      </c>
      <c r="J96" s="206"/>
      <c r="K96" s="206"/>
      <c r="L96" s="207"/>
      <c r="M96" s="197">
        <f>N96+P96</f>
        <v>0</v>
      </c>
      <c r="N96" s="206"/>
      <c r="O96" s="206"/>
      <c r="P96" s="207"/>
      <c r="Q96" s="419">
        <f>R96+T96</f>
        <v>0</v>
      </c>
      <c r="R96" s="413"/>
      <c r="S96" s="413"/>
      <c r="T96" s="414"/>
      <c r="U96" s="196"/>
      <c r="V96" s="196"/>
    </row>
    <row r="97" spans="1:22" ht="15" customHeight="1" thickBot="1">
      <c r="A97" s="1097"/>
      <c r="B97" s="1100"/>
      <c r="C97" s="1228"/>
      <c r="D97" s="1161"/>
      <c r="E97" s="1266"/>
      <c r="F97" s="1260"/>
      <c r="G97" s="1263"/>
      <c r="H97" s="710" t="s">
        <v>20</v>
      </c>
      <c r="I97" s="711">
        <f aca="true" t="shared" si="25" ref="I97:V97">SUM(I94:I96)</f>
        <v>15.2</v>
      </c>
      <c r="J97" s="712">
        <f t="shared" si="25"/>
        <v>15.2</v>
      </c>
      <c r="K97" s="712">
        <f t="shared" si="25"/>
        <v>0</v>
      </c>
      <c r="L97" s="713">
        <f t="shared" si="25"/>
        <v>0</v>
      </c>
      <c r="M97" s="711">
        <f t="shared" si="25"/>
        <v>0</v>
      </c>
      <c r="N97" s="712">
        <f t="shared" si="25"/>
        <v>0</v>
      </c>
      <c r="O97" s="712">
        <f t="shared" si="25"/>
        <v>0</v>
      </c>
      <c r="P97" s="713">
        <f t="shared" si="25"/>
        <v>0</v>
      </c>
      <c r="Q97" s="711">
        <f t="shared" si="25"/>
        <v>0</v>
      </c>
      <c r="R97" s="712">
        <f t="shared" si="25"/>
        <v>0</v>
      </c>
      <c r="S97" s="712">
        <f t="shared" si="25"/>
        <v>0</v>
      </c>
      <c r="T97" s="713">
        <f t="shared" si="25"/>
        <v>0</v>
      </c>
      <c r="U97" s="714">
        <f t="shared" si="25"/>
        <v>0</v>
      </c>
      <c r="V97" s="714">
        <f t="shared" si="25"/>
        <v>0</v>
      </c>
    </row>
    <row r="98" spans="1:22" ht="15" customHeight="1" thickBot="1">
      <c r="A98" s="1251" t="s">
        <v>8</v>
      </c>
      <c r="B98" s="1252" t="s">
        <v>8</v>
      </c>
      <c r="C98" s="1253" t="s">
        <v>16</v>
      </c>
      <c r="D98" s="1254" t="s">
        <v>153</v>
      </c>
      <c r="E98" s="540" t="s">
        <v>22</v>
      </c>
      <c r="F98" s="1256" t="s">
        <v>12</v>
      </c>
      <c r="G98" s="1240" t="s">
        <v>145</v>
      </c>
      <c r="H98" s="587" t="s">
        <v>238</v>
      </c>
      <c r="I98" s="175">
        <f>J98+L98</f>
        <v>265.8</v>
      </c>
      <c r="J98" s="172"/>
      <c r="K98" s="172"/>
      <c r="L98" s="173">
        <v>265.8</v>
      </c>
      <c r="M98" s="175">
        <f>N98+P98</f>
        <v>0</v>
      </c>
      <c r="N98" s="176"/>
      <c r="O98" s="176"/>
      <c r="P98" s="209"/>
      <c r="Q98" s="395">
        <f>R98+T98</f>
        <v>0</v>
      </c>
      <c r="R98" s="396"/>
      <c r="S98" s="396"/>
      <c r="T98" s="402"/>
      <c r="U98" s="205"/>
      <c r="V98" s="205"/>
    </row>
    <row r="99" spans="1:22" ht="15" customHeight="1" thickBot="1">
      <c r="A99" s="1251"/>
      <c r="B99" s="1252"/>
      <c r="C99" s="1253"/>
      <c r="D99" s="1254"/>
      <c r="E99" s="1241" t="s">
        <v>143</v>
      </c>
      <c r="F99" s="1256"/>
      <c r="G99" s="1240"/>
      <c r="H99" s="586" t="s">
        <v>53</v>
      </c>
      <c r="I99" s="180">
        <f>J99+L99</f>
        <v>0</v>
      </c>
      <c r="J99" s="206"/>
      <c r="K99" s="206"/>
      <c r="L99" s="207"/>
      <c r="M99" s="180">
        <f>N99+P99</f>
        <v>0</v>
      </c>
      <c r="N99" s="206"/>
      <c r="O99" s="206"/>
      <c r="P99" s="278"/>
      <c r="Q99" s="398">
        <f>R99+T99</f>
        <v>0</v>
      </c>
      <c r="R99" s="413"/>
      <c r="S99" s="413"/>
      <c r="T99" s="725"/>
      <c r="U99" s="208"/>
      <c r="V99" s="208"/>
    </row>
    <row r="100" spans="1:22" ht="15" customHeight="1" thickBot="1">
      <c r="A100" s="1251"/>
      <c r="B100" s="1252"/>
      <c r="C100" s="1253"/>
      <c r="D100" s="1254"/>
      <c r="E100" s="1242"/>
      <c r="F100" s="1256"/>
      <c r="G100" s="1240"/>
      <c r="H100" s="588" t="s">
        <v>110</v>
      </c>
      <c r="I100" s="589">
        <f>J100+L100</f>
        <v>288.9</v>
      </c>
      <c r="J100" s="552"/>
      <c r="K100" s="552"/>
      <c r="L100" s="550">
        <v>288.9</v>
      </c>
      <c r="M100" s="589">
        <f>N100+P100</f>
        <v>0</v>
      </c>
      <c r="N100" s="552"/>
      <c r="O100" s="552"/>
      <c r="P100" s="552"/>
      <c r="Q100" s="726">
        <f>R100+T100</f>
        <v>13.2</v>
      </c>
      <c r="R100" s="708"/>
      <c r="S100" s="708"/>
      <c r="T100" s="708">
        <v>13.2</v>
      </c>
      <c r="U100" s="553"/>
      <c r="V100" s="553"/>
    </row>
    <row r="101" spans="1:22" ht="15" customHeight="1" thickBot="1">
      <c r="A101" s="1251"/>
      <c r="B101" s="1252"/>
      <c r="C101" s="1253"/>
      <c r="D101" s="1254"/>
      <c r="E101" s="1242"/>
      <c r="F101" s="1256"/>
      <c r="G101" s="1240"/>
      <c r="H101" s="586" t="s">
        <v>18</v>
      </c>
      <c r="I101" s="589">
        <f>J101+L101</f>
        <v>2337.1</v>
      </c>
      <c r="J101" s="552"/>
      <c r="K101" s="552"/>
      <c r="L101" s="550">
        <v>2337.1</v>
      </c>
      <c r="M101" s="589">
        <f>N101+P101</f>
        <v>0</v>
      </c>
      <c r="N101" s="552"/>
      <c r="O101" s="552"/>
      <c r="P101" s="552"/>
      <c r="Q101" s="726">
        <f>R101+T101</f>
        <v>107.1</v>
      </c>
      <c r="R101" s="708"/>
      <c r="S101" s="708"/>
      <c r="T101" s="708">
        <v>107.1</v>
      </c>
      <c r="U101" s="553"/>
      <c r="V101" s="553"/>
    </row>
    <row r="102" spans="1:22" ht="15" customHeight="1" thickBot="1">
      <c r="A102" s="1251"/>
      <c r="B102" s="1252"/>
      <c r="C102" s="1253"/>
      <c r="D102" s="1254"/>
      <c r="E102" s="1243"/>
      <c r="F102" s="1256"/>
      <c r="G102" s="1240"/>
      <c r="H102" s="707" t="s">
        <v>20</v>
      </c>
      <c r="I102" s="406">
        <f aca="true" t="shared" si="26" ref="I102:V102">SUM(I98:I101)</f>
        <v>2891.8</v>
      </c>
      <c r="J102" s="390">
        <f t="shared" si="26"/>
        <v>0</v>
      </c>
      <c r="K102" s="405">
        <f t="shared" si="26"/>
        <v>0</v>
      </c>
      <c r="L102" s="389">
        <f t="shared" si="26"/>
        <v>2891.8</v>
      </c>
      <c r="M102" s="406">
        <f t="shared" si="26"/>
        <v>0</v>
      </c>
      <c r="N102" s="390">
        <f t="shared" si="26"/>
        <v>0</v>
      </c>
      <c r="O102" s="405">
        <f t="shared" si="26"/>
        <v>0</v>
      </c>
      <c r="P102" s="389">
        <f t="shared" si="26"/>
        <v>0</v>
      </c>
      <c r="Q102" s="406">
        <f t="shared" si="26"/>
        <v>120.3</v>
      </c>
      <c r="R102" s="390">
        <f t="shared" si="26"/>
        <v>0</v>
      </c>
      <c r="S102" s="405">
        <f t="shared" si="26"/>
        <v>0</v>
      </c>
      <c r="T102" s="389">
        <f t="shared" si="26"/>
        <v>120.3</v>
      </c>
      <c r="U102" s="393">
        <f t="shared" si="26"/>
        <v>0</v>
      </c>
      <c r="V102" s="393">
        <f t="shared" si="26"/>
        <v>0</v>
      </c>
    </row>
    <row r="103" spans="1:22" ht="15" customHeight="1" thickBot="1">
      <c r="A103" s="1251" t="s">
        <v>8</v>
      </c>
      <c r="B103" s="1252" t="s">
        <v>8</v>
      </c>
      <c r="C103" s="1253" t="s">
        <v>52</v>
      </c>
      <c r="D103" s="1254" t="s">
        <v>154</v>
      </c>
      <c r="E103" s="1246" t="s">
        <v>22</v>
      </c>
      <c r="F103" s="1256" t="s">
        <v>12</v>
      </c>
      <c r="G103" s="1240" t="s">
        <v>145</v>
      </c>
      <c r="H103" s="568" t="s">
        <v>238</v>
      </c>
      <c r="I103" s="175">
        <f>J103+L103</f>
        <v>133.3</v>
      </c>
      <c r="J103" s="189"/>
      <c r="K103" s="189"/>
      <c r="L103" s="190">
        <v>133.3</v>
      </c>
      <c r="M103" s="175">
        <f>N103+P103</f>
        <v>0</v>
      </c>
      <c r="N103" s="214"/>
      <c r="O103" s="214"/>
      <c r="P103" s="323"/>
      <c r="Q103" s="395">
        <f>R103+T103</f>
        <v>0</v>
      </c>
      <c r="R103" s="396"/>
      <c r="S103" s="396"/>
      <c r="T103" s="402"/>
      <c r="U103" s="205"/>
      <c r="V103" s="213"/>
    </row>
    <row r="104" spans="1:22" ht="15" customHeight="1" thickBot="1">
      <c r="A104" s="1251"/>
      <c r="B104" s="1252"/>
      <c r="C104" s="1253"/>
      <c r="D104" s="1254"/>
      <c r="E104" s="1255"/>
      <c r="F104" s="1256"/>
      <c r="G104" s="1240"/>
      <c r="H104" s="568" t="s">
        <v>11</v>
      </c>
      <c r="I104" s="180">
        <f>J104+L104</f>
        <v>1.4</v>
      </c>
      <c r="J104" s="189">
        <v>1.4</v>
      </c>
      <c r="K104" s="189"/>
      <c r="L104" s="190"/>
      <c r="M104" s="180">
        <f>N104+P104</f>
        <v>0</v>
      </c>
      <c r="N104" s="214"/>
      <c r="O104" s="214"/>
      <c r="P104" s="323"/>
      <c r="Q104" s="398">
        <f>R104+T104</f>
        <v>0</v>
      </c>
      <c r="R104" s="399"/>
      <c r="S104" s="399"/>
      <c r="T104" s="403"/>
      <c r="U104" s="213"/>
      <c r="V104" s="213"/>
    </row>
    <row r="105" spans="1:22" ht="15" customHeight="1" thickBot="1">
      <c r="A105" s="1251"/>
      <c r="B105" s="1252"/>
      <c r="C105" s="1253"/>
      <c r="D105" s="1254"/>
      <c r="E105" s="1241" t="s">
        <v>143</v>
      </c>
      <c r="F105" s="1256"/>
      <c r="G105" s="1240"/>
      <c r="H105" s="586" t="s">
        <v>110</v>
      </c>
      <c r="I105" s="589">
        <f>J105+L105</f>
        <v>218</v>
      </c>
      <c r="J105" s="206"/>
      <c r="K105" s="206"/>
      <c r="L105" s="207">
        <v>218</v>
      </c>
      <c r="M105" s="589">
        <f>N105+P105</f>
        <v>0</v>
      </c>
      <c r="N105" s="206"/>
      <c r="O105" s="206"/>
      <c r="P105" s="278"/>
      <c r="Q105" s="726">
        <f>R105+T105</f>
        <v>0</v>
      </c>
      <c r="R105" s="413"/>
      <c r="S105" s="413"/>
      <c r="T105" s="725"/>
      <c r="U105" s="208"/>
      <c r="V105" s="208"/>
    </row>
    <row r="106" spans="1:22" ht="15" customHeight="1" thickBot="1">
      <c r="A106" s="1251"/>
      <c r="B106" s="1252"/>
      <c r="C106" s="1253"/>
      <c r="D106" s="1254"/>
      <c r="E106" s="1242"/>
      <c r="F106" s="1256"/>
      <c r="G106" s="1240"/>
      <c r="H106" s="586" t="s">
        <v>18</v>
      </c>
      <c r="I106" s="589">
        <f>J106+L106</f>
        <v>1765</v>
      </c>
      <c r="J106" s="552"/>
      <c r="K106" s="552"/>
      <c r="L106" s="550">
        <v>1765</v>
      </c>
      <c r="M106" s="589">
        <f>N106+P106</f>
        <v>0</v>
      </c>
      <c r="N106" s="552"/>
      <c r="O106" s="552"/>
      <c r="P106" s="552"/>
      <c r="Q106" s="726">
        <f>R106+T106</f>
        <v>0</v>
      </c>
      <c r="R106" s="708"/>
      <c r="S106" s="708"/>
      <c r="T106" s="708"/>
      <c r="U106" s="553"/>
      <c r="V106" s="553"/>
    </row>
    <row r="107" spans="1:22" ht="15" customHeight="1" thickBot="1">
      <c r="A107" s="1251"/>
      <c r="B107" s="1252"/>
      <c r="C107" s="1253"/>
      <c r="D107" s="1254"/>
      <c r="E107" s="1243"/>
      <c r="F107" s="1256"/>
      <c r="G107" s="1240"/>
      <c r="H107" s="707" t="s">
        <v>20</v>
      </c>
      <c r="I107" s="406">
        <f aca="true" t="shared" si="27" ref="I107:V107">SUM(I103:I106)</f>
        <v>2117.7</v>
      </c>
      <c r="J107" s="390">
        <f t="shared" si="27"/>
        <v>1.4</v>
      </c>
      <c r="K107" s="405">
        <f t="shared" si="27"/>
        <v>0</v>
      </c>
      <c r="L107" s="389">
        <f t="shared" si="27"/>
        <v>2116.3</v>
      </c>
      <c r="M107" s="406">
        <f t="shared" si="27"/>
        <v>0</v>
      </c>
      <c r="N107" s="390">
        <f t="shared" si="27"/>
        <v>0</v>
      </c>
      <c r="O107" s="405">
        <f t="shared" si="27"/>
        <v>0</v>
      </c>
      <c r="P107" s="389">
        <f t="shared" si="27"/>
        <v>0</v>
      </c>
      <c r="Q107" s="406">
        <f t="shared" si="27"/>
        <v>0</v>
      </c>
      <c r="R107" s="390">
        <f t="shared" si="27"/>
        <v>0</v>
      </c>
      <c r="S107" s="405">
        <f t="shared" si="27"/>
        <v>0</v>
      </c>
      <c r="T107" s="389">
        <f t="shared" si="27"/>
        <v>0</v>
      </c>
      <c r="U107" s="393">
        <f t="shared" si="27"/>
        <v>0</v>
      </c>
      <c r="V107" s="393">
        <f t="shared" si="27"/>
        <v>0</v>
      </c>
    </row>
    <row r="108" spans="1:22" ht="15" customHeight="1">
      <c r="A108" s="1140" t="s">
        <v>8</v>
      </c>
      <c r="B108" s="1155" t="s">
        <v>8</v>
      </c>
      <c r="C108" s="1157" t="s">
        <v>17</v>
      </c>
      <c r="D108" s="1244" t="s">
        <v>103</v>
      </c>
      <c r="E108" s="1246" t="s">
        <v>22</v>
      </c>
      <c r="F108" s="1210" t="s">
        <v>12</v>
      </c>
      <c r="G108" s="1213" t="s">
        <v>145</v>
      </c>
      <c r="H108" s="541" t="s">
        <v>53</v>
      </c>
      <c r="I108" s="180">
        <f>J108+L108</f>
        <v>495</v>
      </c>
      <c r="J108" s="206"/>
      <c r="K108" s="206"/>
      <c r="L108" s="207">
        <v>495</v>
      </c>
      <c r="M108" s="180">
        <f>N108+P108</f>
        <v>0</v>
      </c>
      <c r="N108" s="203"/>
      <c r="O108" s="203"/>
      <c r="P108" s="278"/>
      <c r="Q108" s="398">
        <f>R108+T108</f>
        <v>0</v>
      </c>
      <c r="R108" s="396"/>
      <c r="S108" s="396"/>
      <c r="T108" s="397"/>
      <c r="U108" s="208"/>
      <c r="V108" s="205"/>
    </row>
    <row r="109" spans="1:22" ht="15" customHeight="1">
      <c r="A109" s="1096"/>
      <c r="B109" s="1099"/>
      <c r="C109" s="1102"/>
      <c r="D109" s="1245"/>
      <c r="E109" s="1247"/>
      <c r="F109" s="1249"/>
      <c r="G109" s="1250"/>
      <c r="H109" s="547"/>
      <c r="I109" s="548">
        <f>J109+L109</f>
        <v>0</v>
      </c>
      <c r="J109" s="549"/>
      <c r="K109" s="549"/>
      <c r="L109" s="550"/>
      <c r="M109" s="548">
        <f>N109+P109</f>
        <v>0</v>
      </c>
      <c r="N109" s="551"/>
      <c r="O109" s="551"/>
      <c r="P109" s="552"/>
      <c r="Q109" s="705">
        <f>R109+T109</f>
        <v>0</v>
      </c>
      <c r="R109" s="692"/>
      <c r="S109" s="692"/>
      <c r="T109" s="706"/>
      <c r="U109" s="553"/>
      <c r="V109" s="553"/>
    </row>
    <row r="110" spans="1:22" ht="15" customHeight="1" thickBot="1">
      <c r="A110" s="1141"/>
      <c r="B110" s="1156"/>
      <c r="C110" s="1158"/>
      <c r="D110" s="1245"/>
      <c r="E110" s="1248"/>
      <c r="F110" s="1212"/>
      <c r="G110" s="1214"/>
      <c r="H110" s="707" t="s">
        <v>20</v>
      </c>
      <c r="I110" s="388">
        <f>SUM(I108:I109)</f>
        <v>495</v>
      </c>
      <c r="J110" s="390">
        <f>SUM(J108,J109)</f>
        <v>0</v>
      </c>
      <c r="K110" s="390">
        <f>SUM(K108,K109)</f>
        <v>0</v>
      </c>
      <c r="L110" s="391">
        <f>SUM(L108,L109)</f>
        <v>495</v>
      </c>
      <c r="M110" s="388">
        <f>SUM(M108:M109)</f>
        <v>0</v>
      </c>
      <c r="N110" s="390">
        <f>SUM(N108,N109)</f>
        <v>0</v>
      </c>
      <c r="O110" s="390">
        <f>SUM(O108,O109)</f>
        <v>0</v>
      </c>
      <c r="P110" s="391">
        <f>SUM(P108,P109)</f>
        <v>0</v>
      </c>
      <c r="Q110" s="388">
        <f>SUM(Q108:Q109)</f>
        <v>0</v>
      </c>
      <c r="R110" s="390">
        <f>SUM(R108,R109)</f>
        <v>0</v>
      </c>
      <c r="S110" s="390">
        <f>SUM(S108,S109)</f>
        <v>0</v>
      </c>
      <c r="T110" s="391">
        <f>SUM(T108,T109)</f>
        <v>0</v>
      </c>
      <c r="U110" s="393">
        <f>SUM(U108,U109)</f>
        <v>0</v>
      </c>
      <c r="V110" s="393">
        <f>SUM(V108,V109)</f>
        <v>0</v>
      </c>
    </row>
    <row r="111" spans="1:22" ht="15" customHeight="1" thickBot="1">
      <c r="A111" s="590" t="s">
        <v>8</v>
      </c>
      <c r="B111" s="534" t="s">
        <v>8</v>
      </c>
      <c r="C111" s="1218" t="s">
        <v>19</v>
      </c>
      <c r="D111" s="1219"/>
      <c r="E111" s="1219"/>
      <c r="F111" s="1219"/>
      <c r="G111" s="1219"/>
      <c r="H111" s="1220"/>
      <c r="I111" s="591">
        <f>SUM(I97,I50,I39,I32,I68,I65,I36,I119,I22,I62,I45,I42,I19,I79,I90,I75,I84,I72,I59,I55,I15,I29,I25,I110,I107,I102)</f>
        <v>16573.199999999997</v>
      </c>
      <c r="J111" s="591">
        <f>SUM(J97,J50,J39,J32,J68,J65,J36,J119,J22,J62,J45,J42,J19,J79,J90,J75,J84,J72,J59,J55,J15,J29,J25,J110,J107,J102)</f>
        <v>67.7</v>
      </c>
      <c r="K111" s="591">
        <f>SUM(K97,K50,K39,K32,K68,K65,K36,K119,K22,K62,K45,K42,K19,K79,K90,K75,K84,K72,K59,K55,K15,K29,K25,K110,K107,K102)</f>
        <v>0</v>
      </c>
      <c r="L111" s="591">
        <f>SUM(L97,L50,L39,L32,L68,L65,L36,L119,L22,L62,L45,L42,L19,L79,L90,L75,L84,L72,L59,L55,L15,L29,L25,L110,L107,L102)</f>
        <v>16505.5</v>
      </c>
      <c r="M111" s="591">
        <f>SUM(M15,M19,M22,M25,M29,M32,M36,M39,M42,M45,M50,M55,M59,M62,M65,M68,M72,M75,M79,M84,M90,M93,M97,M102,M107,M110)</f>
        <v>19804.1</v>
      </c>
      <c r="N111" s="591">
        <f aca="true" t="shared" si="28" ref="N111:V111">SUM(N15,N19,N22,N25,N29,N32,N36,N39,N42,N45,N50,N55,N59,N62,N65,N68,N72,N75,N79,N84,N90,N93,N97,N102,N107,N110)</f>
        <v>0</v>
      </c>
      <c r="O111" s="591">
        <f t="shared" si="28"/>
        <v>0</v>
      </c>
      <c r="P111" s="591">
        <f t="shared" si="28"/>
        <v>19804.1</v>
      </c>
      <c r="Q111" s="591">
        <f t="shared" si="28"/>
        <v>18561.399999999998</v>
      </c>
      <c r="R111" s="591">
        <f t="shared" si="28"/>
        <v>0</v>
      </c>
      <c r="S111" s="591">
        <f t="shared" si="28"/>
        <v>0</v>
      </c>
      <c r="T111" s="591">
        <f t="shared" si="28"/>
        <v>18561.399999999998</v>
      </c>
      <c r="U111" s="591">
        <f t="shared" si="28"/>
        <v>28482.7</v>
      </c>
      <c r="V111" s="591">
        <f t="shared" si="28"/>
        <v>20524.8</v>
      </c>
    </row>
    <row r="112" spans="1:22" ht="15" customHeight="1" thickBot="1">
      <c r="A112" s="28" t="s">
        <v>8</v>
      </c>
      <c r="B112" s="23" t="s">
        <v>9</v>
      </c>
      <c r="C112" s="1221" t="s">
        <v>49</v>
      </c>
      <c r="D112" s="1221"/>
      <c r="E112" s="1221"/>
      <c r="F112" s="1221"/>
      <c r="G112" s="1221"/>
      <c r="H112" s="1221"/>
      <c r="I112" s="1221"/>
      <c r="J112" s="1221"/>
      <c r="K112" s="1221"/>
      <c r="L112" s="1221"/>
      <c r="M112" s="1221"/>
      <c r="N112" s="1221"/>
      <c r="O112" s="1221"/>
      <c r="P112" s="1221"/>
      <c r="Q112" s="1221"/>
      <c r="R112" s="1221"/>
      <c r="S112" s="1221"/>
      <c r="T112" s="1221"/>
      <c r="U112" s="1221"/>
      <c r="V112" s="1222"/>
    </row>
    <row r="113" spans="1:22" ht="15" customHeight="1">
      <c r="A113" s="1223" t="s">
        <v>8</v>
      </c>
      <c r="B113" s="1098" t="s">
        <v>9</v>
      </c>
      <c r="C113" s="1226" t="s">
        <v>8</v>
      </c>
      <c r="D113" s="1229" t="s">
        <v>263</v>
      </c>
      <c r="E113" s="592" t="s">
        <v>22</v>
      </c>
      <c r="F113" s="1232" t="s">
        <v>12</v>
      </c>
      <c r="G113" s="1129" t="s">
        <v>145</v>
      </c>
      <c r="H113" s="593" t="s">
        <v>18</v>
      </c>
      <c r="I113" s="194">
        <f>J113+L113</f>
        <v>5834.9</v>
      </c>
      <c r="J113" s="185"/>
      <c r="K113" s="185"/>
      <c r="L113" s="186">
        <v>5834.9</v>
      </c>
      <c r="M113" s="194">
        <f>N113+P113</f>
        <v>9954</v>
      </c>
      <c r="N113" s="185"/>
      <c r="O113" s="185"/>
      <c r="P113" s="186">
        <v>9954</v>
      </c>
      <c r="Q113" s="415">
        <f>R113+T113</f>
        <v>9954</v>
      </c>
      <c r="R113" s="409"/>
      <c r="S113" s="409"/>
      <c r="T113" s="410">
        <v>9954</v>
      </c>
      <c r="U113" s="594"/>
      <c r="V113" s="595"/>
    </row>
    <row r="114" spans="1:22" ht="15" customHeight="1">
      <c r="A114" s="1224"/>
      <c r="B114" s="1172"/>
      <c r="C114" s="1227"/>
      <c r="D114" s="1230"/>
      <c r="E114" s="1237" t="s">
        <v>137</v>
      </c>
      <c r="F114" s="1233"/>
      <c r="G114" s="1235"/>
      <c r="H114" s="596" t="s">
        <v>238</v>
      </c>
      <c r="I114" s="195">
        <f>J114+L114</f>
        <v>0</v>
      </c>
      <c r="J114" s="206"/>
      <c r="K114" s="206"/>
      <c r="L114" s="207"/>
      <c r="M114" s="195">
        <f>N114+P114</f>
        <v>69</v>
      </c>
      <c r="N114" s="206"/>
      <c r="O114" s="206"/>
      <c r="P114" s="207">
        <v>69</v>
      </c>
      <c r="Q114" s="416">
        <f>R114+T114</f>
        <v>69</v>
      </c>
      <c r="R114" s="413"/>
      <c r="S114" s="413"/>
      <c r="T114" s="414">
        <v>69</v>
      </c>
      <c r="U114" s="597"/>
      <c r="V114" s="598"/>
    </row>
    <row r="115" spans="1:22" ht="15" customHeight="1">
      <c r="A115" s="1224"/>
      <c r="B115" s="1172"/>
      <c r="C115" s="1227"/>
      <c r="D115" s="1230"/>
      <c r="E115" s="1238"/>
      <c r="F115" s="1233"/>
      <c r="G115" s="1236"/>
      <c r="H115" s="599" t="s">
        <v>11</v>
      </c>
      <c r="I115" s="197">
        <f>J115+L115</f>
        <v>44.5</v>
      </c>
      <c r="J115" s="549"/>
      <c r="K115" s="549"/>
      <c r="L115" s="550">
        <v>44.5</v>
      </c>
      <c r="M115" s="197">
        <f>N115+P115</f>
        <v>0</v>
      </c>
      <c r="N115" s="549"/>
      <c r="O115" s="549"/>
      <c r="P115" s="550"/>
      <c r="Q115" s="419">
        <f>R115+T115</f>
        <v>0</v>
      </c>
      <c r="R115" s="692"/>
      <c r="S115" s="692"/>
      <c r="T115" s="706"/>
      <c r="U115" s="600"/>
      <c r="V115" s="601"/>
    </row>
    <row r="116" spans="1:22" ht="15" customHeight="1" thickBot="1">
      <c r="A116" s="1225"/>
      <c r="B116" s="1100"/>
      <c r="C116" s="1228"/>
      <c r="D116" s="1231"/>
      <c r="E116" s="1239"/>
      <c r="F116" s="1234"/>
      <c r="G116" s="1130"/>
      <c r="H116" s="727" t="s">
        <v>20</v>
      </c>
      <c r="I116" s="711">
        <f aca="true" t="shared" si="29" ref="I116:V116">SUM(I113:I115)</f>
        <v>5879.4</v>
      </c>
      <c r="J116" s="712">
        <f t="shared" si="29"/>
        <v>0</v>
      </c>
      <c r="K116" s="712">
        <f t="shared" si="29"/>
        <v>0</v>
      </c>
      <c r="L116" s="713">
        <f t="shared" si="29"/>
        <v>5879.4</v>
      </c>
      <c r="M116" s="711">
        <f t="shared" si="29"/>
        <v>10023</v>
      </c>
      <c r="N116" s="712">
        <f t="shared" si="29"/>
        <v>0</v>
      </c>
      <c r="O116" s="712">
        <f t="shared" si="29"/>
        <v>0</v>
      </c>
      <c r="P116" s="713">
        <f t="shared" si="29"/>
        <v>10023</v>
      </c>
      <c r="Q116" s="711">
        <f t="shared" si="29"/>
        <v>10023</v>
      </c>
      <c r="R116" s="712">
        <f t="shared" si="29"/>
        <v>0</v>
      </c>
      <c r="S116" s="712">
        <f t="shared" si="29"/>
        <v>0</v>
      </c>
      <c r="T116" s="713">
        <f t="shared" si="29"/>
        <v>10023</v>
      </c>
      <c r="U116" s="728">
        <f t="shared" si="29"/>
        <v>0</v>
      </c>
      <c r="V116" s="729">
        <f t="shared" si="29"/>
        <v>0</v>
      </c>
    </row>
    <row r="117" spans="1:22" ht="15" customHeight="1">
      <c r="A117" s="1140" t="s">
        <v>8</v>
      </c>
      <c r="B117" s="1155" t="s">
        <v>9</v>
      </c>
      <c r="C117" s="1157" t="s">
        <v>9</v>
      </c>
      <c r="D117" s="1207" t="s">
        <v>264</v>
      </c>
      <c r="E117" s="540" t="s">
        <v>22</v>
      </c>
      <c r="F117" s="1210" t="s">
        <v>12</v>
      </c>
      <c r="G117" s="1213" t="s">
        <v>145</v>
      </c>
      <c r="H117" s="541" t="s">
        <v>11</v>
      </c>
      <c r="I117" s="175">
        <f>J117+L117</f>
        <v>0</v>
      </c>
      <c r="J117" s="198"/>
      <c r="K117" s="198"/>
      <c r="L117" s="202"/>
      <c r="M117" s="175">
        <f>N117+P117</f>
        <v>0</v>
      </c>
      <c r="N117" s="203"/>
      <c r="O117" s="203"/>
      <c r="P117" s="204"/>
      <c r="Q117" s="395">
        <f>R117+T117</f>
        <v>0</v>
      </c>
      <c r="R117" s="411"/>
      <c r="S117" s="411"/>
      <c r="T117" s="412"/>
      <c r="U117" s="205"/>
      <c r="V117" s="205"/>
    </row>
    <row r="118" spans="1:22" ht="15" customHeight="1">
      <c r="A118" s="1096"/>
      <c r="B118" s="1099"/>
      <c r="C118" s="1102"/>
      <c r="D118" s="1208"/>
      <c r="E118" s="1216" t="s">
        <v>140</v>
      </c>
      <c r="F118" s="1211"/>
      <c r="G118" s="1214"/>
      <c r="H118" s="541" t="s">
        <v>53</v>
      </c>
      <c r="I118" s="180">
        <f>J118+L118</f>
        <v>0</v>
      </c>
      <c r="J118" s="206"/>
      <c r="K118" s="206"/>
      <c r="L118" s="207"/>
      <c r="M118" s="180">
        <f>N118+P118</f>
        <v>3000</v>
      </c>
      <c r="N118" s="203"/>
      <c r="O118" s="203"/>
      <c r="P118" s="204">
        <v>3000</v>
      </c>
      <c r="Q118" s="684">
        <f>R118+T118</f>
        <v>1300</v>
      </c>
      <c r="R118" s="413"/>
      <c r="S118" s="413"/>
      <c r="T118" s="690">
        <f>3000-1700</f>
        <v>1300</v>
      </c>
      <c r="U118" s="546">
        <v>6001.4</v>
      </c>
      <c r="V118" s="208"/>
    </row>
    <row r="119" spans="1:22" ht="15" customHeight="1" thickBot="1">
      <c r="A119" s="1141"/>
      <c r="B119" s="1156"/>
      <c r="C119" s="1158"/>
      <c r="D119" s="1209"/>
      <c r="E119" s="1217"/>
      <c r="F119" s="1212"/>
      <c r="G119" s="1215"/>
      <c r="H119" s="707" t="s">
        <v>20</v>
      </c>
      <c r="I119" s="388">
        <f aca="true" t="shared" si="30" ref="I119:V119">SUM(I117:I118)</f>
        <v>0</v>
      </c>
      <c r="J119" s="389">
        <f t="shared" si="30"/>
        <v>0</v>
      </c>
      <c r="K119" s="390">
        <f t="shared" si="30"/>
        <v>0</v>
      </c>
      <c r="L119" s="391">
        <f t="shared" si="30"/>
        <v>0</v>
      </c>
      <c r="M119" s="388">
        <f t="shared" si="30"/>
        <v>3000</v>
      </c>
      <c r="N119" s="389">
        <f t="shared" si="30"/>
        <v>0</v>
      </c>
      <c r="O119" s="390">
        <f t="shared" si="30"/>
        <v>0</v>
      </c>
      <c r="P119" s="391">
        <f t="shared" si="30"/>
        <v>3000</v>
      </c>
      <c r="Q119" s="388">
        <f t="shared" si="30"/>
        <v>1300</v>
      </c>
      <c r="R119" s="389">
        <f t="shared" si="30"/>
        <v>0</v>
      </c>
      <c r="S119" s="390">
        <f t="shared" si="30"/>
        <v>0</v>
      </c>
      <c r="T119" s="391">
        <f t="shared" si="30"/>
        <v>1300</v>
      </c>
      <c r="U119" s="393">
        <f t="shared" si="30"/>
        <v>6001.4</v>
      </c>
      <c r="V119" s="393">
        <f t="shared" si="30"/>
        <v>0</v>
      </c>
    </row>
    <row r="120" spans="1:22" ht="15" customHeight="1" thickBot="1">
      <c r="A120" s="590" t="s">
        <v>8</v>
      </c>
      <c r="B120" s="534" t="s">
        <v>9</v>
      </c>
      <c r="C120" s="1085" t="s">
        <v>19</v>
      </c>
      <c r="D120" s="1086"/>
      <c r="E120" s="1086"/>
      <c r="F120" s="1086"/>
      <c r="G120" s="1086"/>
      <c r="H120" s="1087"/>
      <c r="I120" s="602">
        <f>SUM(I116)</f>
        <v>5879.4</v>
      </c>
      <c r="J120" s="602">
        <f>SUM(J116)</f>
        <v>0</v>
      </c>
      <c r="K120" s="602">
        <f>SUM(K116)</f>
        <v>0</v>
      </c>
      <c r="L120" s="602">
        <f>SUM(L116)</f>
        <v>5879.4</v>
      </c>
      <c r="M120" s="602">
        <f>SUM(M116,M119)</f>
        <v>13023</v>
      </c>
      <c r="N120" s="602">
        <f aca="true" t="shared" si="31" ref="N120:V120">SUM(N116,N119)</f>
        <v>0</v>
      </c>
      <c r="O120" s="602">
        <f t="shared" si="31"/>
        <v>0</v>
      </c>
      <c r="P120" s="602">
        <f t="shared" si="31"/>
        <v>13023</v>
      </c>
      <c r="Q120" s="602">
        <f t="shared" si="31"/>
        <v>11323</v>
      </c>
      <c r="R120" s="602">
        <f t="shared" si="31"/>
        <v>0</v>
      </c>
      <c r="S120" s="602">
        <f t="shared" si="31"/>
        <v>0</v>
      </c>
      <c r="T120" s="602">
        <f t="shared" si="31"/>
        <v>11323</v>
      </c>
      <c r="U120" s="602">
        <f t="shared" si="31"/>
        <v>6001.4</v>
      </c>
      <c r="V120" s="602">
        <f t="shared" si="31"/>
        <v>0</v>
      </c>
    </row>
    <row r="121" spans="1:22" ht="15" customHeight="1" thickBot="1">
      <c r="A121" s="533" t="s">
        <v>8</v>
      </c>
      <c r="B121" s="534" t="s">
        <v>10</v>
      </c>
      <c r="C121" s="1202" t="s">
        <v>180</v>
      </c>
      <c r="D121" s="1203"/>
      <c r="E121" s="1203"/>
      <c r="F121" s="1203"/>
      <c r="G121" s="1203"/>
      <c r="H121" s="1203"/>
      <c r="I121" s="1203"/>
      <c r="J121" s="1203"/>
      <c r="K121" s="1203"/>
      <c r="L121" s="1203"/>
      <c r="M121" s="1203"/>
      <c r="N121" s="1203"/>
      <c r="O121" s="1203"/>
      <c r="P121" s="1203"/>
      <c r="Q121" s="1203"/>
      <c r="R121" s="1203"/>
      <c r="S121" s="1203"/>
      <c r="T121" s="1203"/>
      <c r="U121" s="1203"/>
      <c r="V121" s="1204"/>
    </row>
    <row r="122" spans="1:22" ht="15" customHeight="1">
      <c r="A122" s="1095" t="s">
        <v>8</v>
      </c>
      <c r="B122" s="1098" t="s">
        <v>10</v>
      </c>
      <c r="C122" s="1157" t="s">
        <v>8</v>
      </c>
      <c r="D122" s="1162" t="s">
        <v>265</v>
      </c>
      <c r="E122" s="1107"/>
      <c r="F122" s="1205" t="s">
        <v>12</v>
      </c>
      <c r="G122" s="1082" t="s">
        <v>146</v>
      </c>
      <c r="H122" s="603" t="s">
        <v>11</v>
      </c>
      <c r="I122" s="175">
        <f>J122+L122</f>
        <v>198.8</v>
      </c>
      <c r="J122" s="172">
        <v>198.8</v>
      </c>
      <c r="K122" s="172"/>
      <c r="L122" s="173"/>
      <c r="M122" s="175">
        <f>N122+P122</f>
        <v>198.8</v>
      </c>
      <c r="N122" s="176">
        <v>198.8</v>
      </c>
      <c r="O122" s="176"/>
      <c r="P122" s="177"/>
      <c r="Q122" s="395">
        <f>R122+T122</f>
        <v>179</v>
      </c>
      <c r="R122" s="733">
        <v>179</v>
      </c>
      <c r="S122" s="396"/>
      <c r="T122" s="397"/>
      <c r="U122" s="178">
        <v>179</v>
      </c>
      <c r="V122" s="179">
        <v>179</v>
      </c>
    </row>
    <row r="123" spans="1:22" ht="15" customHeight="1">
      <c r="A123" s="1096"/>
      <c r="B123" s="1099"/>
      <c r="C123" s="1102"/>
      <c r="D123" s="1163"/>
      <c r="E123" s="1108"/>
      <c r="F123" s="1127"/>
      <c r="G123" s="1083"/>
      <c r="H123" s="604"/>
      <c r="I123" s="180">
        <f>J123+L123</f>
        <v>0</v>
      </c>
      <c r="J123" s="181"/>
      <c r="K123" s="181"/>
      <c r="L123" s="182"/>
      <c r="M123" s="180">
        <f>N123+P123</f>
        <v>0</v>
      </c>
      <c r="N123" s="181"/>
      <c r="O123" s="181"/>
      <c r="P123" s="182"/>
      <c r="Q123" s="398">
        <f>R123+T123</f>
        <v>0</v>
      </c>
      <c r="R123" s="417"/>
      <c r="S123" s="417"/>
      <c r="T123" s="418"/>
      <c r="U123" s="605"/>
      <c r="V123" s="183"/>
    </row>
    <row r="124" spans="1:22" ht="15" customHeight="1" thickBot="1">
      <c r="A124" s="1097"/>
      <c r="B124" s="1100"/>
      <c r="C124" s="1158"/>
      <c r="D124" s="1164"/>
      <c r="E124" s="1109"/>
      <c r="F124" s="1206"/>
      <c r="G124" s="1084"/>
      <c r="H124" s="730" t="s">
        <v>20</v>
      </c>
      <c r="I124" s="388">
        <f aca="true" t="shared" si="32" ref="I124:V124">SUM(I122:I123)</f>
        <v>198.8</v>
      </c>
      <c r="J124" s="389">
        <f t="shared" si="32"/>
        <v>198.8</v>
      </c>
      <c r="K124" s="390">
        <f t="shared" si="32"/>
        <v>0</v>
      </c>
      <c r="L124" s="391">
        <f t="shared" si="32"/>
        <v>0</v>
      </c>
      <c r="M124" s="388">
        <f t="shared" si="32"/>
        <v>198.8</v>
      </c>
      <c r="N124" s="389">
        <f t="shared" si="32"/>
        <v>198.8</v>
      </c>
      <c r="O124" s="390">
        <f t="shared" si="32"/>
        <v>0</v>
      </c>
      <c r="P124" s="391">
        <f t="shared" si="32"/>
        <v>0</v>
      </c>
      <c r="Q124" s="388">
        <f t="shared" si="32"/>
        <v>179</v>
      </c>
      <c r="R124" s="389">
        <f t="shared" si="32"/>
        <v>179</v>
      </c>
      <c r="S124" s="390">
        <f t="shared" si="32"/>
        <v>0</v>
      </c>
      <c r="T124" s="391">
        <f t="shared" si="32"/>
        <v>0</v>
      </c>
      <c r="U124" s="392">
        <f t="shared" si="32"/>
        <v>179</v>
      </c>
      <c r="V124" s="393">
        <f t="shared" si="32"/>
        <v>179</v>
      </c>
    </row>
    <row r="125" spans="1:22" ht="15" customHeight="1">
      <c r="A125" s="1095" t="s">
        <v>8</v>
      </c>
      <c r="B125" s="1098" t="s">
        <v>10</v>
      </c>
      <c r="C125" s="1101" t="s">
        <v>8</v>
      </c>
      <c r="D125" s="1195" t="s">
        <v>266</v>
      </c>
      <c r="E125" s="1192"/>
      <c r="F125" s="697">
        <v>10</v>
      </c>
      <c r="G125" s="1082" t="s">
        <v>146</v>
      </c>
      <c r="H125" s="606" t="s">
        <v>11</v>
      </c>
      <c r="I125" s="194">
        <f>J125+L125</f>
        <v>15307.5</v>
      </c>
      <c r="J125" s="607">
        <v>15307.5</v>
      </c>
      <c r="K125" s="607"/>
      <c r="L125" s="608"/>
      <c r="M125" s="194">
        <f>N125+P125</f>
        <v>14584.7</v>
      </c>
      <c r="N125" s="607">
        <v>14584.7</v>
      </c>
      <c r="O125" s="607"/>
      <c r="P125" s="609"/>
      <c r="Q125" s="704">
        <f>R125+T125</f>
        <v>16265.9</v>
      </c>
      <c r="R125" s="734">
        <f>13770-17.5+2513.4</f>
        <v>16265.9</v>
      </c>
      <c r="S125" s="735"/>
      <c r="T125" s="736"/>
      <c r="U125" s="179">
        <v>15500</v>
      </c>
      <c r="V125" s="179">
        <v>15500</v>
      </c>
    </row>
    <row r="126" spans="1:22" ht="15" customHeight="1">
      <c r="A126" s="1096"/>
      <c r="B126" s="1099"/>
      <c r="C126" s="1102"/>
      <c r="D126" s="1196"/>
      <c r="E126" s="1193"/>
      <c r="F126" s="1127" t="s">
        <v>39</v>
      </c>
      <c r="G126" s="1083"/>
      <c r="H126" s="606" t="s">
        <v>11</v>
      </c>
      <c r="I126" s="195">
        <f>J126+L126</f>
        <v>50</v>
      </c>
      <c r="J126" s="610">
        <v>50</v>
      </c>
      <c r="K126" s="610"/>
      <c r="L126" s="611"/>
      <c r="M126" s="195">
        <f>N126+P126</f>
        <v>1969</v>
      </c>
      <c r="N126" s="610">
        <v>1969</v>
      </c>
      <c r="O126" s="610"/>
      <c r="P126" s="612"/>
      <c r="Q126" s="447">
        <f>R126+T126</f>
        <v>45</v>
      </c>
      <c r="R126" s="737">
        <v>45</v>
      </c>
      <c r="S126" s="738"/>
      <c r="T126" s="739"/>
      <c r="U126" s="196">
        <v>45</v>
      </c>
      <c r="V126" s="196">
        <v>45</v>
      </c>
    </row>
    <row r="127" spans="1:22" ht="15" customHeight="1">
      <c r="A127" s="1096"/>
      <c r="B127" s="1099"/>
      <c r="C127" s="1102"/>
      <c r="D127" s="1196"/>
      <c r="E127" s="1198"/>
      <c r="F127" s="1200"/>
      <c r="G127" s="1083"/>
      <c r="H127" s="613" t="s">
        <v>267</v>
      </c>
      <c r="I127" s="197">
        <f>J127+L127</f>
        <v>0</v>
      </c>
      <c r="J127" s="614"/>
      <c r="K127" s="614"/>
      <c r="L127" s="615"/>
      <c r="M127" s="197">
        <f>N127+P127</f>
        <v>0</v>
      </c>
      <c r="N127" s="614"/>
      <c r="O127" s="614"/>
      <c r="P127" s="616"/>
      <c r="Q127" s="398">
        <f>R127+T127</f>
        <v>0</v>
      </c>
      <c r="R127" s="740"/>
      <c r="S127" s="740"/>
      <c r="T127" s="741"/>
      <c r="U127" s="617"/>
      <c r="V127" s="617"/>
    </row>
    <row r="128" spans="1:22" ht="15" customHeight="1" thickBot="1">
      <c r="A128" s="1097"/>
      <c r="B128" s="1100"/>
      <c r="C128" s="1103"/>
      <c r="D128" s="1197"/>
      <c r="E128" s="1199"/>
      <c r="F128" s="1201"/>
      <c r="G128" s="1084"/>
      <c r="H128" s="731" t="s">
        <v>20</v>
      </c>
      <c r="I128" s="711">
        <f aca="true" t="shared" si="33" ref="I128:V128">SUM(I125:I127)</f>
        <v>15357.5</v>
      </c>
      <c r="J128" s="712">
        <f t="shared" si="33"/>
        <v>15357.5</v>
      </c>
      <c r="K128" s="712">
        <f t="shared" si="33"/>
        <v>0</v>
      </c>
      <c r="L128" s="713">
        <f t="shared" si="33"/>
        <v>0</v>
      </c>
      <c r="M128" s="711">
        <f t="shared" si="33"/>
        <v>16553.7</v>
      </c>
      <c r="N128" s="712">
        <f t="shared" si="33"/>
        <v>16553.7</v>
      </c>
      <c r="O128" s="712">
        <f t="shared" si="33"/>
        <v>0</v>
      </c>
      <c r="P128" s="713">
        <f t="shared" si="33"/>
        <v>0</v>
      </c>
      <c r="Q128" s="711">
        <f t="shared" si="33"/>
        <v>16310.9</v>
      </c>
      <c r="R128" s="712">
        <f t="shared" si="33"/>
        <v>16310.9</v>
      </c>
      <c r="S128" s="712">
        <f t="shared" si="33"/>
        <v>0</v>
      </c>
      <c r="T128" s="713">
        <f t="shared" si="33"/>
        <v>0</v>
      </c>
      <c r="U128" s="714">
        <f t="shared" si="33"/>
        <v>15545</v>
      </c>
      <c r="V128" s="714">
        <f t="shared" si="33"/>
        <v>15545</v>
      </c>
    </row>
    <row r="129" spans="1:22" ht="15" customHeight="1">
      <c r="A129" s="28" t="s">
        <v>8</v>
      </c>
      <c r="B129" s="23" t="s">
        <v>10</v>
      </c>
      <c r="C129" s="1157" t="s">
        <v>8</v>
      </c>
      <c r="D129" s="1190" t="s">
        <v>268</v>
      </c>
      <c r="E129" s="1133" t="s">
        <v>269</v>
      </c>
      <c r="F129" s="1110" t="s">
        <v>12</v>
      </c>
      <c r="G129" s="1082" t="s">
        <v>146</v>
      </c>
      <c r="H129" s="618" t="s">
        <v>11</v>
      </c>
      <c r="I129" s="175">
        <f>J129+L129</f>
        <v>66.9</v>
      </c>
      <c r="J129" s="172">
        <v>66.9</v>
      </c>
      <c r="K129" s="172"/>
      <c r="L129" s="173"/>
      <c r="M129" s="175">
        <f>N129+P129</f>
        <v>210</v>
      </c>
      <c r="N129" s="172">
        <v>210</v>
      </c>
      <c r="O129" s="198"/>
      <c r="P129" s="173"/>
      <c r="Q129" s="395">
        <f>R129+T129</f>
        <v>45.2</v>
      </c>
      <c r="R129" s="733">
        <v>45.2</v>
      </c>
      <c r="S129" s="396"/>
      <c r="T129" s="397"/>
      <c r="U129" s="619">
        <v>45.2</v>
      </c>
      <c r="V129" s="199">
        <v>45.2</v>
      </c>
    </row>
    <row r="130" spans="1:22" ht="15" customHeight="1">
      <c r="A130" s="28"/>
      <c r="B130" s="23"/>
      <c r="C130" s="1102"/>
      <c r="D130" s="1139"/>
      <c r="E130" s="1134"/>
      <c r="F130" s="1111"/>
      <c r="G130" s="1083"/>
      <c r="H130" s="621"/>
      <c r="I130" s="180">
        <f>J130+L130</f>
        <v>0</v>
      </c>
      <c r="J130" s="181"/>
      <c r="K130" s="181"/>
      <c r="L130" s="182"/>
      <c r="M130" s="180">
        <f>N130+P130</f>
        <v>0</v>
      </c>
      <c r="N130" s="181"/>
      <c r="O130" s="200"/>
      <c r="P130" s="182"/>
      <c r="Q130" s="398">
        <f>R130+T130</f>
        <v>0</v>
      </c>
      <c r="R130" s="417"/>
      <c r="S130" s="417"/>
      <c r="T130" s="418"/>
      <c r="U130" s="622"/>
      <c r="V130" s="201"/>
    </row>
    <row r="131" spans="1:22" ht="15" customHeight="1" thickBot="1">
      <c r="A131" s="543"/>
      <c r="B131" s="544"/>
      <c r="C131" s="1158"/>
      <c r="D131" s="1191"/>
      <c r="E131" s="1135"/>
      <c r="F131" s="1112"/>
      <c r="G131" s="1084"/>
      <c r="H131" s="730" t="s">
        <v>20</v>
      </c>
      <c r="I131" s="388">
        <f aca="true" t="shared" si="34" ref="I131:V131">SUM(I129:I130)</f>
        <v>66.9</v>
      </c>
      <c r="J131" s="389">
        <f t="shared" si="34"/>
        <v>66.9</v>
      </c>
      <c r="K131" s="390">
        <f t="shared" si="34"/>
        <v>0</v>
      </c>
      <c r="L131" s="391">
        <f t="shared" si="34"/>
        <v>0</v>
      </c>
      <c r="M131" s="388">
        <f t="shared" si="34"/>
        <v>210</v>
      </c>
      <c r="N131" s="389">
        <f t="shared" si="34"/>
        <v>210</v>
      </c>
      <c r="O131" s="390">
        <f t="shared" si="34"/>
        <v>0</v>
      </c>
      <c r="P131" s="391">
        <f t="shared" si="34"/>
        <v>0</v>
      </c>
      <c r="Q131" s="388">
        <f t="shared" si="34"/>
        <v>45.2</v>
      </c>
      <c r="R131" s="389">
        <f t="shared" si="34"/>
        <v>45.2</v>
      </c>
      <c r="S131" s="390">
        <f t="shared" si="34"/>
        <v>0</v>
      </c>
      <c r="T131" s="391">
        <f t="shared" si="34"/>
        <v>0</v>
      </c>
      <c r="U131" s="392">
        <f t="shared" si="34"/>
        <v>45.2</v>
      </c>
      <c r="V131" s="393">
        <f t="shared" si="34"/>
        <v>45.2</v>
      </c>
    </row>
    <row r="132" spans="1:22" ht="15" customHeight="1">
      <c r="A132" s="1095" t="s">
        <v>8</v>
      </c>
      <c r="B132" s="1098" t="s">
        <v>10</v>
      </c>
      <c r="C132" s="1157" t="s">
        <v>8</v>
      </c>
      <c r="D132" s="1116" t="s">
        <v>270</v>
      </c>
      <c r="E132" s="1192"/>
      <c r="F132" s="1187" t="s">
        <v>12</v>
      </c>
      <c r="G132" s="1082" t="s">
        <v>146</v>
      </c>
      <c r="H132" s="623" t="s">
        <v>11</v>
      </c>
      <c r="I132" s="175">
        <f>J132+L132</f>
        <v>137.1</v>
      </c>
      <c r="J132" s="172">
        <v>137.1</v>
      </c>
      <c r="K132" s="198"/>
      <c r="L132" s="202"/>
      <c r="M132" s="175">
        <f>N132+P132</f>
        <v>5736.5</v>
      </c>
      <c r="N132" s="203">
        <v>5736.5</v>
      </c>
      <c r="O132" s="203"/>
      <c r="P132" s="204"/>
      <c r="Q132" s="395">
        <f>R132+T132</f>
        <v>871.6</v>
      </c>
      <c r="R132" s="742">
        <v>871.6</v>
      </c>
      <c r="S132" s="411"/>
      <c r="T132" s="412"/>
      <c r="U132" s="205">
        <v>303</v>
      </c>
      <c r="V132" s="205">
        <v>303</v>
      </c>
    </row>
    <row r="133" spans="1:22" ht="15" customHeight="1">
      <c r="A133" s="1096"/>
      <c r="B133" s="1099"/>
      <c r="C133" s="1102"/>
      <c r="D133" s="1139"/>
      <c r="E133" s="1193"/>
      <c r="F133" s="1188"/>
      <c r="G133" s="1083"/>
      <c r="H133" s="604"/>
      <c r="I133" s="180">
        <f>J133+L133</f>
        <v>0</v>
      </c>
      <c r="J133" s="206"/>
      <c r="K133" s="206"/>
      <c r="L133" s="207"/>
      <c r="M133" s="180">
        <f>N133+P133</f>
        <v>0</v>
      </c>
      <c r="N133" s="203"/>
      <c r="O133" s="203"/>
      <c r="P133" s="204"/>
      <c r="Q133" s="398">
        <f>R133+T133</f>
        <v>0</v>
      </c>
      <c r="R133" s="413"/>
      <c r="S133" s="413"/>
      <c r="T133" s="414"/>
      <c r="U133" s="546"/>
      <c r="V133" s="208"/>
    </row>
    <row r="134" spans="1:22" ht="15" customHeight="1" thickBot="1">
      <c r="A134" s="1097"/>
      <c r="B134" s="1100"/>
      <c r="C134" s="1158"/>
      <c r="D134" s="1118"/>
      <c r="E134" s="1194"/>
      <c r="F134" s="1189"/>
      <c r="G134" s="1084"/>
      <c r="H134" s="731" t="s">
        <v>20</v>
      </c>
      <c r="I134" s="388">
        <f aca="true" t="shared" si="35" ref="I134:V134">SUM(I132:I133)</f>
        <v>137.1</v>
      </c>
      <c r="J134" s="389">
        <f t="shared" si="35"/>
        <v>137.1</v>
      </c>
      <c r="K134" s="390">
        <f t="shared" si="35"/>
        <v>0</v>
      </c>
      <c r="L134" s="391">
        <f t="shared" si="35"/>
        <v>0</v>
      </c>
      <c r="M134" s="388">
        <f t="shared" si="35"/>
        <v>5736.5</v>
      </c>
      <c r="N134" s="389">
        <f t="shared" si="35"/>
        <v>5736.5</v>
      </c>
      <c r="O134" s="390">
        <f t="shared" si="35"/>
        <v>0</v>
      </c>
      <c r="P134" s="391">
        <f t="shared" si="35"/>
        <v>0</v>
      </c>
      <c r="Q134" s="388">
        <f t="shared" si="35"/>
        <v>871.6</v>
      </c>
      <c r="R134" s="389">
        <f t="shared" si="35"/>
        <v>871.6</v>
      </c>
      <c r="S134" s="390">
        <f t="shared" si="35"/>
        <v>0</v>
      </c>
      <c r="T134" s="391">
        <f t="shared" si="35"/>
        <v>0</v>
      </c>
      <c r="U134" s="393">
        <f t="shared" si="35"/>
        <v>303</v>
      </c>
      <c r="V134" s="393">
        <f t="shared" si="35"/>
        <v>303</v>
      </c>
    </row>
    <row r="135" spans="1:22" ht="15" customHeight="1">
      <c r="A135" s="1095" t="s">
        <v>8</v>
      </c>
      <c r="B135" s="1098" t="s">
        <v>10</v>
      </c>
      <c r="C135" s="1101" t="s">
        <v>8</v>
      </c>
      <c r="D135" s="1116" t="s">
        <v>184</v>
      </c>
      <c r="E135" s="1133" t="s">
        <v>157</v>
      </c>
      <c r="F135" s="1110" t="s">
        <v>12</v>
      </c>
      <c r="G135" s="1082" t="s">
        <v>146</v>
      </c>
      <c r="H135" s="618" t="s">
        <v>11</v>
      </c>
      <c r="I135" s="175">
        <f>J135+L135</f>
        <v>0</v>
      </c>
      <c r="J135" s="172"/>
      <c r="K135" s="209"/>
      <c r="L135" s="173"/>
      <c r="M135" s="175">
        <f>N135+P135</f>
        <v>70</v>
      </c>
      <c r="N135" s="172">
        <v>70</v>
      </c>
      <c r="O135" s="172"/>
      <c r="P135" s="173"/>
      <c r="Q135" s="395">
        <f>R135+T135</f>
        <v>15</v>
      </c>
      <c r="R135" s="396">
        <v>15</v>
      </c>
      <c r="S135" s="402"/>
      <c r="T135" s="397"/>
      <c r="U135" s="178"/>
      <c r="V135" s="199"/>
    </row>
    <row r="136" spans="1:22" ht="15" customHeight="1">
      <c r="A136" s="1096"/>
      <c r="B136" s="1099"/>
      <c r="C136" s="1102"/>
      <c r="D136" s="1139"/>
      <c r="E136" s="1134"/>
      <c r="F136" s="1111"/>
      <c r="G136" s="1083"/>
      <c r="H136" s="621"/>
      <c r="I136" s="180">
        <f>J136+L136</f>
        <v>0</v>
      </c>
      <c r="J136" s="181"/>
      <c r="K136" s="210"/>
      <c r="L136" s="182"/>
      <c r="M136" s="180">
        <f>N136+P136</f>
        <v>0</v>
      </c>
      <c r="N136" s="181"/>
      <c r="O136" s="181"/>
      <c r="P136" s="182"/>
      <c r="Q136" s="398">
        <f>R136+T136</f>
        <v>0</v>
      </c>
      <c r="R136" s="417"/>
      <c r="S136" s="716"/>
      <c r="T136" s="418"/>
      <c r="U136" s="605"/>
      <c r="V136" s="201"/>
    </row>
    <row r="137" spans="1:22" ht="15" customHeight="1" thickBot="1">
      <c r="A137" s="1097"/>
      <c r="B137" s="1100"/>
      <c r="C137" s="1103"/>
      <c r="D137" s="1118"/>
      <c r="E137" s="1135"/>
      <c r="F137" s="1112"/>
      <c r="G137" s="1084"/>
      <c r="H137" s="730" t="s">
        <v>20</v>
      </c>
      <c r="I137" s="388">
        <f aca="true" t="shared" si="36" ref="I137:V137">SUM(I135:I136)</f>
        <v>0</v>
      </c>
      <c r="J137" s="389">
        <f t="shared" si="36"/>
        <v>0</v>
      </c>
      <c r="K137" s="390">
        <f t="shared" si="36"/>
        <v>0</v>
      </c>
      <c r="L137" s="391">
        <f t="shared" si="36"/>
        <v>0</v>
      </c>
      <c r="M137" s="388">
        <f t="shared" si="36"/>
        <v>70</v>
      </c>
      <c r="N137" s="389">
        <f t="shared" si="36"/>
        <v>70</v>
      </c>
      <c r="O137" s="390">
        <f t="shared" si="36"/>
        <v>0</v>
      </c>
      <c r="P137" s="391">
        <f t="shared" si="36"/>
        <v>0</v>
      </c>
      <c r="Q137" s="388">
        <f t="shared" si="36"/>
        <v>15</v>
      </c>
      <c r="R137" s="389">
        <f t="shared" si="36"/>
        <v>15</v>
      </c>
      <c r="S137" s="390">
        <f t="shared" si="36"/>
        <v>0</v>
      </c>
      <c r="T137" s="391">
        <f t="shared" si="36"/>
        <v>0</v>
      </c>
      <c r="U137" s="392">
        <f t="shared" si="36"/>
        <v>0</v>
      </c>
      <c r="V137" s="393">
        <f t="shared" si="36"/>
        <v>0</v>
      </c>
    </row>
    <row r="138" spans="1:22" ht="15" customHeight="1" thickBot="1">
      <c r="A138" s="1175" t="s">
        <v>174</v>
      </c>
      <c r="B138" s="1176"/>
      <c r="C138" s="1176"/>
      <c r="D138" s="1176"/>
      <c r="E138" s="1176"/>
      <c r="F138" s="1176"/>
      <c r="G138" s="1176"/>
      <c r="H138" s="1177"/>
      <c r="I138" s="554"/>
      <c r="J138" s="563"/>
      <c r="K138" s="555"/>
      <c r="L138" s="556"/>
      <c r="M138" s="554">
        <f>SUM(M137,M134,M131,M128,M124)</f>
        <v>22769</v>
      </c>
      <c r="N138" s="554">
        <f aca="true" t="shared" si="37" ref="N138:V138">SUM(N137,N134,N131,N128,N124)</f>
        <v>22769</v>
      </c>
      <c r="O138" s="554">
        <f t="shared" si="37"/>
        <v>0</v>
      </c>
      <c r="P138" s="554">
        <f t="shared" si="37"/>
        <v>0</v>
      </c>
      <c r="Q138" s="554">
        <f t="shared" si="37"/>
        <v>17421.7</v>
      </c>
      <c r="R138" s="554">
        <f t="shared" si="37"/>
        <v>17421.7</v>
      </c>
      <c r="S138" s="554">
        <f t="shared" si="37"/>
        <v>0</v>
      </c>
      <c r="T138" s="554">
        <f t="shared" si="37"/>
        <v>0</v>
      </c>
      <c r="U138" s="554">
        <f t="shared" si="37"/>
        <v>16072.2</v>
      </c>
      <c r="V138" s="554">
        <f t="shared" si="37"/>
        <v>16072.2</v>
      </c>
    </row>
    <row r="139" spans="1:22" ht="15" customHeight="1">
      <c r="A139" s="1140" t="s">
        <v>8</v>
      </c>
      <c r="B139" s="1098" t="s">
        <v>10</v>
      </c>
      <c r="C139" s="1178" t="s">
        <v>9</v>
      </c>
      <c r="D139" s="1181" t="s">
        <v>54</v>
      </c>
      <c r="E139" s="1184" t="s">
        <v>22</v>
      </c>
      <c r="F139" s="1152" t="s">
        <v>12</v>
      </c>
      <c r="G139" s="1136" t="s">
        <v>145</v>
      </c>
      <c r="H139" s="623" t="s">
        <v>11</v>
      </c>
      <c r="I139" s="194">
        <f>J139+L139</f>
        <v>0</v>
      </c>
      <c r="J139" s="172"/>
      <c r="K139" s="172"/>
      <c r="L139" s="173"/>
      <c r="M139" s="194">
        <f>N139+P139</f>
        <v>0</v>
      </c>
      <c r="N139" s="172"/>
      <c r="O139" s="172"/>
      <c r="P139" s="173"/>
      <c r="Q139" s="415">
        <f>R139+T139</f>
        <v>0</v>
      </c>
      <c r="R139" s="396"/>
      <c r="S139" s="396"/>
      <c r="T139" s="397"/>
      <c r="U139" s="179"/>
      <c r="V139" s="179"/>
    </row>
    <row r="140" spans="1:22" ht="15" customHeight="1">
      <c r="A140" s="1096"/>
      <c r="B140" s="1099"/>
      <c r="C140" s="1179"/>
      <c r="D140" s="1182"/>
      <c r="E140" s="1185"/>
      <c r="F140" s="1153"/>
      <c r="G140" s="1137"/>
      <c r="H140" s="624" t="s">
        <v>18</v>
      </c>
      <c r="I140" s="195">
        <f>J140+L140</f>
        <v>0</v>
      </c>
      <c r="J140" s="181"/>
      <c r="K140" s="181"/>
      <c r="L140" s="182"/>
      <c r="M140" s="195">
        <f>N140+P140</f>
        <v>7875</v>
      </c>
      <c r="N140" s="181"/>
      <c r="O140" s="181"/>
      <c r="P140" s="182">
        <v>7875</v>
      </c>
      <c r="Q140" s="416">
        <f>R140+T140</f>
        <v>7875</v>
      </c>
      <c r="R140" s="417"/>
      <c r="S140" s="417"/>
      <c r="T140" s="418">
        <v>7875</v>
      </c>
      <c r="U140" s="183"/>
      <c r="V140" s="183"/>
    </row>
    <row r="141" spans="1:22" ht="15" customHeight="1">
      <c r="A141" s="1096"/>
      <c r="B141" s="1099"/>
      <c r="C141" s="1179"/>
      <c r="D141" s="1182"/>
      <c r="E141" s="1185"/>
      <c r="F141" s="1153"/>
      <c r="G141" s="1137"/>
      <c r="H141" s="625" t="s">
        <v>30</v>
      </c>
      <c r="I141" s="197">
        <f>J141+L141</f>
        <v>0</v>
      </c>
      <c r="J141" s="206"/>
      <c r="K141" s="206"/>
      <c r="L141" s="207"/>
      <c r="M141" s="197">
        <f>N141+P141</f>
        <v>3289.7</v>
      </c>
      <c r="N141" s="206"/>
      <c r="O141" s="206"/>
      <c r="P141" s="207">
        <v>3289.7</v>
      </c>
      <c r="Q141" s="419">
        <f>R141+T141</f>
        <v>3289.7</v>
      </c>
      <c r="R141" s="413"/>
      <c r="S141" s="413"/>
      <c r="T141" s="414">
        <v>3289.7</v>
      </c>
      <c r="U141" s="196"/>
      <c r="V141" s="196"/>
    </row>
    <row r="142" spans="1:22" ht="15" customHeight="1" thickBot="1">
      <c r="A142" s="1141"/>
      <c r="B142" s="1100"/>
      <c r="C142" s="1180"/>
      <c r="D142" s="1183"/>
      <c r="E142" s="1186"/>
      <c r="F142" s="1154"/>
      <c r="G142" s="1138"/>
      <c r="H142" s="732" t="s">
        <v>20</v>
      </c>
      <c r="I142" s="711">
        <f aca="true" t="shared" si="38" ref="I142:V142">SUM(I139:I141)</f>
        <v>0</v>
      </c>
      <c r="J142" s="712">
        <f t="shared" si="38"/>
        <v>0</v>
      </c>
      <c r="K142" s="712">
        <f t="shared" si="38"/>
        <v>0</v>
      </c>
      <c r="L142" s="713">
        <f t="shared" si="38"/>
        <v>0</v>
      </c>
      <c r="M142" s="711">
        <f t="shared" si="38"/>
        <v>11164.7</v>
      </c>
      <c r="N142" s="712">
        <f t="shared" si="38"/>
        <v>0</v>
      </c>
      <c r="O142" s="712">
        <f t="shared" si="38"/>
        <v>0</v>
      </c>
      <c r="P142" s="713">
        <f t="shared" si="38"/>
        <v>11164.7</v>
      </c>
      <c r="Q142" s="711">
        <f t="shared" si="38"/>
        <v>11164.7</v>
      </c>
      <c r="R142" s="712">
        <f t="shared" si="38"/>
        <v>0</v>
      </c>
      <c r="S142" s="712">
        <f t="shared" si="38"/>
        <v>0</v>
      </c>
      <c r="T142" s="713">
        <f t="shared" si="38"/>
        <v>11164.7</v>
      </c>
      <c r="U142" s="714">
        <f t="shared" si="38"/>
        <v>0</v>
      </c>
      <c r="V142" s="714">
        <f t="shared" si="38"/>
        <v>0</v>
      </c>
    </row>
    <row r="143" spans="1:22" ht="15" customHeight="1" thickBot="1">
      <c r="A143" s="533" t="s">
        <v>8</v>
      </c>
      <c r="B143" s="534" t="s">
        <v>10</v>
      </c>
      <c r="C143" s="1085" t="s">
        <v>19</v>
      </c>
      <c r="D143" s="1086"/>
      <c r="E143" s="1086"/>
      <c r="F143" s="1086"/>
      <c r="G143" s="1086"/>
      <c r="H143" s="1086"/>
      <c r="I143" s="602">
        <f>SUM(I167,I163,I137,I134,I160,I142,I156,I153,I131,I128,I150,I124)</f>
        <v>17274.6</v>
      </c>
      <c r="J143" s="602">
        <f>SUM(J167,J163,J137,J134,J160,J142,J156,J153,J131,J128,J150,J124)</f>
        <v>17274.6</v>
      </c>
      <c r="K143" s="602">
        <f>SUM(K167,K163,K137,K134,K160,K142,K156,K153,K131,K128,K150,K124)</f>
        <v>0</v>
      </c>
      <c r="L143" s="602">
        <f>SUM(L167,L163,L137,L134,L160,L142,L156,L153,L131,L128,L150,L124)</f>
        <v>0</v>
      </c>
      <c r="M143" s="602">
        <f>SUM(M124,M128,M131,M134,M137,M142)</f>
        <v>33933.7</v>
      </c>
      <c r="N143" s="602">
        <f aca="true" t="shared" si="39" ref="N143:V143">SUM(N124,N128,N131,N134,N137,N142)</f>
        <v>22769</v>
      </c>
      <c r="O143" s="602">
        <f t="shared" si="39"/>
        <v>0</v>
      </c>
      <c r="P143" s="602">
        <f t="shared" si="39"/>
        <v>11164.7</v>
      </c>
      <c r="Q143" s="602">
        <f t="shared" si="39"/>
        <v>28586.4</v>
      </c>
      <c r="R143" s="602">
        <f t="shared" si="39"/>
        <v>17421.7</v>
      </c>
      <c r="S143" s="602">
        <f t="shared" si="39"/>
        <v>0</v>
      </c>
      <c r="T143" s="602">
        <f t="shared" si="39"/>
        <v>11164.7</v>
      </c>
      <c r="U143" s="602">
        <f t="shared" si="39"/>
        <v>16072.2</v>
      </c>
      <c r="V143" s="602">
        <f t="shared" si="39"/>
        <v>16072.2</v>
      </c>
    </row>
    <row r="144" spans="1:22" ht="15" customHeight="1" thickBot="1">
      <c r="A144" s="543" t="s">
        <v>8</v>
      </c>
      <c r="B144" s="544" t="s">
        <v>12</v>
      </c>
      <c r="C144" s="1168" t="s">
        <v>181</v>
      </c>
      <c r="D144" s="1169"/>
      <c r="E144" s="1169"/>
      <c r="F144" s="1169"/>
      <c r="G144" s="1169"/>
      <c r="H144" s="1169"/>
      <c r="I144" s="1169"/>
      <c r="J144" s="1169"/>
      <c r="K144" s="1169"/>
      <c r="L144" s="1170"/>
      <c r="M144" s="1170"/>
      <c r="N144" s="1170"/>
      <c r="O144" s="1170"/>
      <c r="P144" s="1170"/>
      <c r="Q144" s="1170"/>
      <c r="R144" s="626"/>
      <c r="S144" s="626"/>
      <c r="T144" s="626"/>
      <c r="U144" s="626"/>
      <c r="V144" s="627"/>
    </row>
    <row r="145" spans="1:22" ht="15" customHeight="1">
      <c r="A145" s="1095" t="s">
        <v>8</v>
      </c>
      <c r="B145" s="1098" t="s">
        <v>12</v>
      </c>
      <c r="C145" s="1101" t="s">
        <v>8</v>
      </c>
      <c r="D145" s="1104" t="s">
        <v>271</v>
      </c>
      <c r="E145" s="1107" t="s">
        <v>272</v>
      </c>
      <c r="F145" s="1110" t="s">
        <v>12</v>
      </c>
      <c r="G145" s="1082" t="s">
        <v>146</v>
      </c>
      <c r="H145" s="628" t="s">
        <v>53</v>
      </c>
      <c r="I145" s="194">
        <f>J145+L145</f>
        <v>651.5</v>
      </c>
      <c r="J145" s="172">
        <v>651.5</v>
      </c>
      <c r="K145" s="172"/>
      <c r="L145" s="173"/>
      <c r="M145" s="194">
        <f>N145+P145</f>
        <v>1100</v>
      </c>
      <c r="N145" s="189">
        <v>1100</v>
      </c>
      <c r="O145" s="172"/>
      <c r="P145" s="173"/>
      <c r="Q145" s="746">
        <f>R145+T145</f>
        <v>671.2</v>
      </c>
      <c r="R145" s="702">
        <f>528.4+142.8</f>
        <v>671.2</v>
      </c>
      <c r="S145" s="396"/>
      <c r="T145" s="397"/>
      <c r="U145" s="178">
        <v>601.5</v>
      </c>
      <c r="V145" s="199">
        <v>601.5</v>
      </c>
    </row>
    <row r="146" spans="1:22" ht="15" customHeight="1">
      <c r="A146" s="1171"/>
      <c r="B146" s="1172"/>
      <c r="C146" s="1173"/>
      <c r="D146" s="1174"/>
      <c r="E146" s="1108"/>
      <c r="F146" s="1111"/>
      <c r="G146" s="1083"/>
      <c r="H146" s="629" t="s">
        <v>11</v>
      </c>
      <c r="I146" s="197">
        <f>J146+L146</f>
        <v>0</v>
      </c>
      <c r="J146" s="181"/>
      <c r="K146" s="210"/>
      <c r="L146" s="182"/>
      <c r="M146" s="197">
        <f>N146+P146</f>
        <v>917.7</v>
      </c>
      <c r="N146" s="181">
        <f>324.4+253.3</f>
        <v>577.7</v>
      </c>
      <c r="O146" s="181"/>
      <c r="P146" s="182">
        <v>340</v>
      </c>
      <c r="Q146" s="751">
        <f>R146+T146</f>
        <v>46.19999999999999</v>
      </c>
      <c r="R146" s="752">
        <f>191.2-145</f>
        <v>46.19999999999999</v>
      </c>
      <c r="S146" s="716"/>
      <c r="T146" s="418"/>
      <c r="U146" s="605">
        <v>191.2</v>
      </c>
      <c r="V146" s="201">
        <v>191.2</v>
      </c>
    </row>
    <row r="147" spans="1:22" ht="15" customHeight="1" thickBot="1">
      <c r="A147" s="1097"/>
      <c r="B147" s="1100"/>
      <c r="C147" s="1173"/>
      <c r="D147" s="1174"/>
      <c r="E147" s="1109"/>
      <c r="F147" s="1112"/>
      <c r="G147" s="1084"/>
      <c r="H147" s="743" t="s">
        <v>20</v>
      </c>
      <c r="I147" s="711">
        <f aca="true" t="shared" si="40" ref="I147:V147">SUM(I145:I146)</f>
        <v>651.5</v>
      </c>
      <c r="J147" s="712">
        <f t="shared" si="40"/>
        <v>651.5</v>
      </c>
      <c r="K147" s="712">
        <f t="shared" si="40"/>
        <v>0</v>
      </c>
      <c r="L147" s="713">
        <f t="shared" si="40"/>
        <v>0</v>
      </c>
      <c r="M147" s="711">
        <f t="shared" si="40"/>
        <v>2017.7</v>
      </c>
      <c r="N147" s="712">
        <f t="shared" si="40"/>
        <v>1677.7</v>
      </c>
      <c r="O147" s="712">
        <f t="shared" si="40"/>
        <v>0</v>
      </c>
      <c r="P147" s="713">
        <f t="shared" si="40"/>
        <v>340</v>
      </c>
      <c r="Q147" s="711">
        <f t="shared" si="40"/>
        <v>717.4000000000001</v>
      </c>
      <c r="R147" s="712">
        <f t="shared" si="40"/>
        <v>717.4000000000001</v>
      </c>
      <c r="S147" s="712">
        <f t="shared" si="40"/>
        <v>0</v>
      </c>
      <c r="T147" s="713">
        <f t="shared" si="40"/>
        <v>0</v>
      </c>
      <c r="U147" s="744">
        <f t="shared" si="40"/>
        <v>792.7</v>
      </c>
      <c r="V147" s="714">
        <f t="shared" si="40"/>
        <v>792.7</v>
      </c>
    </row>
    <row r="148" spans="1:22" ht="15" customHeight="1">
      <c r="A148" s="28" t="s">
        <v>8</v>
      </c>
      <c r="B148" s="23" t="s">
        <v>12</v>
      </c>
      <c r="C148" s="1157" t="s">
        <v>9</v>
      </c>
      <c r="D148" s="1162" t="s">
        <v>273</v>
      </c>
      <c r="E148" s="1133" t="s">
        <v>136</v>
      </c>
      <c r="F148" s="1110" t="s">
        <v>12</v>
      </c>
      <c r="G148" s="1082" t="s">
        <v>146</v>
      </c>
      <c r="H148" s="630" t="s">
        <v>11</v>
      </c>
      <c r="I148" s="184">
        <f>J148+L148</f>
        <v>1514.3</v>
      </c>
      <c r="J148" s="185">
        <v>1514.3</v>
      </c>
      <c r="K148" s="185"/>
      <c r="L148" s="186"/>
      <c r="M148" s="184">
        <f>N148+P148</f>
        <v>1374.3</v>
      </c>
      <c r="N148" s="185">
        <v>1374.3</v>
      </c>
      <c r="O148" s="185"/>
      <c r="P148" s="186"/>
      <c r="Q148" s="408">
        <f>R148+T148</f>
        <v>1374.3</v>
      </c>
      <c r="R148" s="748">
        <v>1374.3</v>
      </c>
      <c r="S148" s="409"/>
      <c r="T148" s="410"/>
      <c r="U148" s="631">
        <v>1374.3</v>
      </c>
      <c r="V148" s="187">
        <v>1374.3</v>
      </c>
    </row>
    <row r="149" spans="1:22" ht="15" customHeight="1">
      <c r="A149" s="28"/>
      <c r="B149" s="23"/>
      <c r="C149" s="1102"/>
      <c r="D149" s="1163"/>
      <c r="E149" s="1134"/>
      <c r="F149" s="1111"/>
      <c r="G149" s="1083"/>
      <c r="H149" s="632"/>
      <c r="I149" s="188"/>
      <c r="J149" s="189"/>
      <c r="K149" s="189"/>
      <c r="L149" s="190"/>
      <c r="M149" s="191"/>
      <c r="N149" s="189"/>
      <c r="O149" s="189"/>
      <c r="P149" s="190"/>
      <c r="Q149" s="401"/>
      <c r="R149" s="399"/>
      <c r="S149" s="399"/>
      <c r="T149" s="400"/>
      <c r="U149" s="192"/>
      <c r="V149" s="193"/>
    </row>
    <row r="150" spans="1:22" ht="15" customHeight="1" thickBot="1">
      <c r="A150" s="543"/>
      <c r="B150" s="544"/>
      <c r="C150" s="1158"/>
      <c r="D150" s="1164"/>
      <c r="E150" s="1135"/>
      <c r="F150" s="1112"/>
      <c r="G150" s="1084"/>
      <c r="H150" s="730" t="s">
        <v>20</v>
      </c>
      <c r="I150" s="406">
        <f aca="true" t="shared" si="41" ref="I150:V150">SUM(I148:I149)</f>
        <v>1514.3</v>
      </c>
      <c r="J150" s="390">
        <f t="shared" si="41"/>
        <v>1514.3</v>
      </c>
      <c r="K150" s="390">
        <f t="shared" si="41"/>
        <v>0</v>
      </c>
      <c r="L150" s="405">
        <f t="shared" si="41"/>
        <v>0</v>
      </c>
      <c r="M150" s="406">
        <f t="shared" si="41"/>
        <v>1374.3</v>
      </c>
      <c r="N150" s="390">
        <f t="shared" si="41"/>
        <v>1374.3</v>
      </c>
      <c r="O150" s="390">
        <f t="shared" si="41"/>
        <v>0</v>
      </c>
      <c r="P150" s="405">
        <f t="shared" si="41"/>
        <v>0</v>
      </c>
      <c r="Q150" s="406">
        <f t="shared" si="41"/>
        <v>1374.3</v>
      </c>
      <c r="R150" s="390">
        <f t="shared" si="41"/>
        <v>1374.3</v>
      </c>
      <c r="S150" s="390">
        <f t="shared" si="41"/>
        <v>0</v>
      </c>
      <c r="T150" s="405">
        <f t="shared" si="41"/>
        <v>0</v>
      </c>
      <c r="U150" s="388">
        <f t="shared" si="41"/>
        <v>1374.3</v>
      </c>
      <c r="V150" s="393">
        <f t="shared" si="41"/>
        <v>1374.3</v>
      </c>
    </row>
    <row r="151" spans="1:22" ht="15" customHeight="1">
      <c r="A151" s="1140" t="s">
        <v>8</v>
      </c>
      <c r="B151" s="1155" t="s">
        <v>12</v>
      </c>
      <c r="C151" s="1157" t="s">
        <v>10</v>
      </c>
      <c r="D151" s="1165" t="s">
        <v>189</v>
      </c>
      <c r="E151" s="633" t="s">
        <v>136</v>
      </c>
      <c r="F151" s="1110" t="s">
        <v>12</v>
      </c>
      <c r="G151" s="1082" t="s">
        <v>145</v>
      </c>
      <c r="H151" s="634"/>
      <c r="I151" s="175">
        <f>J151+L151</f>
        <v>0</v>
      </c>
      <c r="J151" s="198"/>
      <c r="K151" s="198"/>
      <c r="L151" s="202"/>
      <c r="M151" s="175">
        <f>N151+P151</f>
        <v>0</v>
      </c>
      <c r="N151" s="203"/>
      <c r="O151" s="203"/>
      <c r="P151" s="204"/>
      <c r="Q151" s="395">
        <f>R151+T151</f>
        <v>0</v>
      </c>
      <c r="R151" s="411"/>
      <c r="S151" s="411"/>
      <c r="T151" s="412"/>
      <c r="U151" s="205"/>
      <c r="V151" s="205"/>
    </row>
    <row r="152" spans="1:22" ht="15" customHeight="1">
      <c r="A152" s="1096"/>
      <c r="B152" s="1099"/>
      <c r="C152" s="1102"/>
      <c r="D152" s="1166"/>
      <c r="E152" s="620"/>
      <c r="F152" s="1111"/>
      <c r="G152" s="1083"/>
      <c r="H152" s="635" t="s">
        <v>30</v>
      </c>
      <c r="I152" s="180">
        <f>J152+L152</f>
        <v>0</v>
      </c>
      <c r="J152" s="206"/>
      <c r="K152" s="206"/>
      <c r="L152" s="207"/>
      <c r="M152" s="180">
        <f>N152+P152</f>
        <v>0</v>
      </c>
      <c r="N152" s="203"/>
      <c r="O152" s="203"/>
      <c r="P152" s="204"/>
      <c r="Q152" s="398">
        <f>R152+T152</f>
        <v>100</v>
      </c>
      <c r="R152" s="413"/>
      <c r="S152" s="413"/>
      <c r="T152" s="414">
        <v>100</v>
      </c>
      <c r="U152" s="546">
        <v>70</v>
      </c>
      <c r="V152" s="208"/>
    </row>
    <row r="153" spans="1:22" ht="15" customHeight="1" thickBot="1">
      <c r="A153" s="1141"/>
      <c r="B153" s="1156"/>
      <c r="C153" s="1158"/>
      <c r="D153" s="1167"/>
      <c r="E153" s="636" t="s">
        <v>22</v>
      </c>
      <c r="F153" s="1112"/>
      <c r="G153" s="1084"/>
      <c r="H153" s="745" t="s">
        <v>20</v>
      </c>
      <c r="I153" s="388">
        <f aca="true" t="shared" si="42" ref="I153:V153">SUM(I151:I152)</f>
        <v>0</v>
      </c>
      <c r="J153" s="389">
        <f t="shared" si="42"/>
        <v>0</v>
      </c>
      <c r="K153" s="390">
        <f t="shared" si="42"/>
        <v>0</v>
      </c>
      <c r="L153" s="391">
        <f t="shared" si="42"/>
        <v>0</v>
      </c>
      <c r="M153" s="388">
        <f t="shared" si="42"/>
        <v>0</v>
      </c>
      <c r="N153" s="389">
        <f t="shared" si="42"/>
        <v>0</v>
      </c>
      <c r="O153" s="390">
        <f t="shared" si="42"/>
        <v>0</v>
      </c>
      <c r="P153" s="391">
        <f t="shared" si="42"/>
        <v>0</v>
      </c>
      <c r="Q153" s="388">
        <f t="shared" si="42"/>
        <v>100</v>
      </c>
      <c r="R153" s="389">
        <f t="shared" si="42"/>
        <v>0</v>
      </c>
      <c r="S153" s="390">
        <f t="shared" si="42"/>
        <v>0</v>
      </c>
      <c r="T153" s="391">
        <f t="shared" si="42"/>
        <v>100</v>
      </c>
      <c r="U153" s="393">
        <f t="shared" si="42"/>
        <v>70</v>
      </c>
      <c r="V153" s="393">
        <f t="shared" si="42"/>
        <v>0</v>
      </c>
    </row>
    <row r="154" spans="1:22" ht="15" customHeight="1">
      <c r="A154" s="1140" t="s">
        <v>8</v>
      </c>
      <c r="B154" s="1155" t="s">
        <v>12</v>
      </c>
      <c r="C154" s="1157" t="s">
        <v>12</v>
      </c>
      <c r="D154" s="1159" t="s">
        <v>152</v>
      </c>
      <c r="E154" s="633" t="s">
        <v>136</v>
      </c>
      <c r="F154" s="1110" t="s">
        <v>12</v>
      </c>
      <c r="G154" s="1082" t="s">
        <v>145</v>
      </c>
      <c r="H154" s="634"/>
      <c r="I154" s="175">
        <f>J154+L154</f>
        <v>0</v>
      </c>
      <c r="J154" s="198"/>
      <c r="K154" s="198"/>
      <c r="L154" s="202"/>
      <c r="M154" s="175">
        <f>N154+P154</f>
        <v>0</v>
      </c>
      <c r="N154" s="203"/>
      <c r="O154" s="203"/>
      <c r="P154" s="204"/>
      <c r="Q154" s="395">
        <f>R154+T154</f>
        <v>0</v>
      </c>
      <c r="R154" s="411"/>
      <c r="S154" s="411"/>
      <c r="T154" s="412"/>
      <c r="U154" s="205"/>
      <c r="V154" s="205"/>
    </row>
    <row r="155" spans="1:22" ht="15" customHeight="1">
      <c r="A155" s="1096"/>
      <c r="B155" s="1099"/>
      <c r="C155" s="1102"/>
      <c r="D155" s="1160"/>
      <c r="E155" s="620"/>
      <c r="F155" s="1111"/>
      <c r="G155" s="1083"/>
      <c r="H155" s="635" t="s">
        <v>30</v>
      </c>
      <c r="I155" s="180">
        <f>J155+L155</f>
        <v>0</v>
      </c>
      <c r="J155" s="206"/>
      <c r="K155" s="206"/>
      <c r="L155" s="207"/>
      <c r="M155" s="180">
        <f>N155+P155</f>
        <v>100</v>
      </c>
      <c r="N155" s="203"/>
      <c r="O155" s="203"/>
      <c r="P155" s="204">
        <v>100</v>
      </c>
      <c r="Q155" s="398">
        <f>R155+T155</f>
        <v>0</v>
      </c>
      <c r="R155" s="413"/>
      <c r="S155" s="413"/>
      <c r="T155" s="414"/>
      <c r="U155" s="546"/>
      <c r="V155" s="208">
        <v>440</v>
      </c>
    </row>
    <row r="156" spans="1:22" ht="15" customHeight="1" thickBot="1">
      <c r="A156" s="1141"/>
      <c r="B156" s="1156"/>
      <c r="C156" s="1158"/>
      <c r="D156" s="1161"/>
      <c r="E156" s="636" t="s">
        <v>22</v>
      </c>
      <c r="F156" s="1112"/>
      <c r="G156" s="1084"/>
      <c r="H156" s="745" t="s">
        <v>20</v>
      </c>
      <c r="I156" s="388">
        <f aca="true" t="shared" si="43" ref="I156:V156">SUM(I154:I155)</f>
        <v>0</v>
      </c>
      <c r="J156" s="389">
        <f t="shared" si="43"/>
        <v>0</v>
      </c>
      <c r="K156" s="390">
        <f t="shared" si="43"/>
        <v>0</v>
      </c>
      <c r="L156" s="391">
        <f t="shared" si="43"/>
        <v>0</v>
      </c>
      <c r="M156" s="388">
        <f t="shared" si="43"/>
        <v>100</v>
      </c>
      <c r="N156" s="389">
        <f t="shared" si="43"/>
        <v>0</v>
      </c>
      <c r="O156" s="390">
        <f t="shared" si="43"/>
        <v>0</v>
      </c>
      <c r="P156" s="391">
        <f t="shared" si="43"/>
        <v>100</v>
      </c>
      <c r="Q156" s="388">
        <f t="shared" si="43"/>
        <v>0</v>
      </c>
      <c r="R156" s="389">
        <f t="shared" si="43"/>
        <v>0</v>
      </c>
      <c r="S156" s="390">
        <f t="shared" si="43"/>
        <v>0</v>
      </c>
      <c r="T156" s="391">
        <f t="shared" si="43"/>
        <v>0</v>
      </c>
      <c r="U156" s="393">
        <f t="shared" si="43"/>
        <v>0</v>
      </c>
      <c r="V156" s="393">
        <f t="shared" si="43"/>
        <v>440</v>
      </c>
    </row>
    <row r="157" spans="1:22" ht="15" customHeight="1">
      <c r="A157" s="1140" t="s">
        <v>8</v>
      </c>
      <c r="B157" s="1098" t="s">
        <v>12</v>
      </c>
      <c r="C157" s="1142" t="s">
        <v>38</v>
      </c>
      <c r="D157" s="1145" t="s">
        <v>274</v>
      </c>
      <c r="E157" s="1149" t="s">
        <v>135</v>
      </c>
      <c r="F157" s="1152" t="s">
        <v>12</v>
      </c>
      <c r="G157" s="1136" t="s">
        <v>145</v>
      </c>
      <c r="H157" s="623" t="s">
        <v>11</v>
      </c>
      <c r="I157" s="194">
        <f>J157+L157</f>
        <v>0</v>
      </c>
      <c r="J157" s="172"/>
      <c r="K157" s="172"/>
      <c r="L157" s="173"/>
      <c r="M157" s="194">
        <f>N157+P157</f>
        <v>7.3</v>
      </c>
      <c r="N157" s="172"/>
      <c r="O157" s="172"/>
      <c r="P157" s="173">
        <v>7.3</v>
      </c>
      <c r="Q157" s="415">
        <f>R157+T157</f>
        <v>3.8</v>
      </c>
      <c r="R157" s="733">
        <f>7.3-3.5</f>
        <v>3.8</v>
      </c>
      <c r="S157" s="396"/>
      <c r="T157" s="397"/>
      <c r="U157" s="179">
        <v>7.3</v>
      </c>
      <c r="V157" s="179"/>
    </row>
    <row r="158" spans="1:22" ht="15" customHeight="1">
      <c r="A158" s="1096"/>
      <c r="B158" s="1120"/>
      <c r="C158" s="1143"/>
      <c r="D158" s="1146"/>
      <c r="E158" s="1150"/>
      <c r="F158" s="1153"/>
      <c r="G158" s="1137"/>
      <c r="H158" s="625" t="s">
        <v>18</v>
      </c>
      <c r="I158" s="195">
        <f>J158+L158</f>
        <v>0</v>
      </c>
      <c r="J158" s="181"/>
      <c r="K158" s="181"/>
      <c r="L158" s="182"/>
      <c r="M158" s="195">
        <f>N158+P158</f>
        <v>250</v>
      </c>
      <c r="N158" s="181"/>
      <c r="O158" s="181"/>
      <c r="P158" s="182">
        <v>250</v>
      </c>
      <c r="Q158" s="416">
        <f>R158+T158</f>
        <v>250</v>
      </c>
      <c r="R158" s="417">
        <v>250</v>
      </c>
      <c r="S158" s="417"/>
      <c r="T158" s="418"/>
      <c r="U158" s="183">
        <v>250</v>
      </c>
      <c r="V158" s="183"/>
    </row>
    <row r="159" spans="1:22" ht="15" customHeight="1">
      <c r="A159" s="1096"/>
      <c r="B159" s="1114"/>
      <c r="C159" s="1143"/>
      <c r="D159" s="1147"/>
      <c r="E159" s="1150"/>
      <c r="F159" s="1153"/>
      <c r="G159" s="1137"/>
      <c r="H159" s="624" t="s">
        <v>30</v>
      </c>
      <c r="I159" s="197">
        <f>J159+L159</f>
        <v>0</v>
      </c>
      <c r="J159" s="206"/>
      <c r="K159" s="206"/>
      <c r="L159" s="207"/>
      <c r="M159" s="197">
        <f>N159+P159</f>
        <v>36.8</v>
      </c>
      <c r="N159" s="206"/>
      <c r="O159" s="206"/>
      <c r="P159" s="207">
        <v>36.8</v>
      </c>
      <c r="Q159" s="419">
        <f>R159+T159</f>
        <v>36.8</v>
      </c>
      <c r="R159" s="413">
        <v>36.8</v>
      </c>
      <c r="S159" s="413"/>
      <c r="T159" s="414"/>
      <c r="U159" s="196">
        <v>36.8</v>
      </c>
      <c r="V159" s="196"/>
    </row>
    <row r="160" spans="1:22" ht="15" customHeight="1" thickBot="1">
      <c r="A160" s="1141"/>
      <c r="B160" s="1100"/>
      <c r="C160" s="1144"/>
      <c r="D160" s="1148"/>
      <c r="E160" s="1151"/>
      <c r="F160" s="1154"/>
      <c r="G160" s="1138"/>
      <c r="H160" s="732" t="s">
        <v>20</v>
      </c>
      <c r="I160" s="711">
        <f aca="true" t="shared" si="44" ref="I160:V160">SUM(I157:I159)</f>
        <v>0</v>
      </c>
      <c r="J160" s="712">
        <f t="shared" si="44"/>
        <v>0</v>
      </c>
      <c r="K160" s="712">
        <f t="shared" si="44"/>
        <v>0</v>
      </c>
      <c r="L160" s="713">
        <f t="shared" si="44"/>
        <v>0</v>
      </c>
      <c r="M160" s="711">
        <f t="shared" si="44"/>
        <v>294.1</v>
      </c>
      <c r="N160" s="712">
        <f t="shared" si="44"/>
        <v>0</v>
      </c>
      <c r="O160" s="712">
        <f t="shared" si="44"/>
        <v>0</v>
      </c>
      <c r="P160" s="713">
        <f t="shared" si="44"/>
        <v>294.1</v>
      </c>
      <c r="Q160" s="711">
        <f t="shared" si="44"/>
        <v>290.6</v>
      </c>
      <c r="R160" s="712">
        <f t="shared" si="44"/>
        <v>290.6</v>
      </c>
      <c r="S160" s="712">
        <f t="shared" si="44"/>
        <v>0</v>
      </c>
      <c r="T160" s="713">
        <f t="shared" si="44"/>
        <v>0</v>
      </c>
      <c r="U160" s="714">
        <f t="shared" si="44"/>
        <v>294.1</v>
      </c>
      <c r="V160" s="714">
        <f t="shared" si="44"/>
        <v>0</v>
      </c>
    </row>
    <row r="161" spans="1:22" ht="15" customHeight="1">
      <c r="A161" s="1095" t="s">
        <v>8</v>
      </c>
      <c r="B161" s="1098" t="s">
        <v>12</v>
      </c>
      <c r="C161" s="1101" t="s">
        <v>38</v>
      </c>
      <c r="D161" s="1116" t="s">
        <v>176</v>
      </c>
      <c r="E161" s="1133"/>
      <c r="F161" s="1110" t="s">
        <v>12</v>
      </c>
      <c r="G161" s="1082" t="s">
        <v>146</v>
      </c>
      <c r="H161" s="618" t="s">
        <v>11</v>
      </c>
      <c r="I161" s="175">
        <f>J161+L161</f>
        <v>0</v>
      </c>
      <c r="J161" s="172"/>
      <c r="K161" s="209"/>
      <c r="L161" s="173"/>
      <c r="M161" s="175">
        <f>N161+P161</f>
        <v>15</v>
      </c>
      <c r="N161" s="172">
        <v>15</v>
      </c>
      <c r="O161" s="172"/>
      <c r="P161" s="173"/>
      <c r="Q161" s="395">
        <f>R161+T161</f>
        <v>0</v>
      </c>
      <c r="R161" s="396"/>
      <c r="S161" s="402"/>
      <c r="T161" s="397"/>
      <c r="U161" s="178"/>
      <c r="V161" s="199"/>
    </row>
    <row r="162" spans="1:22" ht="15" customHeight="1">
      <c r="A162" s="1096"/>
      <c r="B162" s="1099"/>
      <c r="C162" s="1102"/>
      <c r="D162" s="1139"/>
      <c r="E162" s="1134"/>
      <c r="F162" s="1111"/>
      <c r="G162" s="1083"/>
      <c r="H162" s="621"/>
      <c r="I162" s="180">
        <f>J162+L162</f>
        <v>0</v>
      </c>
      <c r="J162" s="181"/>
      <c r="K162" s="210"/>
      <c r="L162" s="182"/>
      <c r="M162" s="180">
        <f>N162+P162</f>
        <v>0</v>
      </c>
      <c r="N162" s="181"/>
      <c r="O162" s="181"/>
      <c r="P162" s="182"/>
      <c r="Q162" s="398">
        <f>R162+T162</f>
        <v>0</v>
      </c>
      <c r="R162" s="417"/>
      <c r="S162" s="716"/>
      <c r="T162" s="418"/>
      <c r="U162" s="605"/>
      <c r="V162" s="201"/>
    </row>
    <row r="163" spans="1:22" ht="15" customHeight="1" thickBot="1">
      <c r="A163" s="1097"/>
      <c r="B163" s="1100"/>
      <c r="C163" s="1103"/>
      <c r="D163" s="1118"/>
      <c r="E163" s="1135"/>
      <c r="F163" s="1112"/>
      <c r="G163" s="1084"/>
      <c r="H163" s="730" t="s">
        <v>20</v>
      </c>
      <c r="I163" s="388">
        <f aca="true" t="shared" si="45" ref="I163:V163">SUM(I161:I162)</f>
        <v>0</v>
      </c>
      <c r="J163" s="389">
        <f t="shared" si="45"/>
        <v>0</v>
      </c>
      <c r="K163" s="390">
        <f t="shared" si="45"/>
        <v>0</v>
      </c>
      <c r="L163" s="391">
        <f t="shared" si="45"/>
        <v>0</v>
      </c>
      <c r="M163" s="388">
        <f t="shared" si="45"/>
        <v>15</v>
      </c>
      <c r="N163" s="389">
        <f t="shared" si="45"/>
        <v>15</v>
      </c>
      <c r="O163" s="390">
        <f t="shared" si="45"/>
        <v>0</v>
      </c>
      <c r="P163" s="391">
        <f t="shared" si="45"/>
        <v>0</v>
      </c>
      <c r="Q163" s="388">
        <f t="shared" si="45"/>
        <v>0</v>
      </c>
      <c r="R163" s="389">
        <f t="shared" si="45"/>
        <v>0</v>
      </c>
      <c r="S163" s="390">
        <f t="shared" si="45"/>
        <v>0</v>
      </c>
      <c r="T163" s="391">
        <f t="shared" si="45"/>
        <v>0</v>
      </c>
      <c r="U163" s="392">
        <f t="shared" si="45"/>
        <v>0</v>
      </c>
      <c r="V163" s="393">
        <f t="shared" si="45"/>
        <v>0</v>
      </c>
    </row>
    <row r="164" spans="1:22" ht="15" customHeight="1">
      <c r="A164" s="1095" t="s">
        <v>8</v>
      </c>
      <c r="B164" s="1098" t="s">
        <v>12</v>
      </c>
      <c r="C164" s="1101" t="s">
        <v>13</v>
      </c>
      <c r="D164" s="1104" t="s">
        <v>275</v>
      </c>
      <c r="E164" s="1133"/>
      <c r="F164" s="1110" t="s">
        <v>12</v>
      </c>
      <c r="G164" s="1082" t="s">
        <v>146</v>
      </c>
      <c r="H164" s="618" t="s">
        <v>11</v>
      </c>
      <c r="I164" s="175">
        <f>J164+L164</f>
        <v>0</v>
      </c>
      <c r="J164" s="172"/>
      <c r="K164" s="209"/>
      <c r="L164" s="173"/>
      <c r="M164" s="180">
        <f>N164+P164</f>
        <v>79</v>
      </c>
      <c r="N164" s="172">
        <v>79</v>
      </c>
      <c r="O164" s="172"/>
      <c r="P164" s="173"/>
      <c r="Q164" s="395">
        <f>R164+T164</f>
        <v>3.5</v>
      </c>
      <c r="R164" s="396">
        <f>0+3.5</f>
        <v>3.5</v>
      </c>
      <c r="S164" s="402"/>
      <c r="T164" s="397"/>
      <c r="U164" s="178">
        <v>30.6</v>
      </c>
      <c r="V164" s="199">
        <v>7.2</v>
      </c>
    </row>
    <row r="165" spans="1:22" ht="15" customHeight="1">
      <c r="A165" s="1096"/>
      <c r="B165" s="1099"/>
      <c r="C165" s="1102"/>
      <c r="D165" s="1105"/>
      <c r="E165" s="1134"/>
      <c r="F165" s="1111"/>
      <c r="G165" s="1083"/>
      <c r="H165" s="621" t="s">
        <v>53</v>
      </c>
      <c r="I165" s="188"/>
      <c r="J165" s="181"/>
      <c r="K165" s="210"/>
      <c r="L165" s="182"/>
      <c r="M165" s="180">
        <f>N165+P165</f>
        <v>71.9</v>
      </c>
      <c r="N165" s="206">
        <v>71.9</v>
      </c>
      <c r="O165" s="206"/>
      <c r="P165" s="207"/>
      <c r="Q165" s="684">
        <f>R165+T165</f>
        <v>0</v>
      </c>
      <c r="R165" s="683">
        <f>71.9-71.9</f>
        <v>0</v>
      </c>
      <c r="S165" s="725"/>
      <c r="T165" s="414"/>
      <c r="U165" s="637">
        <v>18</v>
      </c>
      <c r="V165" s="546">
        <v>10.9</v>
      </c>
    </row>
    <row r="166" spans="1:22" ht="15" customHeight="1">
      <c r="A166" s="1096"/>
      <c r="B166" s="1099"/>
      <c r="C166" s="1102"/>
      <c r="D166" s="1105"/>
      <c r="E166" s="1134"/>
      <c r="F166" s="1111"/>
      <c r="G166" s="1083"/>
      <c r="H166" s="621" t="s">
        <v>18</v>
      </c>
      <c r="I166" s="180">
        <f>J166+L166</f>
        <v>0</v>
      </c>
      <c r="J166" s="181"/>
      <c r="K166" s="210"/>
      <c r="L166" s="182"/>
      <c r="M166" s="188">
        <f>N166+P166</f>
        <v>0</v>
      </c>
      <c r="N166" s="181"/>
      <c r="O166" s="181"/>
      <c r="P166" s="182"/>
      <c r="Q166" s="401">
        <f>R166+T166</f>
        <v>0</v>
      </c>
      <c r="R166" s="417"/>
      <c r="S166" s="716"/>
      <c r="T166" s="418"/>
      <c r="U166" s="605">
        <v>275.4</v>
      </c>
      <c r="V166" s="201">
        <v>102.3</v>
      </c>
    </row>
    <row r="167" spans="1:22" ht="15" customHeight="1" thickBot="1">
      <c r="A167" s="1097"/>
      <c r="B167" s="1100"/>
      <c r="C167" s="1103"/>
      <c r="D167" s="1106"/>
      <c r="E167" s="1135"/>
      <c r="F167" s="1112"/>
      <c r="G167" s="1084"/>
      <c r="H167" s="730" t="s">
        <v>20</v>
      </c>
      <c r="I167" s="388">
        <f aca="true" t="shared" si="46" ref="I167:V167">SUM(I164:I166)</f>
        <v>0</v>
      </c>
      <c r="J167" s="389">
        <f t="shared" si="46"/>
        <v>0</v>
      </c>
      <c r="K167" s="390">
        <f t="shared" si="46"/>
        <v>0</v>
      </c>
      <c r="L167" s="391">
        <f t="shared" si="46"/>
        <v>0</v>
      </c>
      <c r="M167" s="388">
        <f t="shared" si="46"/>
        <v>150.9</v>
      </c>
      <c r="N167" s="389">
        <f t="shared" si="46"/>
        <v>150.9</v>
      </c>
      <c r="O167" s="390">
        <f t="shared" si="46"/>
        <v>0</v>
      </c>
      <c r="P167" s="391">
        <f t="shared" si="46"/>
        <v>0</v>
      </c>
      <c r="Q167" s="388">
        <f t="shared" si="46"/>
        <v>3.5</v>
      </c>
      <c r="R167" s="389">
        <f t="shared" si="46"/>
        <v>3.5</v>
      </c>
      <c r="S167" s="390">
        <f t="shared" si="46"/>
        <v>0</v>
      </c>
      <c r="T167" s="391">
        <f t="shared" si="46"/>
        <v>0</v>
      </c>
      <c r="U167" s="392">
        <f t="shared" si="46"/>
        <v>324</v>
      </c>
      <c r="V167" s="393">
        <f t="shared" si="46"/>
        <v>120.4</v>
      </c>
    </row>
    <row r="168" spans="1:22" ht="15" customHeight="1">
      <c r="A168" s="1095" t="s">
        <v>8</v>
      </c>
      <c r="B168" s="1098" t="s">
        <v>12</v>
      </c>
      <c r="C168" s="1101" t="s">
        <v>14</v>
      </c>
      <c r="D168" s="1123" t="s">
        <v>55</v>
      </c>
      <c r="E168" s="638" t="s">
        <v>272</v>
      </c>
      <c r="F168" s="1126" t="s">
        <v>10</v>
      </c>
      <c r="G168" s="1129" t="s">
        <v>146</v>
      </c>
      <c r="H168" s="639" t="s">
        <v>11</v>
      </c>
      <c r="I168" s="175">
        <f>J168+L168</f>
        <v>517.2</v>
      </c>
      <c r="J168" s="172">
        <v>517.2</v>
      </c>
      <c r="K168" s="172"/>
      <c r="L168" s="173"/>
      <c r="M168" s="175">
        <f>N168+P168</f>
        <v>437</v>
      </c>
      <c r="N168" s="172">
        <v>437</v>
      </c>
      <c r="O168" s="198"/>
      <c r="P168" s="173"/>
      <c r="Q168" s="395">
        <f>R168+T168</f>
        <v>233.3</v>
      </c>
      <c r="R168" s="749">
        <v>233.3</v>
      </c>
      <c r="S168" s="399"/>
      <c r="T168" s="400"/>
      <c r="U168" s="640">
        <v>233</v>
      </c>
      <c r="V168" s="193">
        <v>233</v>
      </c>
    </row>
    <row r="169" spans="1:22" ht="15" customHeight="1">
      <c r="A169" s="1096"/>
      <c r="B169" s="1099"/>
      <c r="C169" s="1102"/>
      <c r="D169" s="1124"/>
      <c r="E169" s="1131" t="s">
        <v>134</v>
      </c>
      <c r="F169" s="1127"/>
      <c r="G169" s="1083"/>
      <c r="H169" s="641"/>
      <c r="I169" s="180">
        <f>J169+L169</f>
        <v>0</v>
      </c>
      <c r="J169" s="181"/>
      <c r="K169" s="181"/>
      <c r="L169" s="182"/>
      <c r="M169" s="180">
        <f>N169+P169</f>
        <v>0</v>
      </c>
      <c r="N169" s="181"/>
      <c r="O169" s="200"/>
      <c r="P169" s="182"/>
      <c r="Q169" s="398">
        <f>R169+T169</f>
        <v>0</v>
      </c>
      <c r="R169" s="417"/>
      <c r="S169" s="417"/>
      <c r="T169" s="418"/>
      <c r="U169" s="622"/>
      <c r="V169" s="201"/>
    </row>
    <row r="170" spans="1:22" ht="15" customHeight="1" thickBot="1">
      <c r="A170" s="1097"/>
      <c r="B170" s="1100"/>
      <c r="C170" s="1103"/>
      <c r="D170" s="1125"/>
      <c r="E170" s="1132"/>
      <c r="F170" s="1128"/>
      <c r="G170" s="1130"/>
      <c r="H170" s="745" t="s">
        <v>20</v>
      </c>
      <c r="I170" s="388">
        <f aca="true" t="shared" si="47" ref="I170:V170">SUM(I168:I169)</f>
        <v>517.2</v>
      </c>
      <c r="J170" s="389">
        <f t="shared" si="47"/>
        <v>517.2</v>
      </c>
      <c r="K170" s="390">
        <f t="shared" si="47"/>
        <v>0</v>
      </c>
      <c r="L170" s="391">
        <f t="shared" si="47"/>
        <v>0</v>
      </c>
      <c r="M170" s="388">
        <f t="shared" si="47"/>
        <v>437</v>
      </c>
      <c r="N170" s="389">
        <f t="shared" si="47"/>
        <v>437</v>
      </c>
      <c r="O170" s="390">
        <f t="shared" si="47"/>
        <v>0</v>
      </c>
      <c r="P170" s="391">
        <f t="shared" si="47"/>
        <v>0</v>
      </c>
      <c r="Q170" s="388">
        <f t="shared" si="47"/>
        <v>233.3</v>
      </c>
      <c r="R170" s="389">
        <f t="shared" si="47"/>
        <v>233.3</v>
      </c>
      <c r="S170" s="390">
        <f t="shared" si="47"/>
        <v>0</v>
      </c>
      <c r="T170" s="391">
        <f t="shared" si="47"/>
        <v>0</v>
      </c>
      <c r="U170" s="392">
        <f t="shared" si="47"/>
        <v>233</v>
      </c>
      <c r="V170" s="393">
        <f t="shared" si="47"/>
        <v>233</v>
      </c>
    </row>
    <row r="171" spans="1:22" ht="15" customHeight="1" thickBot="1">
      <c r="A171" s="533" t="s">
        <v>8</v>
      </c>
      <c r="B171" s="534" t="s">
        <v>12</v>
      </c>
      <c r="C171" s="1085" t="s">
        <v>19</v>
      </c>
      <c r="D171" s="1086"/>
      <c r="E171" s="1086"/>
      <c r="F171" s="1086"/>
      <c r="G171" s="1086"/>
      <c r="H171" s="1087"/>
      <c r="I171" s="642">
        <f>SUM(I170,I167,I151,I164,I129,I161,I158,I155)</f>
        <v>584.1</v>
      </c>
      <c r="J171" s="642">
        <f>SUM(J170,J167,J151,J164,J129,J161,J158,J155)</f>
        <v>584.1</v>
      </c>
      <c r="K171" s="642">
        <f>SUM(K170,K167,K151,K164,K129,K161,K158,K155)</f>
        <v>0</v>
      </c>
      <c r="L171" s="642">
        <f>SUM(L170,L167,L151,L164,L129,L161,L158,L155)</f>
        <v>0</v>
      </c>
      <c r="M171" s="642">
        <f>SUM(M147,M150,M153,M156,M160,M163,M167,M170)</f>
        <v>4389</v>
      </c>
      <c r="N171" s="642">
        <f aca="true" t="shared" si="48" ref="N171:V171">SUM(N147,N150,N153,N156,N160,N163,N167,N170)</f>
        <v>3654.9</v>
      </c>
      <c r="O171" s="642">
        <f t="shared" si="48"/>
        <v>0</v>
      </c>
      <c r="P171" s="642">
        <f t="shared" si="48"/>
        <v>734.1</v>
      </c>
      <c r="Q171" s="642">
        <f t="shared" si="48"/>
        <v>2719.1</v>
      </c>
      <c r="R171" s="642">
        <f t="shared" si="48"/>
        <v>2619.1</v>
      </c>
      <c r="S171" s="642">
        <f t="shared" si="48"/>
        <v>0</v>
      </c>
      <c r="T171" s="642">
        <f t="shared" si="48"/>
        <v>100</v>
      </c>
      <c r="U171" s="642">
        <f t="shared" si="48"/>
        <v>3088.1</v>
      </c>
      <c r="V171" s="642">
        <f t="shared" si="48"/>
        <v>2960.4</v>
      </c>
    </row>
    <row r="172" spans="1:22" ht="15" customHeight="1" thickBot="1">
      <c r="A172" s="539" t="s">
        <v>8</v>
      </c>
      <c r="B172" s="643" t="s">
        <v>38</v>
      </c>
      <c r="C172" s="644" t="s">
        <v>29</v>
      </c>
      <c r="D172" s="645"/>
      <c r="E172" s="646"/>
      <c r="F172" s="698"/>
      <c r="G172" s="699"/>
      <c r="H172" s="647"/>
      <c r="I172" s="648"/>
      <c r="J172" s="649"/>
      <c r="K172" s="649"/>
      <c r="L172" s="650"/>
      <c r="M172" s="651"/>
      <c r="N172" s="651"/>
      <c r="O172" s="651"/>
      <c r="P172" s="651"/>
      <c r="Q172" s="651"/>
      <c r="R172" s="651"/>
      <c r="S172" s="651"/>
      <c r="T172" s="651"/>
      <c r="U172" s="647"/>
      <c r="V172" s="652"/>
    </row>
    <row r="173" spans="1:22" ht="15" customHeight="1">
      <c r="A173" s="1095" t="s">
        <v>8</v>
      </c>
      <c r="B173" s="1098" t="s">
        <v>38</v>
      </c>
      <c r="C173" s="1101" t="s">
        <v>8</v>
      </c>
      <c r="D173" s="1104" t="s">
        <v>147</v>
      </c>
      <c r="E173" s="1107"/>
      <c r="F173" s="1110" t="s">
        <v>12</v>
      </c>
      <c r="G173" s="1082" t="s">
        <v>146</v>
      </c>
      <c r="H173" s="618" t="s">
        <v>53</v>
      </c>
      <c r="I173" s="175">
        <f>J173+L173</f>
        <v>848.6</v>
      </c>
      <c r="J173" s="172"/>
      <c r="K173" s="172"/>
      <c r="L173" s="173">
        <v>848.6</v>
      </c>
      <c r="M173" s="175">
        <f>N173+P173</f>
        <v>1840.2</v>
      </c>
      <c r="N173" s="172"/>
      <c r="O173" s="172"/>
      <c r="P173" s="173">
        <v>1840.2</v>
      </c>
      <c r="Q173" s="704">
        <f>R173+T173</f>
        <v>520</v>
      </c>
      <c r="R173" s="396"/>
      <c r="S173" s="396"/>
      <c r="T173" s="703">
        <f>733-213</f>
        <v>520</v>
      </c>
      <c r="U173" s="211">
        <v>928.4</v>
      </c>
      <c r="V173" s="205">
        <v>928.4</v>
      </c>
    </row>
    <row r="174" spans="1:22" ht="15" customHeight="1">
      <c r="A174" s="1119"/>
      <c r="B174" s="1120"/>
      <c r="C174" s="1121"/>
      <c r="D174" s="1122"/>
      <c r="E174" s="1108"/>
      <c r="F174" s="1111"/>
      <c r="G174" s="1083"/>
      <c r="H174" s="632"/>
      <c r="I174" s="180">
        <f>J174+L174</f>
        <v>0</v>
      </c>
      <c r="J174" s="189"/>
      <c r="K174" s="189"/>
      <c r="L174" s="190"/>
      <c r="M174" s="180">
        <f>N174+P174</f>
        <v>0</v>
      </c>
      <c r="N174" s="189"/>
      <c r="O174" s="189"/>
      <c r="P174" s="190"/>
      <c r="Q174" s="398">
        <f>R174+T174</f>
        <v>0</v>
      </c>
      <c r="R174" s="399"/>
      <c r="S174" s="399"/>
      <c r="T174" s="400"/>
      <c r="U174" s="212"/>
      <c r="V174" s="213"/>
    </row>
    <row r="175" spans="1:22" ht="15" customHeight="1" thickBot="1">
      <c r="A175" s="1097"/>
      <c r="B175" s="1100"/>
      <c r="C175" s="1103"/>
      <c r="D175" s="1106"/>
      <c r="E175" s="1109"/>
      <c r="F175" s="1112"/>
      <c r="G175" s="1084"/>
      <c r="H175" s="750" t="s">
        <v>20</v>
      </c>
      <c r="I175" s="388">
        <f aca="true" t="shared" si="49" ref="I175:V175">SUM(I173:I174)</f>
        <v>848.6</v>
      </c>
      <c r="J175" s="389">
        <f t="shared" si="49"/>
        <v>0</v>
      </c>
      <c r="K175" s="390">
        <f t="shared" si="49"/>
        <v>0</v>
      </c>
      <c r="L175" s="391">
        <f t="shared" si="49"/>
        <v>848.6</v>
      </c>
      <c r="M175" s="388">
        <f t="shared" si="49"/>
        <v>1840.2</v>
      </c>
      <c r="N175" s="389">
        <f t="shared" si="49"/>
        <v>0</v>
      </c>
      <c r="O175" s="390">
        <f t="shared" si="49"/>
        <v>0</v>
      </c>
      <c r="P175" s="391">
        <f t="shared" si="49"/>
        <v>1840.2</v>
      </c>
      <c r="Q175" s="388">
        <f t="shared" si="49"/>
        <v>520</v>
      </c>
      <c r="R175" s="389">
        <f t="shared" si="49"/>
        <v>0</v>
      </c>
      <c r="S175" s="390">
        <f t="shared" si="49"/>
        <v>0</v>
      </c>
      <c r="T175" s="391">
        <f t="shared" si="49"/>
        <v>520</v>
      </c>
      <c r="U175" s="392">
        <f t="shared" si="49"/>
        <v>928.4</v>
      </c>
      <c r="V175" s="393">
        <f t="shared" si="49"/>
        <v>928.4</v>
      </c>
    </row>
    <row r="176" spans="1:22" ht="15" customHeight="1">
      <c r="A176" s="1119" t="s">
        <v>8</v>
      </c>
      <c r="B176" s="1120" t="s">
        <v>38</v>
      </c>
      <c r="C176" s="1121" t="s">
        <v>9</v>
      </c>
      <c r="D176" s="1122" t="s">
        <v>276</v>
      </c>
      <c r="E176" s="1107"/>
      <c r="F176" s="1110" t="s">
        <v>12</v>
      </c>
      <c r="G176" s="1082" t="s">
        <v>146</v>
      </c>
      <c r="H176" s="628" t="s">
        <v>53</v>
      </c>
      <c r="I176" s="175">
        <f>J176+L176</f>
        <v>1215.9</v>
      </c>
      <c r="J176" s="189">
        <v>1215.9</v>
      </c>
      <c r="K176" s="189"/>
      <c r="L176" s="190"/>
      <c r="M176" s="175">
        <f>N176+P176</f>
        <v>2761</v>
      </c>
      <c r="N176" s="189">
        <v>2761</v>
      </c>
      <c r="O176" s="214" t="s">
        <v>51</v>
      </c>
      <c r="P176" s="215"/>
      <c r="Q176" s="704">
        <f>R176+T176</f>
        <v>1238.4</v>
      </c>
      <c r="R176" s="696">
        <f>900+338.4</f>
        <v>1238.4</v>
      </c>
      <c r="S176" s="399"/>
      <c r="T176" s="400"/>
      <c r="U176" s="216">
        <v>1206.1</v>
      </c>
      <c r="V176" s="217">
        <v>1206.1</v>
      </c>
    </row>
    <row r="177" spans="1:22" ht="15" customHeight="1">
      <c r="A177" s="1119"/>
      <c r="B177" s="1120"/>
      <c r="C177" s="1121"/>
      <c r="D177" s="1122"/>
      <c r="E177" s="1108"/>
      <c r="F177" s="1111"/>
      <c r="G177" s="1083"/>
      <c r="H177" s="629" t="s">
        <v>11</v>
      </c>
      <c r="I177" s="180">
        <f>J177+L177</f>
        <v>150</v>
      </c>
      <c r="J177" s="181">
        <v>150</v>
      </c>
      <c r="K177" s="181"/>
      <c r="L177" s="182"/>
      <c r="M177" s="180">
        <f>N177+P177</f>
        <v>1690</v>
      </c>
      <c r="N177" s="181">
        <v>1690</v>
      </c>
      <c r="O177" s="577"/>
      <c r="P177" s="653"/>
      <c r="Q177" s="684">
        <f>R177+T177</f>
        <v>280</v>
      </c>
      <c r="R177" s="752">
        <f>135+145</f>
        <v>280</v>
      </c>
      <c r="S177" s="417"/>
      <c r="T177" s="418"/>
      <c r="U177" s="654">
        <v>135</v>
      </c>
      <c r="V177" s="655">
        <v>135</v>
      </c>
    </row>
    <row r="178" spans="1:22" ht="15" customHeight="1" thickBot="1">
      <c r="A178" s="1097"/>
      <c r="B178" s="1100"/>
      <c r="C178" s="1103"/>
      <c r="D178" s="1106"/>
      <c r="E178" s="1109"/>
      <c r="F178" s="1112"/>
      <c r="G178" s="1084"/>
      <c r="H178" s="730" t="s">
        <v>20</v>
      </c>
      <c r="I178" s="388">
        <f aca="true" t="shared" si="50" ref="I178:V178">SUM(I176:I177)</f>
        <v>1365.9</v>
      </c>
      <c r="J178" s="390">
        <f t="shared" si="50"/>
        <v>1365.9</v>
      </c>
      <c r="K178" s="390">
        <f t="shared" si="50"/>
        <v>0</v>
      </c>
      <c r="L178" s="391">
        <f t="shared" si="50"/>
        <v>0</v>
      </c>
      <c r="M178" s="388">
        <f t="shared" si="50"/>
        <v>4451</v>
      </c>
      <c r="N178" s="390">
        <f t="shared" si="50"/>
        <v>4451</v>
      </c>
      <c r="O178" s="390">
        <f t="shared" si="50"/>
        <v>0</v>
      </c>
      <c r="P178" s="391">
        <f t="shared" si="50"/>
        <v>0</v>
      </c>
      <c r="Q178" s="388">
        <f t="shared" si="50"/>
        <v>1518.4</v>
      </c>
      <c r="R178" s="390">
        <f t="shared" si="50"/>
        <v>1518.4</v>
      </c>
      <c r="S178" s="390">
        <f t="shared" si="50"/>
        <v>0</v>
      </c>
      <c r="T178" s="391">
        <f t="shared" si="50"/>
        <v>0</v>
      </c>
      <c r="U178" s="392">
        <f t="shared" si="50"/>
        <v>1341.1</v>
      </c>
      <c r="V178" s="393">
        <f t="shared" si="50"/>
        <v>1341.1</v>
      </c>
    </row>
    <row r="179" spans="1:22" ht="15" customHeight="1">
      <c r="A179" s="1095" t="s">
        <v>8</v>
      </c>
      <c r="B179" s="1098" t="s">
        <v>38</v>
      </c>
      <c r="C179" s="1101" t="s">
        <v>10</v>
      </c>
      <c r="D179" s="1116" t="s">
        <v>158</v>
      </c>
      <c r="E179" s="1107" t="s">
        <v>272</v>
      </c>
      <c r="F179" s="1110" t="s">
        <v>12</v>
      </c>
      <c r="G179" s="1082" t="s">
        <v>146</v>
      </c>
      <c r="H179" s="628" t="s">
        <v>53</v>
      </c>
      <c r="I179" s="175">
        <f>J179+L179</f>
        <v>287.1</v>
      </c>
      <c r="J179" s="172">
        <v>287.1</v>
      </c>
      <c r="K179" s="172"/>
      <c r="L179" s="209"/>
      <c r="M179" s="175">
        <f>N179+P179</f>
        <v>600</v>
      </c>
      <c r="N179" s="172">
        <v>600</v>
      </c>
      <c r="O179" s="172"/>
      <c r="P179" s="173"/>
      <c r="Q179" s="395">
        <f>R179+T179</f>
        <v>226.8</v>
      </c>
      <c r="R179" s="396">
        <v>226.8</v>
      </c>
      <c r="S179" s="396"/>
      <c r="T179" s="397"/>
      <c r="U179" s="178">
        <v>287.1</v>
      </c>
      <c r="V179" s="199">
        <v>287.1</v>
      </c>
    </row>
    <row r="180" spans="1:22" ht="15" customHeight="1">
      <c r="A180" s="1113"/>
      <c r="B180" s="1114"/>
      <c r="C180" s="1115"/>
      <c r="D180" s="1117"/>
      <c r="E180" s="1108"/>
      <c r="F180" s="1111"/>
      <c r="G180" s="1083"/>
      <c r="H180" s="629" t="s">
        <v>11</v>
      </c>
      <c r="I180" s="180">
        <f>J180+L180</f>
        <v>50</v>
      </c>
      <c r="J180" s="181">
        <v>50</v>
      </c>
      <c r="K180" s="181"/>
      <c r="L180" s="210"/>
      <c r="M180" s="180">
        <f>N180+P180</f>
        <v>100</v>
      </c>
      <c r="N180" s="181">
        <v>100</v>
      </c>
      <c r="O180" s="181"/>
      <c r="P180" s="182"/>
      <c r="Q180" s="398">
        <f>R180+T180</f>
        <v>45</v>
      </c>
      <c r="R180" s="747">
        <v>45</v>
      </c>
      <c r="S180" s="417"/>
      <c r="T180" s="418"/>
      <c r="U180" s="605">
        <v>45</v>
      </c>
      <c r="V180" s="201">
        <v>45</v>
      </c>
    </row>
    <row r="181" spans="1:22" ht="15" customHeight="1" thickBot="1">
      <c r="A181" s="1097"/>
      <c r="B181" s="1100"/>
      <c r="C181" s="1103"/>
      <c r="D181" s="1118"/>
      <c r="E181" s="1109"/>
      <c r="F181" s="1112"/>
      <c r="G181" s="1084"/>
      <c r="H181" s="743" t="s">
        <v>20</v>
      </c>
      <c r="I181" s="388">
        <f aca="true" t="shared" si="51" ref="I181:V181">SUM(I179:I180)</f>
        <v>337.1</v>
      </c>
      <c r="J181" s="389">
        <f t="shared" si="51"/>
        <v>337.1</v>
      </c>
      <c r="K181" s="390">
        <f t="shared" si="51"/>
        <v>0</v>
      </c>
      <c r="L181" s="391">
        <f t="shared" si="51"/>
        <v>0</v>
      </c>
      <c r="M181" s="388">
        <f t="shared" si="51"/>
        <v>700</v>
      </c>
      <c r="N181" s="389">
        <f t="shared" si="51"/>
        <v>700</v>
      </c>
      <c r="O181" s="390">
        <f t="shared" si="51"/>
        <v>0</v>
      </c>
      <c r="P181" s="391">
        <f t="shared" si="51"/>
        <v>0</v>
      </c>
      <c r="Q181" s="388">
        <f t="shared" si="51"/>
        <v>271.8</v>
      </c>
      <c r="R181" s="389">
        <f t="shared" si="51"/>
        <v>271.8</v>
      </c>
      <c r="S181" s="390">
        <f t="shared" si="51"/>
        <v>0</v>
      </c>
      <c r="T181" s="391">
        <f t="shared" si="51"/>
        <v>0</v>
      </c>
      <c r="U181" s="392">
        <f t="shared" si="51"/>
        <v>332.1</v>
      </c>
      <c r="V181" s="393">
        <f t="shared" si="51"/>
        <v>332.1</v>
      </c>
    </row>
    <row r="182" spans="1:22" ht="15" customHeight="1">
      <c r="A182" s="1095" t="s">
        <v>8</v>
      </c>
      <c r="B182" s="1098" t="s">
        <v>38</v>
      </c>
      <c r="C182" s="1101" t="s">
        <v>38</v>
      </c>
      <c r="D182" s="1104" t="s">
        <v>148</v>
      </c>
      <c r="E182" s="1107"/>
      <c r="F182" s="1110" t="s">
        <v>12</v>
      </c>
      <c r="G182" s="1082" t="s">
        <v>146</v>
      </c>
      <c r="H182" s="618" t="s">
        <v>53</v>
      </c>
      <c r="I182" s="175">
        <f>J182+L182</f>
        <v>272.6</v>
      </c>
      <c r="J182" s="172">
        <v>272.6</v>
      </c>
      <c r="K182" s="209"/>
      <c r="L182" s="173"/>
      <c r="M182" s="175">
        <f>N182+P182</f>
        <v>272.6</v>
      </c>
      <c r="N182" s="172">
        <v>272.6</v>
      </c>
      <c r="O182" s="172"/>
      <c r="P182" s="173"/>
      <c r="Q182" s="704">
        <f>R182+T182</f>
        <v>231.8</v>
      </c>
      <c r="R182" s="702">
        <f>215.4+16.4</f>
        <v>231.8</v>
      </c>
      <c r="S182" s="402"/>
      <c r="T182" s="397"/>
      <c r="U182" s="178">
        <v>272.6</v>
      </c>
      <c r="V182" s="199">
        <v>272.6</v>
      </c>
    </row>
    <row r="183" spans="1:22" ht="15" customHeight="1">
      <c r="A183" s="1096"/>
      <c r="B183" s="1099"/>
      <c r="C183" s="1102"/>
      <c r="D183" s="1105"/>
      <c r="E183" s="1108"/>
      <c r="F183" s="1111"/>
      <c r="G183" s="1083"/>
      <c r="H183" s="621" t="s">
        <v>11</v>
      </c>
      <c r="I183" s="180">
        <f>J183+L183</f>
        <v>0</v>
      </c>
      <c r="J183" s="181"/>
      <c r="K183" s="210"/>
      <c r="L183" s="182"/>
      <c r="M183" s="180">
        <f>N183+P183</f>
        <v>0</v>
      </c>
      <c r="N183" s="181"/>
      <c r="O183" s="181"/>
      <c r="P183" s="182"/>
      <c r="Q183" s="398">
        <f>R183+T183</f>
        <v>0</v>
      </c>
      <c r="R183" s="417"/>
      <c r="S183" s="716"/>
      <c r="T183" s="418"/>
      <c r="U183" s="605"/>
      <c r="V183" s="201"/>
    </row>
    <row r="184" spans="1:22" ht="15" customHeight="1" thickBot="1">
      <c r="A184" s="1097"/>
      <c r="B184" s="1100"/>
      <c r="C184" s="1103"/>
      <c r="D184" s="1106"/>
      <c r="E184" s="1109"/>
      <c r="F184" s="1112"/>
      <c r="G184" s="1084"/>
      <c r="H184" s="730" t="s">
        <v>20</v>
      </c>
      <c r="I184" s="388">
        <f aca="true" t="shared" si="52" ref="I184:V184">SUM(I182:I183)</f>
        <v>272.6</v>
      </c>
      <c r="J184" s="389">
        <f t="shared" si="52"/>
        <v>272.6</v>
      </c>
      <c r="K184" s="390">
        <f t="shared" si="52"/>
        <v>0</v>
      </c>
      <c r="L184" s="391">
        <f t="shared" si="52"/>
        <v>0</v>
      </c>
      <c r="M184" s="388">
        <f t="shared" si="52"/>
        <v>272.6</v>
      </c>
      <c r="N184" s="389">
        <f t="shared" si="52"/>
        <v>272.6</v>
      </c>
      <c r="O184" s="390">
        <f t="shared" si="52"/>
        <v>0</v>
      </c>
      <c r="P184" s="391">
        <f t="shared" si="52"/>
        <v>0</v>
      </c>
      <c r="Q184" s="388">
        <f t="shared" si="52"/>
        <v>231.8</v>
      </c>
      <c r="R184" s="389">
        <f t="shared" si="52"/>
        <v>231.8</v>
      </c>
      <c r="S184" s="390">
        <f t="shared" si="52"/>
        <v>0</v>
      </c>
      <c r="T184" s="391">
        <f t="shared" si="52"/>
        <v>0</v>
      </c>
      <c r="U184" s="392">
        <f t="shared" si="52"/>
        <v>272.6</v>
      </c>
      <c r="V184" s="393">
        <f t="shared" si="52"/>
        <v>272.6</v>
      </c>
    </row>
    <row r="185" spans="1:22" ht="15" customHeight="1" thickBot="1">
      <c r="A185" s="533" t="s">
        <v>8</v>
      </c>
      <c r="B185" s="534" t="s">
        <v>12</v>
      </c>
      <c r="C185" s="1085" t="s">
        <v>19</v>
      </c>
      <c r="D185" s="1086"/>
      <c r="E185" s="1086"/>
      <c r="F185" s="1086"/>
      <c r="G185" s="1086"/>
      <c r="H185" s="1087"/>
      <c r="I185" s="642" t="e">
        <f>SUM(#REF!,#REF!,I170,I184,I147,I181,I178,I175)</f>
        <v>#REF!</v>
      </c>
      <c r="J185" s="642" t="e">
        <f>SUM(#REF!,#REF!,J170,J184,J147,J181,J178,J175)</f>
        <v>#REF!</v>
      </c>
      <c r="K185" s="642" t="e">
        <f>SUM(#REF!,#REF!,K170,K184,K147,K181,K178,K175)</f>
        <v>#REF!</v>
      </c>
      <c r="L185" s="642" t="e">
        <f>SUM(#REF!,#REF!,L170,L184,L147,L181,L178,L175)</f>
        <v>#REF!</v>
      </c>
      <c r="M185" s="642">
        <f>SUM(M184,M181,M178,M175)</f>
        <v>7263.8</v>
      </c>
      <c r="N185" s="642">
        <f aca="true" t="shared" si="53" ref="N185:V185">SUM(N184,N181,N178,N175)</f>
        <v>5423.6</v>
      </c>
      <c r="O185" s="642">
        <f t="shared" si="53"/>
        <v>0</v>
      </c>
      <c r="P185" s="642">
        <f t="shared" si="53"/>
        <v>1840.2</v>
      </c>
      <c r="Q185" s="642">
        <f t="shared" si="53"/>
        <v>2542</v>
      </c>
      <c r="R185" s="642">
        <f t="shared" si="53"/>
        <v>2022</v>
      </c>
      <c r="S185" s="642">
        <f t="shared" si="53"/>
        <v>0</v>
      </c>
      <c r="T185" s="642">
        <f t="shared" si="53"/>
        <v>520</v>
      </c>
      <c r="U185" s="642">
        <f t="shared" si="53"/>
        <v>2874.2</v>
      </c>
      <c r="V185" s="642">
        <f t="shared" si="53"/>
        <v>2874.2</v>
      </c>
    </row>
    <row r="186" spans="1:22" ht="15" customHeight="1">
      <c r="A186" s="559" t="s">
        <v>8</v>
      </c>
      <c r="B186" s="1088" t="s">
        <v>21</v>
      </c>
      <c r="C186" s="1089"/>
      <c r="D186" s="1089"/>
      <c r="E186" s="1089"/>
      <c r="F186" s="1089"/>
      <c r="G186" s="1089"/>
      <c r="H186" s="1090"/>
      <c r="I186" s="656" t="e">
        <f>SUM(#REF!,I185,I143,I120,I111)</f>
        <v>#REF!</v>
      </c>
      <c r="J186" s="656" t="e">
        <f>SUM(#REF!,J185,J143,J120,J111)</f>
        <v>#REF!</v>
      </c>
      <c r="K186" s="656" t="e">
        <f>SUM(#REF!,K185,K143,K120,K111)</f>
        <v>#REF!</v>
      </c>
      <c r="L186" s="656" t="e">
        <f>SUM(#REF!,L185,L143,L120,L111)</f>
        <v>#REF!</v>
      </c>
      <c r="M186" s="656">
        <f aca="true" t="shared" si="54" ref="M186:V186">SUM(M185,M171,M143,M120,M111)</f>
        <v>78413.6</v>
      </c>
      <c r="N186" s="656">
        <f t="shared" si="54"/>
        <v>31847.5</v>
      </c>
      <c r="O186" s="656">
        <f t="shared" si="54"/>
        <v>0</v>
      </c>
      <c r="P186" s="656">
        <f t="shared" si="54"/>
        <v>46566.1</v>
      </c>
      <c r="Q186" s="656">
        <f t="shared" si="54"/>
        <v>63731.899999999994</v>
      </c>
      <c r="R186" s="656">
        <f t="shared" si="54"/>
        <v>22062.800000000003</v>
      </c>
      <c r="S186" s="656">
        <f t="shared" si="54"/>
        <v>0</v>
      </c>
      <c r="T186" s="656">
        <f t="shared" si="54"/>
        <v>41669.1</v>
      </c>
      <c r="U186" s="656">
        <f t="shared" si="54"/>
        <v>56518.600000000006</v>
      </c>
      <c r="V186" s="656">
        <f t="shared" si="54"/>
        <v>42431.600000000006</v>
      </c>
    </row>
    <row r="187" spans="1:22" ht="15" customHeight="1" thickBot="1">
      <c r="A187" s="657" t="s">
        <v>13</v>
      </c>
      <c r="B187" s="1091" t="s">
        <v>27</v>
      </c>
      <c r="C187" s="1092"/>
      <c r="D187" s="1092"/>
      <c r="E187" s="1092"/>
      <c r="F187" s="1092"/>
      <c r="G187" s="1092"/>
      <c r="H187" s="1092"/>
      <c r="I187" s="228" t="e">
        <f>I186</f>
        <v>#REF!</v>
      </c>
      <c r="J187" s="228" t="e">
        <f aca="true" t="shared" si="55" ref="J187:V187">J186</f>
        <v>#REF!</v>
      </c>
      <c r="K187" s="228" t="e">
        <f t="shared" si="55"/>
        <v>#REF!</v>
      </c>
      <c r="L187" s="228" t="e">
        <f t="shared" si="55"/>
        <v>#REF!</v>
      </c>
      <c r="M187" s="228">
        <f t="shared" si="55"/>
        <v>78413.6</v>
      </c>
      <c r="N187" s="228">
        <f t="shared" si="55"/>
        <v>31847.5</v>
      </c>
      <c r="O187" s="228">
        <f t="shared" si="55"/>
        <v>0</v>
      </c>
      <c r="P187" s="228">
        <f t="shared" si="55"/>
        <v>46566.1</v>
      </c>
      <c r="Q187" s="228">
        <f t="shared" si="55"/>
        <v>63731.899999999994</v>
      </c>
      <c r="R187" s="228">
        <f t="shared" si="55"/>
        <v>22062.800000000003</v>
      </c>
      <c r="S187" s="228">
        <f t="shared" si="55"/>
        <v>0</v>
      </c>
      <c r="T187" s="228">
        <f t="shared" si="55"/>
        <v>41669.1</v>
      </c>
      <c r="U187" s="228">
        <f t="shared" si="55"/>
        <v>56518.600000000006</v>
      </c>
      <c r="V187" s="229">
        <f t="shared" si="55"/>
        <v>42431.600000000006</v>
      </c>
    </row>
    <row r="189" spans="1:22" ht="14.25" customHeight="1">
      <c r="A189" s="1093" t="s">
        <v>36</v>
      </c>
      <c r="B189" s="1093"/>
      <c r="C189" s="1093"/>
      <c r="D189" s="1093"/>
      <c r="E189" s="1093"/>
      <c r="F189" s="1093"/>
      <c r="G189" s="1093"/>
      <c r="H189" s="1093"/>
      <c r="I189" s="1093"/>
      <c r="J189" s="1093"/>
      <c r="K189" s="1093"/>
      <c r="L189" s="1093"/>
      <c r="M189" s="1093"/>
      <c r="N189" s="1093"/>
      <c r="O189" s="1093"/>
      <c r="P189" s="1093"/>
      <c r="Q189" s="1093"/>
      <c r="R189" s="1093"/>
      <c r="S189" s="1093"/>
      <c r="T189" s="1093"/>
      <c r="U189" s="659"/>
      <c r="V189" s="660"/>
    </row>
    <row r="190" spans="1:22" ht="12.75" customHeight="1" thickBot="1">
      <c r="A190" s="661"/>
      <c r="B190" s="661"/>
      <c r="C190" s="662"/>
      <c r="D190" s="663"/>
      <c r="E190" s="664"/>
      <c r="F190" s="525"/>
      <c r="G190" s="665"/>
      <c r="H190" s="666"/>
      <c r="M190" s="667"/>
      <c r="N190" s="668"/>
      <c r="O190" s="669"/>
      <c r="Q190" s="1094" t="s">
        <v>46</v>
      </c>
      <c r="R190" s="1094"/>
      <c r="S190" s="1094"/>
      <c r="T190" s="1094"/>
      <c r="U190" s="670"/>
      <c r="V190" s="671"/>
    </row>
    <row r="191" spans="1:22" ht="33.75" customHeight="1" thickBot="1">
      <c r="A191" s="1073" t="s">
        <v>28</v>
      </c>
      <c r="B191" s="1074"/>
      <c r="C191" s="1074"/>
      <c r="D191" s="1074"/>
      <c r="E191" s="1074"/>
      <c r="F191" s="1074"/>
      <c r="G191" s="1074"/>
      <c r="H191" s="1075"/>
      <c r="I191" s="1073" t="s">
        <v>149</v>
      </c>
      <c r="J191" s="1074"/>
      <c r="K191" s="1074"/>
      <c r="L191" s="1075"/>
      <c r="M191" s="1073" t="s">
        <v>155</v>
      </c>
      <c r="N191" s="1074"/>
      <c r="O191" s="1074"/>
      <c r="P191" s="1075"/>
      <c r="Q191" s="1073" t="s">
        <v>156</v>
      </c>
      <c r="R191" s="1074"/>
      <c r="S191" s="1074"/>
      <c r="T191" s="1075"/>
      <c r="U191" s="672"/>
      <c r="V191" s="673"/>
    </row>
    <row r="192" spans="1:22" ht="15" customHeight="1" thickBot="1">
      <c r="A192" s="1076" t="s">
        <v>33</v>
      </c>
      <c r="B192" s="1077"/>
      <c r="C192" s="1077"/>
      <c r="D192" s="1077"/>
      <c r="E192" s="1077"/>
      <c r="F192" s="1077"/>
      <c r="G192" s="1077"/>
      <c r="H192" s="1078"/>
      <c r="I192" s="1079" t="e">
        <f>#REF!+I196</f>
        <v>#REF!</v>
      </c>
      <c r="J192" s="1080"/>
      <c r="K192" s="1080"/>
      <c r="L192" s="1081"/>
      <c r="M192" s="1079">
        <f>SUM(M193:P196)</f>
        <v>28564.600000000002</v>
      </c>
      <c r="N192" s="1080"/>
      <c r="O192" s="1080"/>
      <c r="P192" s="1081"/>
      <c r="Q192" s="1079">
        <f>SUM(Q193:T196)</f>
        <v>20483.1</v>
      </c>
      <c r="R192" s="1080"/>
      <c r="S192" s="1080"/>
      <c r="T192" s="1081"/>
      <c r="U192" s="326"/>
      <c r="V192" s="326"/>
    </row>
    <row r="193" spans="1:22" ht="15" customHeight="1">
      <c r="A193" s="1052" t="s">
        <v>277</v>
      </c>
      <c r="B193" s="1053"/>
      <c r="C193" s="1053"/>
      <c r="D193" s="1053"/>
      <c r="E193" s="1053"/>
      <c r="F193" s="1053"/>
      <c r="G193" s="1053"/>
      <c r="H193" s="1054"/>
      <c r="I193" s="1049">
        <f>SUMIF(H98:H186,"SB",I98:I186)</f>
        <v>18037.7</v>
      </c>
      <c r="J193" s="1050"/>
      <c r="K193" s="1050"/>
      <c r="L193" s="1051"/>
      <c r="M193" s="1049">
        <f>SUMIF(H11:H186,"SB",M11:M186)</f>
        <v>27430.7</v>
      </c>
      <c r="N193" s="1050"/>
      <c r="O193" s="1050"/>
      <c r="P193" s="1051"/>
      <c r="Q193" s="1049">
        <f>SUMIF(H11:H186,"SB",Q11:Q186)</f>
        <v>19449.199999999997</v>
      </c>
      <c r="R193" s="1050"/>
      <c r="S193" s="1050"/>
      <c r="T193" s="1051"/>
      <c r="U193" s="674"/>
      <c r="V193" s="675"/>
    </row>
    <row r="194" spans="1:22" ht="15" customHeight="1">
      <c r="A194" s="1052" t="s">
        <v>278</v>
      </c>
      <c r="B194" s="1053"/>
      <c r="C194" s="1053"/>
      <c r="D194" s="1053"/>
      <c r="E194" s="1053"/>
      <c r="F194" s="1053"/>
      <c r="G194" s="1053"/>
      <c r="H194" s="1054"/>
      <c r="I194" s="1049">
        <f>SUMIF(H98:H186,"SB(TA)",I98:I186)</f>
        <v>0</v>
      </c>
      <c r="J194" s="1050"/>
      <c r="K194" s="1050"/>
      <c r="L194" s="1051"/>
      <c r="M194" s="1049">
        <f>SUMIF(H11:H186,"SB(TA)",M11:M186)</f>
        <v>0</v>
      </c>
      <c r="N194" s="1050"/>
      <c r="O194" s="1050"/>
      <c r="P194" s="1051"/>
      <c r="Q194" s="1049">
        <f>SUMIF(H11:H186,"SB(TA)",Q11:Q186)</f>
        <v>0</v>
      </c>
      <c r="R194" s="1050"/>
      <c r="S194" s="1050"/>
      <c r="T194" s="1051"/>
      <c r="U194" s="674"/>
      <c r="V194" s="675"/>
    </row>
    <row r="195" spans="1:22" ht="15" customHeight="1">
      <c r="A195" s="1052" t="s">
        <v>279</v>
      </c>
      <c r="B195" s="1053"/>
      <c r="C195" s="1053"/>
      <c r="D195" s="1053"/>
      <c r="E195" s="1053"/>
      <c r="F195" s="1053"/>
      <c r="G195" s="1053"/>
      <c r="H195" s="1054"/>
      <c r="I195" s="1049">
        <f>SUMIF(H98:H186,"P",I98:I186)</f>
        <v>399.1</v>
      </c>
      <c r="J195" s="1050"/>
      <c r="K195" s="1050"/>
      <c r="L195" s="1051"/>
      <c r="M195" s="1049">
        <f>SUMIF(H11:H186,"P",M11:M186)</f>
        <v>1133.9</v>
      </c>
      <c r="N195" s="1050"/>
      <c r="O195" s="1050"/>
      <c r="P195" s="1051"/>
      <c r="Q195" s="1049">
        <f>SUMIF(H11:H186,"P",Q11:Q186)</f>
        <v>1033.9</v>
      </c>
      <c r="R195" s="1050"/>
      <c r="S195" s="1050"/>
      <c r="T195" s="1051"/>
      <c r="U195" s="674"/>
      <c r="V195" s="675"/>
    </row>
    <row r="196" spans="1:22" ht="15" customHeight="1">
      <c r="A196" s="1067" t="s">
        <v>280</v>
      </c>
      <c r="B196" s="1068"/>
      <c r="C196" s="1068"/>
      <c r="D196" s="1068"/>
      <c r="E196" s="1068"/>
      <c r="F196" s="1068"/>
      <c r="G196" s="1068"/>
      <c r="H196" s="1069"/>
      <c r="I196" s="1070">
        <f>SUMIF(H98:H186,"PF",I98:I186)</f>
        <v>0</v>
      </c>
      <c r="J196" s="1071"/>
      <c r="K196" s="1071"/>
      <c r="L196" s="1072"/>
      <c r="M196" s="1070">
        <f>SUMIF(H11:H186,"PF",M11:M186)</f>
        <v>0</v>
      </c>
      <c r="N196" s="1071"/>
      <c r="O196" s="1071"/>
      <c r="P196" s="1072"/>
      <c r="Q196" s="1070">
        <f>SUMIF(P98:P186,"PF",Q98:Q186)</f>
        <v>0</v>
      </c>
      <c r="R196" s="1071"/>
      <c r="S196" s="1071"/>
      <c r="T196" s="1072"/>
      <c r="U196" s="674"/>
      <c r="V196" s="675"/>
    </row>
    <row r="197" spans="1:22" ht="15" customHeight="1" thickBot="1">
      <c r="A197" s="1055" t="s">
        <v>34</v>
      </c>
      <c r="B197" s="1056"/>
      <c r="C197" s="1056"/>
      <c r="D197" s="1056"/>
      <c r="E197" s="1056"/>
      <c r="F197" s="1056"/>
      <c r="G197" s="1056"/>
      <c r="H197" s="1057"/>
      <c r="I197" s="1058">
        <f>SUM(I198:L202)</f>
        <v>14214.6</v>
      </c>
      <c r="J197" s="1059"/>
      <c r="K197" s="1059"/>
      <c r="L197" s="1060"/>
      <c r="M197" s="1058">
        <f>SUM(M198:P202)</f>
        <v>49849</v>
      </c>
      <c r="N197" s="1059"/>
      <c r="O197" s="1059"/>
      <c r="P197" s="1060"/>
      <c r="Q197" s="1058">
        <f>SUM(Q198:T202)</f>
        <v>43248.8</v>
      </c>
      <c r="R197" s="1059"/>
      <c r="S197" s="1059"/>
      <c r="T197" s="1060"/>
      <c r="U197" s="327"/>
      <c r="V197" s="326"/>
    </row>
    <row r="198" spans="1:22" ht="15" customHeight="1">
      <c r="A198" s="1061" t="s">
        <v>281</v>
      </c>
      <c r="B198" s="1062"/>
      <c r="C198" s="1062"/>
      <c r="D198" s="1062"/>
      <c r="E198" s="1062"/>
      <c r="F198" s="1062"/>
      <c r="G198" s="1062"/>
      <c r="H198" s="1063"/>
      <c r="I198" s="1064">
        <f>SUMIF(H98:H186,"ES",I98:I186)</f>
        <v>9937</v>
      </c>
      <c r="J198" s="1065"/>
      <c r="K198" s="1065"/>
      <c r="L198" s="1066"/>
      <c r="M198" s="1064">
        <f>SUMIF(H11:H186,"ES",M11:M186)</f>
        <v>24139.9</v>
      </c>
      <c r="N198" s="1065"/>
      <c r="O198" s="1065"/>
      <c r="P198" s="1066"/>
      <c r="Q198" s="1064">
        <f>SUMIF(H11:H186,"ES",Q11:Q186)</f>
        <v>24247</v>
      </c>
      <c r="R198" s="1065"/>
      <c r="S198" s="1065"/>
      <c r="T198" s="1066"/>
      <c r="U198" s="674"/>
      <c r="V198" s="675"/>
    </row>
    <row r="199" spans="1:22" ht="15" customHeight="1">
      <c r="A199" s="1046" t="s">
        <v>282</v>
      </c>
      <c r="B199" s="1047"/>
      <c r="C199" s="1047"/>
      <c r="D199" s="1047"/>
      <c r="E199" s="1047"/>
      <c r="F199" s="1047"/>
      <c r="G199" s="1047"/>
      <c r="H199" s="1048"/>
      <c r="I199" s="1049">
        <f>SUMIF(H98:H186,"KPP",I98:I186)</f>
        <v>3770.7</v>
      </c>
      <c r="J199" s="1050"/>
      <c r="K199" s="1050"/>
      <c r="L199" s="1051"/>
      <c r="M199" s="1049">
        <f>SUMIF(H11:H186,"KPP",M11:M186)</f>
        <v>14449.1</v>
      </c>
      <c r="N199" s="1050"/>
      <c r="O199" s="1050"/>
      <c r="P199" s="1051"/>
      <c r="Q199" s="1049">
        <f>SUMIF(H11:H186,"KPP",Q11:Q186)</f>
        <v>7728.6</v>
      </c>
      <c r="R199" s="1050"/>
      <c r="S199" s="1050"/>
      <c r="T199" s="1051"/>
      <c r="U199" s="676"/>
      <c r="V199" s="677"/>
    </row>
    <row r="200" spans="1:22" s="527" customFormat="1" ht="15" customHeight="1">
      <c r="A200" s="1052" t="s">
        <v>283</v>
      </c>
      <c r="B200" s="1053"/>
      <c r="C200" s="1053"/>
      <c r="D200" s="1053"/>
      <c r="E200" s="1053"/>
      <c r="F200" s="1053"/>
      <c r="G200" s="1053"/>
      <c r="H200" s="1054"/>
      <c r="I200" s="1049">
        <f>SUMIF(H98:H186,"LRVB",I98:I186)</f>
        <v>506.9</v>
      </c>
      <c r="J200" s="1050"/>
      <c r="K200" s="1050"/>
      <c r="L200" s="1051"/>
      <c r="M200" s="1049">
        <f>SUMIF(H11:H186,"LRVB",M11:M186)</f>
        <v>633.5</v>
      </c>
      <c r="N200" s="1050"/>
      <c r="O200" s="1050"/>
      <c r="P200" s="1051"/>
      <c r="Q200" s="1049">
        <f>SUMIF(H11:H186,"LRVB",Q11:Q186)</f>
        <v>646.7</v>
      </c>
      <c r="R200" s="1050"/>
      <c r="S200" s="1050"/>
      <c r="T200" s="1051"/>
      <c r="U200" s="676"/>
      <c r="V200" s="677"/>
    </row>
    <row r="201" spans="1:22" ht="15" customHeight="1">
      <c r="A201" s="1046" t="s">
        <v>284</v>
      </c>
      <c r="B201" s="1047"/>
      <c r="C201" s="1047"/>
      <c r="D201" s="1047"/>
      <c r="E201" s="1047"/>
      <c r="F201" s="1047"/>
      <c r="G201" s="1047"/>
      <c r="H201" s="1048"/>
      <c r="I201" s="1049">
        <f>SUMIF(H98:H186,"KVJUD",I98:I186)</f>
        <v>0</v>
      </c>
      <c r="J201" s="1050"/>
      <c r="K201" s="1050"/>
      <c r="L201" s="1051"/>
      <c r="M201" s="1049">
        <f>SUMIF(H11:H186,"KVJUD",M11:M186)</f>
        <v>7000</v>
      </c>
      <c r="N201" s="1050"/>
      <c r="O201" s="1050"/>
      <c r="P201" s="1051"/>
      <c r="Q201" s="1049">
        <f>SUMIF(H11:H186,"KVJUD",Q11:Q186)</f>
        <v>7000</v>
      </c>
      <c r="R201" s="1050"/>
      <c r="S201" s="1050"/>
      <c r="T201" s="1051"/>
      <c r="U201" s="674"/>
      <c r="V201" s="675"/>
    </row>
    <row r="202" spans="1:22" ht="15" customHeight="1">
      <c r="A202" s="1052" t="s">
        <v>285</v>
      </c>
      <c r="B202" s="1053"/>
      <c r="C202" s="1053"/>
      <c r="D202" s="1053"/>
      <c r="E202" s="1053"/>
      <c r="F202" s="1053"/>
      <c r="G202" s="1053"/>
      <c r="H202" s="1054"/>
      <c r="I202" s="1049">
        <f>SUMIF(H98:H186,"Kt",I98:I186)</f>
        <v>0</v>
      </c>
      <c r="J202" s="1050"/>
      <c r="K202" s="1050"/>
      <c r="L202" s="1051"/>
      <c r="M202" s="1049">
        <f>SUMIF(H11:H186,"Kt",M11:M186)</f>
        <v>3626.5</v>
      </c>
      <c r="N202" s="1050"/>
      <c r="O202" s="1050"/>
      <c r="P202" s="1051"/>
      <c r="Q202" s="1049">
        <f>SUMIF(H11:H186,"Kt",Q11:Q186)</f>
        <v>3626.5</v>
      </c>
      <c r="R202" s="1050"/>
      <c r="S202" s="1050"/>
      <c r="T202" s="1051"/>
      <c r="U202" s="674"/>
      <c r="V202" s="675"/>
    </row>
    <row r="203" spans="1:22" ht="15" customHeight="1" thickBot="1">
      <c r="A203" s="1040" t="s">
        <v>35</v>
      </c>
      <c r="B203" s="1041"/>
      <c r="C203" s="1041"/>
      <c r="D203" s="1041"/>
      <c r="E203" s="1041"/>
      <c r="F203" s="1041"/>
      <c r="G203" s="1041"/>
      <c r="H203" s="1042"/>
      <c r="I203" s="1043" t="e">
        <f>I197+I192</f>
        <v>#REF!</v>
      </c>
      <c r="J203" s="1044"/>
      <c r="K203" s="1044"/>
      <c r="L203" s="1045"/>
      <c r="M203" s="1043">
        <f>M197+M192</f>
        <v>78413.6</v>
      </c>
      <c r="N203" s="1044"/>
      <c r="O203" s="1044"/>
      <c r="P203" s="1045"/>
      <c r="Q203" s="1043">
        <f>Q197+Q192</f>
        <v>63731.9</v>
      </c>
      <c r="R203" s="1044"/>
      <c r="S203" s="1044"/>
      <c r="T203" s="1045"/>
      <c r="U203" s="328"/>
      <c r="V203" s="329"/>
    </row>
  </sheetData>
  <sheetProtection/>
  <mergeCells count="415">
    <mergeCell ref="G4:G6"/>
    <mergeCell ref="H4:H6"/>
    <mergeCell ref="M5:M6"/>
    <mergeCell ref="N5:O5"/>
    <mergeCell ref="A1:V1"/>
    <mergeCell ref="A2:V2"/>
    <mergeCell ref="A4:A6"/>
    <mergeCell ref="B4:B6"/>
    <mergeCell ref="C4:C6"/>
    <mergeCell ref="D4:D6"/>
    <mergeCell ref="E4:E6"/>
    <mergeCell ref="F4:F6"/>
    <mergeCell ref="A7:V7"/>
    <mergeCell ref="A8:V8"/>
    <mergeCell ref="I4:L4"/>
    <mergeCell ref="M4:P4"/>
    <mergeCell ref="Q4:T4"/>
    <mergeCell ref="U4:U6"/>
    <mergeCell ref="V4:V6"/>
    <mergeCell ref="I5:I6"/>
    <mergeCell ref="J5:K5"/>
    <mergeCell ref="L5:L6"/>
    <mergeCell ref="P5:P6"/>
    <mergeCell ref="Q5:Q6"/>
    <mergeCell ref="R5:S5"/>
    <mergeCell ref="T5:T6"/>
    <mergeCell ref="A11:A15"/>
    <mergeCell ref="B11:B15"/>
    <mergeCell ref="C11:C15"/>
    <mergeCell ref="D11:D15"/>
    <mergeCell ref="D16:D19"/>
    <mergeCell ref="E16:E19"/>
    <mergeCell ref="F16:F19"/>
    <mergeCell ref="B9:V9"/>
    <mergeCell ref="C10:V10"/>
    <mergeCell ref="G16:G19"/>
    <mergeCell ref="F11:F15"/>
    <mergeCell ref="G11:G15"/>
    <mergeCell ref="E13:E15"/>
    <mergeCell ref="F20:F22"/>
    <mergeCell ref="G20:G22"/>
    <mergeCell ref="E21:E22"/>
    <mergeCell ref="A23:A25"/>
    <mergeCell ref="F27:F29"/>
    <mergeCell ref="G27:G29"/>
    <mergeCell ref="B23:B25"/>
    <mergeCell ref="C23:C25"/>
    <mergeCell ref="D23:D25"/>
    <mergeCell ref="E23:E25"/>
    <mergeCell ref="F23:F25"/>
    <mergeCell ref="G23:G25"/>
    <mergeCell ref="D30:D32"/>
    <mergeCell ref="A16:A19"/>
    <mergeCell ref="D27:D29"/>
    <mergeCell ref="E27:E29"/>
    <mergeCell ref="A20:A22"/>
    <mergeCell ref="B20:B22"/>
    <mergeCell ref="C20:C22"/>
    <mergeCell ref="D20:D22"/>
    <mergeCell ref="B16:B19"/>
    <mergeCell ref="C16:C19"/>
    <mergeCell ref="C33:C36"/>
    <mergeCell ref="A26:H26"/>
    <mergeCell ref="A27:A29"/>
    <mergeCell ref="B27:B29"/>
    <mergeCell ref="C27:C29"/>
    <mergeCell ref="G30:G32"/>
    <mergeCell ref="E31:E32"/>
    <mergeCell ref="A30:A32"/>
    <mergeCell ref="B30:B32"/>
    <mergeCell ref="C30:C32"/>
    <mergeCell ref="E35:E36"/>
    <mergeCell ref="F30:F32"/>
    <mergeCell ref="F33:F36"/>
    <mergeCell ref="A37:A39"/>
    <mergeCell ref="B37:B39"/>
    <mergeCell ref="C37:C39"/>
    <mergeCell ref="D37:D39"/>
    <mergeCell ref="F37:F39"/>
    <mergeCell ref="A33:A36"/>
    <mergeCell ref="B33:B36"/>
    <mergeCell ref="B40:B42"/>
    <mergeCell ref="D33:D36"/>
    <mergeCell ref="E33:E34"/>
    <mergeCell ref="G37:G39"/>
    <mergeCell ref="E38:E39"/>
    <mergeCell ref="C40:C42"/>
    <mergeCell ref="D40:D42"/>
    <mergeCell ref="E40:E42"/>
    <mergeCell ref="F40:F42"/>
    <mergeCell ref="G33:G36"/>
    <mergeCell ref="G47:G50"/>
    <mergeCell ref="G40:G42"/>
    <mergeCell ref="A43:A45"/>
    <mergeCell ref="B43:B45"/>
    <mergeCell ref="C43:C45"/>
    <mergeCell ref="D43:D45"/>
    <mergeCell ref="E43:E45"/>
    <mergeCell ref="F43:F45"/>
    <mergeCell ref="G43:G45"/>
    <mergeCell ref="A40:A42"/>
    <mergeCell ref="F51:F55"/>
    <mergeCell ref="G51:G55"/>
    <mergeCell ref="E53:E55"/>
    <mergeCell ref="A46:H46"/>
    <mergeCell ref="A47:A50"/>
    <mergeCell ref="B47:B50"/>
    <mergeCell ref="C47:C50"/>
    <mergeCell ref="D47:D50"/>
    <mergeCell ref="E47:E50"/>
    <mergeCell ref="F47:F50"/>
    <mergeCell ref="A51:A55"/>
    <mergeCell ref="B51:B55"/>
    <mergeCell ref="C51:C55"/>
    <mergeCell ref="D51:D55"/>
    <mergeCell ref="F60:F62"/>
    <mergeCell ref="G60:G62"/>
    <mergeCell ref="E61:E62"/>
    <mergeCell ref="A56:A59"/>
    <mergeCell ref="B56:B59"/>
    <mergeCell ref="C56:C59"/>
    <mergeCell ref="D56:D59"/>
    <mergeCell ref="F56:F59"/>
    <mergeCell ref="G56:G59"/>
    <mergeCell ref="E57:E59"/>
    <mergeCell ref="A60:A62"/>
    <mergeCell ref="B60:B62"/>
    <mergeCell ref="C60:C62"/>
    <mergeCell ref="D60:D62"/>
    <mergeCell ref="F66:F68"/>
    <mergeCell ref="G66:G68"/>
    <mergeCell ref="E67:E68"/>
    <mergeCell ref="A63:A65"/>
    <mergeCell ref="B63:B65"/>
    <mergeCell ref="C63:C65"/>
    <mergeCell ref="D63:D65"/>
    <mergeCell ref="F63:F65"/>
    <mergeCell ref="G63:G65"/>
    <mergeCell ref="E64:E65"/>
    <mergeCell ref="A66:A68"/>
    <mergeCell ref="B66:B68"/>
    <mergeCell ref="C66:C68"/>
    <mergeCell ref="D66:D68"/>
    <mergeCell ref="F73:F75"/>
    <mergeCell ref="G73:G75"/>
    <mergeCell ref="E74:E75"/>
    <mergeCell ref="A69:H69"/>
    <mergeCell ref="A70:A72"/>
    <mergeCell ref="B70:B72"/>
    <mergeCell ref="C70:C72"/>
    <mergeCell ref="D70:D72"/>
    <mergeCell ref="F70:F72"/>
    <mergeCell ref="G70:G72"/>
    <mergeCell ref="A73:A75"/>
    <mergeCell ref="B73:B75"/>
    <mergeCell ref="C73:C75"/>
    <mergeCell ref="D73:D75"/>
    <mergeCell ref="A76:H76"/>
    <mergeCell ref="A77:A79"/>
    <mergeCell ref="B77:B79"/>
    <mergeCell ref="C77:C79"/>
    <mergeCell ref="D77:D79"/>
    <mergeCell ref="E77:E79"/>
    <mergeCell ref="F77:F79"/>
    <mergeCell ref="G77:G79"/>
    <mergeCell ref="G85:G90"/>
    <mergeCell ref="E87:E90"/>
    <mergeCell ref="D89:D90"/>
    <mergeCell ref="A80:A84"/>
    <mergeCell ref="B80:B84"/>
    <mergeCell ref="C80:C84"/>
    <mergeCell ref="D80:D84"/>
    <mergeCell ref="F80:F84"/>
    <mergeCell ref="G80:G84"/>
    <mergeCell ref="E82:E84"/>
    <mergeCell ref="E91:E93"/>
    <mergeCell ref="F91:F93"/>
    <mergeCell ref="A85:A90"/>
    <mergeCell ref="B85:B90"/>
    <mergeCell ref="C85:C90"/>
    <mergeCell ref="D85:D86"/>
    <mergeCell ref="F85:F90"/>
    <mergeCell ref="A91:A93"/>
    <mergeCell ref="B91:B93"/>
    <mergeCell ref="C91:C93"/>
    <mergeCell ref="D91:D93"/>
    <mergeCell ref="G98:G102"/>
    <mergeCell ref="E99:E102"/>
    <mergeCell ref="G91:G93"/>
    <mergeCell ref="A94:A97"/>
    <mergeCell ref="B94:B97"/>
    <mergeCell ref="C94:C97"/>
    <mergeCell ref="D94:D97"/>
    <mergeCell ref="F94:F97"/>
    <mergeCell ref="G94:G97"/>
    <mergeCell ref="E95:E97"/>
    <mergeCell ref="F103:F107"/>
    <mergeCell ref="A98:A102"/>
    <mergeCell ref="B98:B102"/>
    <mergeCell ref="C98:C102"/>
    <mergeCell ref="D98:D102"/>
    <mergeCell ref="F98:F102"/>
    <mergeCell ref="B103:B107"/>
    <mergeCell ref="C103:C107"/>
    <mergeCell ref="D103:D107"/>
    <mergeCell ref="E103:E104"/>
    <mergeCell ref="G103:G107"/>
    <mergeCell ref="E105:E107"/>
    <mergeCell ref="A108:A110"/>
    <mergeCell ref="B108:B110"/>
    <mergeCell ref="C108:C110"/>
    <mergeCell ref="D108:D110"/>
    <mergeCell ref="E108:E110"/>
    <mergeCell ref="F108:F110"/>
    <mergeCell ref="G108:G110"/>
    <mergeCell ref="A103:A107"/>
    <mergeCell ref="A113:A116"/>
    <mergeCell ref="B113:B116"/>
    <mergeCell ref="C113:C116"/>
    <mergeCell ref="D113:D116"/>
    <mergeCell ref="F117:F119"/>
    <mergeCell ref="G117:G119"/>
    <mergeCell ref="E118:E119"/>
    <mergeCell ref="C111:H111"/>
    <mergeCell ref="C112:V112"/>
    <mergeCell ref="F113:F116"/>
    <mergeCell ref="G113:G116"/>
    <mergeCell ref="E114:E116"/>
    <mergeCell ref="A117:A119"/>
    <mergeCell ref="B117:B119"/>
    <mergeCell ref="C117:C119"/>
    <mergeCell ref="D117:D119"/>
    <mergeCell ref="A122:A124"/>
    <mergeCell ref="B122:B124"/>
    <mergeCell ref="C122:C124"/>
    <mergeCell ref="D122:D124"/>
    <mergeCell ref="E125:E128"/>
    <mergeCell ref="G125:G128"/>
    <mergeCell ref="F126:F128"/>
    <mergeCell ref="C120:H120"/>
    <mergeCell ref="C121:V121"/>
    <mergeCell ref="E122:E124"/>
    <mergeCell ref="F122:F124"/>
    <mergeCell ref="G122:G124"/>
    <mergeCell ref="A125:A128"/>
    <mergeCell ref="B125:B128"/>
    <mergeCell ref="C125:C128"/>
    <mergeCell ref="D125:D128"/>
    <mergeCell ref="G129:G131"/>
    <mergeCell ref="A132:A134"/>
    <mergeCell ref="B132:B134"/>
    <mergeCell ref="C132:C134"/>
    <mergeCell ref="D132:D134"/>
    <mergeCell ref="E132:E134"/>
    <mergeCell ref="C129:C131"/>
    <mergeCell ref="D129:D131"/>
    <mergeCell ref="E129:E131"/>
    <mergeCell ref="F129:F131"/>
    <mergeCell ref="F132:F134"/>
    <mergeCell ref="G132:G134"/>
    <mergeCell ref="A135:A137"/>
    <mergeCell ref="B135:B137"/>
    <mergeCell ref="C135:C137"/>
    <mergeCell ref="D135:D137"/>
    <mergeCell ref="E135:E137"/>
    <mergeCell ref="F135:F137"/>
    <mergeCell ref="G135:G137"/>
    <mergeCell ref="A138:H138"/>
    <mergeCell ref="A139:A142"/>
    <mergeCell ref="B139:B142"/>
    <mergeCell ref="C139:C142"/>
    <mergeCell ref="D139:D142"/>
    <mergeCell ref="E139:E142"/>
    <mergeCell ref="F139:F142"/>
    <mergeCell ref="G139:G142"/>
    <mergeCell ref="C143:H143"/>
    <mergeCell ref="C144:Q144"/>
    <mergeCell ref="A145:A147"/>
    <mergeCell ref="B145:B147"/>
    <mergeCell ref="C145:C147"/>
    <mergeCell ref="D145:D147"/>
    <mergeCell ref="E145:E147"/>
    <mergeCell ref="F145:F147"/>
    <mergeCell ref="G145:G147"/>
    <mergeCell ref="G148:G150"/>
    <mergeCell ref="A151:A153"/>
    <mergeCell ref="B151:B153"/>
    <mergeCell ref="C151:C153"/>
    <mergeCell ref="D151:D153"/>
    <mergeCell ref="F151:F153"/>
    <mergeCell ref="C148:C150"/>
    <mergeCell ref="D148:D150"/>
    <mergeCell ref="E148:E150"/>
    <mergeCell ref="F148:F150"/>
    <mergeCell ref="G151:G153"/>
    <mergeCell ref="A154:A156"/>
    <mergeCell ref="B154:B156"/>
    <mergeCell ref="C154:C156"/>
    <mergeCell ref="D154:D156"/>
    <mergeCell ref="F154:F156"/>
    <mergeCell ref="G154:G156"/>
    <mergeCell ref="C157:C160"/>
    <mergeCell ref="D157:D160"/>
    <mergeCell ref="E157:E160"/>
    <mergeCell ref="F157:F160"/>
    <mergeCell ref="G157:G160"/>
    <mergeCell ref="A161:A163"/>
    <mergeCell ref="B161:B163"/>
    <mergeCell ref="C161:C163"/>
    <mergeCell ref="D161:D163"/>
    <mergeCell ref="E161:E163"/>
    <mergeCell ref="F161:F163"/>
    <mergeCell ref="G161:G163"/>
    <mergeCell ref="A157:A160"/>
    <mergeCell ref="B157:B160"/>
    <mergeCell ref="C164:C167"/>
    <mergeCell ref="D164:D167"/>
    <mergeCell ref="E164:E167"/>
    <mergeCell ref="F164:F167"/>
    <mergeCell ref="G164:G167"/>
    <mergeCell ref="A168:A170"/>
    <mergeCell ref="B168:B170"/>
    <mergeCell ref="C168:C170"/>
    <mergeCell ref="D168:D170"/>
    <mergeCell ref="F168:F170"/>
    <mergeCell ref="G168:G170"/>
    <mergeCell ref="E169:E170"/>
    <mergeCell ref="A164:A167"/>
    <mergeCell ref="B164:B167"/>
    <mergeCell ref="C171:H171"/>
    <mergeCell ref="A173:A175"/>
    <mergeCell ref="B173:B175"/>
    <mergeCell ref="C173:C175"/>
    <mergeCell ref="D173:D175"/>
    <mergeCell ref="E173:E175"/>
    <mergeCell ref="F173:F175"/>
    <mergeCell ref="G173:G175"/>
    <mergeCell ref="C176:C178"/>
    <mergeCell ref="D176:D178"/>
    <mergeCell ref="E176:E178"/>
    <mergeCell ref="F176:F178"/>
    <mergeCell ref="G176:G178"/>
    <mergeCell ref="A179:A181"/>
    <mergeCell ref="B179:B181"/>
    <mergeCell ref="C179:C181"/>
    <mergeCell ref="D179:D181"/>
    <mergeCell ref="E179:E181"/>
    <mergeCell ref="F179:F181"/>
    <mergeCell ref="G179:G181"/>
    <mergeCell ref="A176:A178"/>
    <mergeCell ref="B176:B178"/>
    <mergeCell ref="A189:T189"/>
    <mergeCell ref="Q190:T190"/>
    <mergeCell ref="A182:A184"/>
    <mergeCell ref="B182:B184"/>
    <mergeCell ref="C182:C184"/>
    <mergeCell ref="D182:D184"/>
    <mergeCell ref="E182:E184"/>
    <mergeCell ref="F182:F184"/>
    <mergeCell ref="G182:G184"/>
    <mergeCell ref="C185:H185"/>
    <mergeCell ref="B186:H186"/>
    <mergeCell ref="B187:H187"/>
    <mergeCell ref="A192:H192"/>
    <mergeCell ref="I192:L192"/>
    <mergeCell ref="M192:P192"/>
    <mergeCell ref="Q192:T192"/>
    <mergeCell ref="A191:H191"/>
    <mergeCell ref="I191:L191"/>
    <mergeCell ref="M191:P191"/>
    <mergeCell ref="Q191:T191"/>
    <mergeCell ref="A194:H194"/>
    <mergeCell ref="I194:L194"/>
    <mergeCell ref="M194:P194"/>
    <mergeCell ref="Q194:T194"/>
    <mergeCell ref="A193:H193"/>
    <mergeCell ref="I193:L193"/>
    <mergeCell ref="M193:P193"/>
    <mergeCell ref="Q193:T193"/>
    <mergeCell ref="A196:H196"/>
    <mergeCell ref="I196:L196"/>
    <mergeCell ref="M196:P196"/>
    <mergeCell ref="Q196:T196"/>
    <mergeCell ref="A195:H195"/>
    <mergeCell ref="I195:L195"/>
    <mergeCell ref="M195:P195"/>
    <mergeCell ref="Q195:T195"/>
    <mergeCell ref="A198:H198"/>
    <mergeCell ref="I198:L198"/>
    <mergeCell ref="M198:P198"/>
    <mergeCell ref="Q198:T198"/>
    <mergeCell ref="A197:H197"/>
    <mergeCell ref="I197:L197"/>
    <mergeCell ref="M197:P197"/>
    <mergeCell ref="Q197:T197"/>
    <mergeCell ref="A200:H200"/>
    <mergeCell ref="I200:L200"/>
    <mergeCell ref="M200:P200"/>
    <mergeCell ref="Q200:T200"/>
    <mergeCell ref="A199:H199"/>
    <mergeCell ref="I199:L199"/>
    <mergeCell ref="M199:P199"/>
    <mergeCell ref="Q199:T199"/>
    <mergeCell ref="A202:H202"/>
    <mergeCell ref="I202:L202"/>
    <mergeCell ref="M202:P202"/>
    <mergeCell ref="Q202:T202"/>
    <mergeCell ref="A201:H201"/>
    <mergeCell ref="I201:L201"/>
    <mergeCell ref="M201:P201"/>
    <mergeCell ref="Q201:T201"/>
    <mergeCell ref="A203:H203"/>
    <mergeCell ref="I203:L203"/>
    <mergeCell ref="M203:P203"/>
    <mergeCell ref="Q203:T203"/>
  </mergeCells>
  <printOptions/>
  <pageMargins left="0" right="0" top="0" bottom="0" header="0.31496062992125984" footer="0.31496062992125984"/>
  <pageSetup horizontalDpi="600" verticalDpi="600" orientation="landscape" paperSize="9" scale="83" r:id="rId1"/>
  <rowBreaks count="4" manualBreakCount="4">
    <brk id="36" max="255" man="1"/>
    <brk id="79" max="255" man="1"/>
    <brk id="124" max="21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L.Demidova</cp:lastModifiedBy>
  <cp:lastPrinted>2012-07-07T19:59:51Z</cp:lastPrinted>
  <dcterms:created xsi:type="dcterms:W3CDTF">2004-04-19T12:01:47Z</dcterms:created>
  <dcterms:modified xsi:type="dcterms:W3CDTF">2012-07-12T12:59:56Z</dcterms:modified>
  <cp:category/>
  <cp:version/>
  <cp:contentType/>
  <cp:contentStatus/>
</cp:coreProperties>
</file>