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1760" activeTab="0"/>
  </bookViews>
  <sheets>
    <sheet name="1 lentelė" sheetId="1" r:id="rId1"/>
    <sheet name="bendras lėšų poreikis" sheetId="2" r:id="rId2"/>
    <sheet name="vertinimo kriterijai" sheetId="3" r:id="rId3"/>
    <sheet name="aiškinamoji lentelė" sheetId="4" r:id="rId4"/>
  </sheets>
  <definedNames>
    <definedName name="_xlnm.Print_Area" localSheetId="0">'1 lentelė'!$A$1:$V$127</definedName>
    <definedName name="_xlnm.Print_Area" localSheetId="3">'aiškinamoji lentelė'!$A$1:$V$147</definedName>
    <definedName name="_xlnm.Print_Titles" localSheetId="0">'1 lentelė'!$5:$7</definedName>
    <definedName name="_xlnm.Print_Titles" localSheetId="2">'vertinimo kriterijai'!$7:$8</definedName>
  </definedNames>
  <calcPr fullCalcOnLoad="1"/>
</workbook>
</file>

<file path=xl/sharedStrings.xml><?xml version="1.0" encoding="utf-8"?>
<sst xmlns="http://schemas.openxmlformats.org/spreadsheetml/2006/main" count="818" uniqueCount="265">
  <si>
    <t>Programos tikslo kodas</t>
  </si>
  <si>
    <t>Uždavinio kodas</t>
  </si>
  <si>
    <t>Priemonės kodas</t>
  </si>
  <si>
    <t>Asignavimų valdytojo kodas</t>
  </si>
  <si>
    <t>Finansavimo šaltinis</t>
  </si>
  <si>
    <t>Iš viso</t>
  </si>
  <si>
    <t>Išlaidoms</t>
  </si>
  <si>
    <t>01</t>
  </si>
  <si>
    <t>02</t>
  </si>
  <si>
    <t>03</t>
  </si>
  <si>
    <t>SB</t>
  </si>
  <si>
    <t>04</t>
  </si>
  <si>
    <t>05</t>
  </si>
  <si>
    <t>06</t>
  </si>
  <si>
    <t>07</t>
  </si>
  <si>
    <t>08</t>
  </si>
  <si>
    <t>Identifikuota naminių gyvūnų, vnt.</t>
  </si>
  <si>
    <t>PF</t>
  </si>
  <si>
    <t>Iš viso uždaviniui:</t>
  </si>
  <si>
    <t>Iš viso:</t>
  </si>
  <si>
    <t>Iš viso tikslui:</t>
  </si>
  <si>
    <t>I</t>
  </si>
  <si>
    <t>Iš viso programai:</t>
  </si>
  <si>
    <t>Ekonominės klasifikacijos grupės</t>
  </si>
  <si>
    <t>1.2. turtui įsigyti ir finansiniams įsipareigojimams vykdyti</t>
  </si>
  <si>
    <t>Lietaus nuotekų tinklų eksploatacija ir einamasis remontas</t>
  </si>
  <si>
    <t>Finansavimo šaltiniai</t>
  </si>
  <si>
    <t>Eksploatuojama šviestuvų, tūkst. vnt.</t>
  </si>
  <si>
    <r>
      <t xml:space="preserve">Savivaldybės privatizavimo fondo lėšos </t>
    </r>
    <r>
      <rPr>
        <b/>
        <sz val="9"/>
        <rFont val="Times New Roman"/>
        <family val="1"/>
      </rPr>
      <t>PF</t>
    </r>
  </si>
  <si>
    <t>Kt</t>
  </si>
  <si>
    <t>SAVIVALDYBĖS  LĖŠOS, IŠ VISO:</t>
  </si>
  <si>
    <r>
      <t xml:space="preserve">Savivaldybės biudžeto lėšos </t>
    </r>
    <r>
      <rPr>
        <b/>
        <sz val="9"/>
        <rFont val="Times New Roman"/>
        <family val="1"/>
      </rPr>
      <t>SB</t>
    </r>
  </si>
  <si>
    <t>KITI ŠALTINIAI, IŠ VISO:</t>
  </si>
  <si>
    <t>IŠ VISO:</t>
  </si>
  <si>
    <t>Finansavimo šaltinių suvestinė</t>
  </si>
  <si>
    <t>tūkst. Lt</t>
  </si>
  <si>
    <t>1. IŠ VISO LĖŠŲ POREIKIS:</t>
  </si>
  <si>
    <t>1.1. išlaidoms</t>
  </si>
  <si>
    <t>1.1.1. iš jų darbo užmokesčiui</t>
  </si>
  <si>
    <t>2. FINANSAVIMO ŠALTINIAI:</t>
  </si>
  <si>
    <t>2.1. SAVIVALDYBĖS  LĖŠOS, IŠ VISO:</t>
  </si>
  <si>
    <t>2.2. KITI ŠALTINIAI, IŠ VISO:</t>
  </si>
  <si>
    <t>Pavadinimas</t>
  </si>
  <si>
    <t>1</t>
  </si>
  <si>
    <t>10</t>
  </si>
  <si>
    <t>Strateginis tikslas 02. Kurti mieste patrauklią, švarią ir saugią gyvenamąją aplinką</t>
  </si>
  <si>
    <t>LRVB</t>
  </si>
  <si>
    <t>Lėbartų kapinių V-B, VI, VIII-A, VII-B eilės ir kolumbariumo statybos techninio projekto parengimas ir įgyvendinimas</t>
  </si>
  <si>
    <t>ES</t>
  </si>
  <si>
    <r>
      <t xml:space="preserve">Valstybės biudžeto lėšos </t>
    </r>
    <r>
      <rPr>
        <b/>
        <sz val="9"/>
        <rFont val="Times New Roman"/>
        <family val="1"/>
      </rPr>
      <t>LRVB</t>
    </r>
  </si>
  <si>
    <r>
      <t>Europos Sąjungos paramos lėšos</t>
    </r>
    <r>
      <rPr>
        <b/>
        <sz val="9"/>
        <rFont val="Times New Roman"/>
        <family val="1"/>
      </rPr>
      <t xml:space="preserve"> ES</t>
    </r>
  </si>
  <si>
    <r>
      <t xml:space="preserve">2.2.1. Europos Sąjungos paramos lėšos </t>
    </r>
    <r>
      <rPr>
        <b/>
        <sz val="10"/>
        <rFont val="Times New Roman"/>
        <family val="1"/>
      </rPr>
      <t>ES</t>
    </r>
  </si>
  <si>
    <t>07 Miesto infrastruktūros objektų priežiūros ir modernizavimo programa</t>
  </si>
  <si>
    <t>KPP</t>
  </si>
  <si>
    <r>
      <t xml:space="preserve">Kelių priežiūros ir plėtros programos lėšos </t>
    </r>
    <r>
      <rPr>
        <b/>
        <sz val="9"/>
        <rFont val="Times New Roman"/>
        <family val="1"/>
      </rPr>
      <t>KPP</t>
    </r>
  </si>
  <si>
    <r>
      <t xml:space="preserve">2.2.2. Kelių priežiūros ir plėtros programos lėšos </t>
    </r>
    <r>
      <rPr>
        <b/>
        <sz val="10"/>
        <rFont val="Times New Roman"/>
        <family val="1"/>
      </rPr>
      <t>KPP</t>
    </r>
  </si>
  <si>
    <t>Savivaldybei priskirtų daugiabučių namų kiemų teritorijų sanitarinis valymas (šaligatvių, asfaltuotų, žvyruotų dangų, žaliųjų plotų valymas ir šienavimas)</t>
  </si>
  <si>
    <t>Rekonstruota nuotekų tinklų, km</t>
  </si>
  <si>
    <t>Priemonės požymis</t>
  </si>
  <si>
    <t>Utilizuota gyvūnų, t</t>
  </si>
  <si>
    <t>5</t>
  </si>
  <si>
    <t>Vaikų žaidimo aikštelių daugiabučių namų kiemuose atnaujinimas ir remontas</t>
  </si>
  <si>
    <t>VERTINIMO KRITERIJŲ SUVESTINĖ</t>
  </si>
  <si>
    <t>2 lentelė</t>
  </si>
  <si>
    <t>KURTI MIESTE PATRAUKLIĄ, ŠVARIĄ IR SAUGIĄ GYVENAMĄJĄ APLINKĄ</t>
  </si>
  <si>
    <t xml:space="preserve">Kodas </t>
  </si>
  <si>
    <t>(Savivaldybės strateginio tikslo pavadinimas)</t>
  </si>
  <si>
    <t>(Programos, skirtos šiam strateginiam tikslui įgyvendinti, pavadinimas)</t>
  </si>
  <si>
    <t>Įgyvendinamas įstaigos strateginio tikslo kodas, programos kodas</t>
  </si>
  <si>
    <t>Vertinimo kriterijus</t>
  </si>
  <si>
    <t>Vertinimo kriterijaus kodas</t>
  </si>
  <si>
    <t>Rezultato:</t>
  </si>
  <si>
    <t>1-ajam programos tikslui</t>
  </si>
  <si>
    <t>Produkto:</t>
  </si>
  <si>
    <t>1-ajam uždaviniui</t>
  </si>
  <si>
    <t>2-ajam uždaviniui</t>
  </si>
  <si>
    <t>02.07</t>
  </si>
  <si>
    <t>2012-ųjų metų planas</t>
  </si>
  <si>
    <t>R-07-01-01</t>
  </si>
  <si>
    <t>P-07-01-02-01</t>
  </si>
  <si>
    <t>Daugiabučių namų savininkų bendrijų (DNSB), modernizuojančių bendrojo naudojimo objektus, rėmimas</t>
  </si>
  <si>
    <t>Nutiesta vandentiekio tinklų, km</t>
  </si>
  <si>
    <t>Nutiesta  nuotekų tinklų, km</t>
  </si>
  <si>
    <t>330</t>
  </si>
  <si>
    <t>Tvarkoma gėlynų, kv. m</t>
  </si>
  <si>
    <t>Prižiūrima gazonų, kv. m</t>
  </si>
  <si>
    <t>Prižiūrima gyvatvorės, kv. m</t>
  </si>
  <si>
    <t xml:space="preserve">Programos (Nr. 07)  lėšų  poreikis ir numatomi finansavimo šaltiniai       </t>
  </si>
  <si>
    <r>
      <t xml:space="preserve">KLAIPĖDOS MIESTO SAVIVALDYBĖS MIESTO </t>
    </r>
    <r>
      <rPr>
        <b/>
        <sz val="10"/>
        <rFont val="Times New Roman"/>
        <family val="1"/>
      </rPr>
      <t>INFRASTRUKTŪROS</t>
    </r>
    <r>
      <rPr>
        <b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OBJEKTŲ</t>
    </r>
    <r>
      <rPr>
        <b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PRIEŽIŪROS</t>
    </r>
    <r>
      <rPr>
        <b/>
        <sz val="10"/>
        <rFont val="Times New Roman"/>
        <family val="1"/>
      </rPr>
      <t xml:space="preserve"> IR MODERNIZAVIMO PROGRAMA</t>
    </r>
  </si>
  <si>
    <t>3-iajam uždaviniui</t>
  </si>
  <si>
    <r>
      <t xml:space="preserve">2.2.3. </t>
    </r>
    <r>
      <rPr>
        <sz val="10"/>
        <rFont val="Times New Roman"/>
        <family val="1"/>
      </rPr>
      <t>valstybės</t>
    </r>
    <r>
      <rPr>
        <sz val="10"/>
        <rFont val="Times New Roman"/>
        <family val="1"/>
      </rPr>
      <t xml:space="preserve"> biudžeto lėšos </t>
    </r>
    <r>
      <rPr>
        <b/>
        <sz val="10"/>
        <rFont val="Times New Roman"/>
        <family val="1"/>
      </rPr>
      <t>LRVB</t>
    </r>
  </si>
  <si>
    <r>
      <t xml:space="preserve">2.2.5. </t>
    </r>
    <r>
      <rPr>
        <sz val="10"/>
        <rFont val="Times New Roman"/>
        <family val="1"/>
      </rPr>
      <t>kiti</t>
    </r>
    <r>
      <rPr>
        <sz val="10"/>
        <rFont val="Times New Roman"/>
        <family val="1"/>
      </rPr>
      <t xml:space="preserve"> finansavimo šaltiniai </t>
    </r>
    <r>
      <rPr>
        <b/>
        <sz val="10"/>
        <rFont val="Times New Roman"/>
        <family val="1"/>
      </rPr>
      <t>Kt</t>
    </r>
  </si>
  <si>
    <t>Prižiūrima kapinių (tarp jų ir senųjų kapinaičių), sk.</t>
  </si>
  <si>
    <t>2012-ųjų metų asignavimų planas</t>
  </si>
  <si>
    <t>Turtui įsigyti ir finansiniams įsipareigojimams vykdyti</t>
  </si>
  <si>
    <t>Iš jų darbo užmokesčiui</t>
  </si>
  <si>
    <t>Projektas 2013-iesiems metams</t>
  </si>
  <si>
    <t>2013-ųjų metų planas</t>
  </si>
  <si>
    <t>Atnaujinta vaikų žaidimo aikštelių, vnt.</t>
  </si>
  <si>
    <t>Eksploatuoti, remontuoti ir plėtoti inžinerinio aprūpinimo sistemas</t>
  </si>
  <si>
    <t>P4</t>
  </si>
  <si>
    <t xml:space="preserve"> P3.2.1.9. </t>
  </si>
  <si>
    <t xml:space="preserve">P4.5.2.1. </t>
  </si>
  <si>
    <t xml:space="preserve"> P3.3.2.5. </t>
  </si>
  <si>
    <t>P2.2.2.6</t>
  </si>
  <si>
    <t>P4.1.1.1</t>
  </si>
  <si>
    <t>SB(F)</t>
  </si>
  <si>
    <r>
      <t xml:space="preserve">Daugiabučių namų savininkų bendrijų fondo lėšos </t>
    </r>
    <r>
      <rPr>
        <b/>
        <sz val="9"/>
        <rFont val="Times New Roman"/>
        <family val="1"/>
      </rPr>
      <t>SB(F)</t>
    </r>
  </si>
  <si>
    <t>R-07-01-02</t>
  </si>
  <si>
    <t>R-07-01-03</t>
  </si>
  <si>
    <t>P-07-01-03-01</t>
  </si>
  <si>
    <t>Prižiūrimų paplūdimių, kopų ir prieškopių plotas, tūkst. kv. m</t>
  </si>
  <si>
    <t>Miesto viešų teritorijų inventoriaus priežiūra, įrengimas ir įsigijimas</t>
  </si>
  <si>
    <t>Integruotos stebėjimo sistemos viešose vietose nuoma ir retransliuojamo vaizdo stebėjimo paslaugos pirkimas</t>
  </si>
  <si>
    <t>Valoma teritorijos, tūkst. kv. m</t>
  </si>
  <si>
    <t xml:space="preserve">Įsigyta konteinerinių automatinių tualetų, vnt. </t>
  </si>
  <si>
    <t>6</t>
  </si>
  <si>
    <t>SB(SP)</t>
  </si>
  <si>
    <r>
      <t xml:space="preserve">Pajamų įmokos už atsitiktines paslaugas </t>
    </r>
    <r>
      <rPr>
        <b/>
        <sz val="9"/>
        <rFont val="Times New Roman"/>
        <family val="1"/>
      </rPr>
      <t>SB(SP)</t>
    </r>
  </si>
  <si>
    <t>Suvartota el. energijos miesto gatvių apšvietimui ir šviesoforų darbui, GWh</t>
  </si>
  <si>
    <t>Asignavimų poreikis biudžetiniams 2012-iesiems metams</t>
  </si>
  <si>
    <r>
      <t>Klaipėdos</t>
    </r>
    <r>
      <rPr>
        <b/>
        <sz val="10"/>
        <rFont val="Times New Roman"/>
        <family val="1"/>
      </rPr>
      <t xml:space="preserve"> miesto bendro naudojimo teritorijų apšvietimo gerinimo 2008</t>
    </r>
    <r>
      <rPr>
        <b/>
        <sz val="10"/>
        <rFont val="Arial"/>
        <family val="2"/>
      </rPr>
      <t>–</t>
    </r>
    <r>
      <rPr>
        <b/>
        <sz val="10"/>
        <rFont val="Times New Roman"/>
        <family val="1"/>
      </rPr>
      <t>2018 m. programos įgyvendinimas</t>
    </r>
  </si>
  <si>
    <t>Asignavimų poreikis biudžetiniams 
2012-iesiems metams</t>
  </si>
  <si>
    <t>Klaipėdos miesto Joniškės kapinių tvoros rekonstrukcija su kolubariumo įrengimo, prieigų, asfalto takelių sutvarkymo techninio projekto parengimas ir įgyvendinimas</t>
  </si>
  <si>
    <t>Asignavimai biudžetiniams 
2011-iesiems metams</t>
  </si>
  <si>
    <t>Projektas 2014-iesiems metams</t>
  </si>
  <si>
    <t>Teikti miesto gyventojams kokybiškas komunalines ir viešųjų erdvių priežiūros paslaugas</t>
  </si>
  <si>
    <t>Siekti, kad miesto viešosios erdvės būtų tvarkingos, jaukios ir saugios</t>
  </si>
  <si>
    <t xml:space="preserve">Miesto aikščių, skverų ir kitų bendro naudojimo teritorijų priežiūra:
</t>
  </si>
  <si>
    <t>Švaros ir tvarkos užtikrinimas bendro naudojimo teritorijose:</t>
  </si>
  <si>
    <t>Šunų vedžiojimo aikštelių priežiūra ir įrengimas, ekskrementų dėžių pastatymas</t>
  </si>
  <si>
    <t xml:space="preserve">Miesto paplūdimių priežiūros organizavimas:
</t>
  </si>
  <si>
    <t xml:space="preserve">Apšvietimo tinklų ir įrangos eksploatacija, avarinių gedimų likvidavimas ir radiofikacijos linijų remontas </t>
  </si>
  <si>
    <t>09</t>
  </si>
  <si>
    <t>Užtikrinti laidojimo paslaugų teikimą, miesto kapinių priežiūrą ir poreikius atitinkantį laidojimo vietų skaičių</t>
  </si>
  <si>
    <t>Užtikrinti švarą ir tvarką daugiabučių gyvenamųjų namų kvartaluose, skatinti gyventojus renovuoti ir prižiūrėti savo turtą</t>
  </si>
  <si>
    <t>Lietaus ir ūkio nuotekų tinklų paklojimas bei kelio dangų įrengimas Melnragėje</t>
  </si>
  <si>
    <t>P.3.3.2.9.</t>
  </si>
  <si>
    <t>Lėšų poreikis biudžetiniams                      2012-iesiems metams</t>
  </si>
  <si>
    <t>2013-ųjų metų lėšų projektas</t>
  </si>
  <si>
    <t>2014-ųjų metų lėšų projektas</t>
  </si>
  <si>
    <t>Gatvių apšvietimo tinklų ir jų valdymo sistemos modernizavimo, partnerystės galimybių studijos parengimas</t>
  </si>
  <si>
    <t xml:space="preserve">Miesto viešųjų erdvių ir gatvių apšvietimo užtikrinimas:
</t>
  </si>
  <si>
    <r>
      <t xml:space="preserve">Paskolos lėšos </t>
    </r>
    <r>
      <rPr>
        <b/>
        <sz val="9"/>
        <rFont val="Times New Roman"/>
        <family val="1"/>
      </rPr>
      <t xml:space="preserve"> SB(P)</t>
    </r>
  </si>
  <si>
    <t>SB(P)</t>
  </si>
  <si>
    <r>
      <t xml:space="preserve">Kiti finansavimo šaltiniai </t>
    </r>
    <r>
      <rPr>
        <b/>
        <sz val="10"/>
        <rFont val="Times New Roman"/>
        <family val="1"/>
      </rPr>
      <t>Kt</t>
    </r>
  </si>
  <si>
    <t xml:space="preserve"> TIKSLŲ, UŽDAVINIŲ, PRIEMONIŲ IR PRIEMONIŲ IŠLAIDŲ SUVESTINĖ</t>
  </si>
  <si>
    <t>4-ajam uždaviniui</t>
  </si>
  <si>
    <t>Nugriauta pavojingų statinių, vnt.</t>
  </si>
  <si>
    <t>Įrengta laidojimo vietų, tūkst. vnt.</t>
  </si>
  <si>
    <t>2014-ųjų metų planas</t>
  </si>
  <si>
    <t>2010-ųjų metų faktas</t>
  </si>
  <si>
    <t>P-07-01-01-01</t>
  </si>
  <si>
    <t>P-07-01-01-02</t>
  </si>
  <si>
    <t>P-07-01-01-03</t>
  </si>
  <si>
    <t>P-07-01-01-04</t>
  </si>
  <si>
    <t>P-07-01-01-05</t>
  </si>
  <si>
    <t>P-07-01-01-06</t>
  </si>
  <si>
    <t>P-07-01-01-07</t>
  </si>
  <si>
    <t>P-07-01-01-08</t>
  </si>
  <si>
    <t>P-07-01-01-09</t>
  </si>
  <si>
    <t>P-07-01-01-10</t>
  </si>
  <si>
    <t>P-07-01-02-02</t>
  </si>
  <si>
    <t>P-07-01-03-02</t>
  </si>
  <si>
    <t>P-07-01-03-03</t>
  </si>
  <si>
    <t>P-07-01-04-01</t>
  </si>
  <si>
    <t>P-07-01-04-02</t>
  </si>
  <si>
    <t>P-07-01-04-03</t>
  </si>
  <si>
    <t>309</t>
  </si>
  <si>
    <t>2,9</t>
  </si>
  <si>
    <t>Gyventojų, kurie viešųjų erdvių būklę vertina teigiamai, dalis, proc.</t>
  </si>
  <si>
    <t>R-07-01-04</t>
  </si>
  <si>
    <t>n.d.</t>
  </si>
  <si>
    <t>Namų ūkių, kurie naudojasi centralizuotomis nuotekų surinkimo bei tvarkymo paslaugomis, dalis, proc.</t>
  </si>
  <si>
    <t>Suvartota el. energijos miesto gatvių apšvietimui vidutiniškai per metus, KWh vienam šviestuvui</t>
  </si>
  <si>
    <t>Apleistų pastatų skaičius mieste, vnt.</t>
  </si>
  <si>
    <t>R-07-01-05</t>
  </si>
  <si>
    <t>R-07-01-06</t>
  </si>
  <si>
    <t>P5</t>
  </si>
  <si>
    <t>Daugiabučių kiemų prižiūrimi plotai, tūkst. kv. m.</t>
  </si>
  <si>
    <t>2,5</t>
  </si>
  <si>
    <t>250</t>
  </si>
  <si>
    <t>Gėlynų priežiūra, atnaujinimas ir įrengimas;</t>
  </si>
  <si>
    <t>Fontanų priežiūra, remontas ir atnaujinimas;</t>
  </si>
  <si>
    <t>Miesto aikščių, skverų, pėsčiųjų takų dangų einamasis remontas;</t>
  </si>
  <si>
    <t>Paplūdimių sanitarinis ir mechanizuotas valymas;</t>
  </si>
  <si>
    <t>Savivaldybei priskirtų teritorijų sanitarinis valymas, bešeimininkių statinių ir nelegalių objektų nukėlimo bei nugriovimo darbai, parkų, skverų, žaliųjų plotų želdinimas ir aplinkotvarka;</t>
  </si>
  <si>
    <t>Miesto viešųjų tualetų remontas, priežiūra ir nuoma;</t>
  </si>
  <si>
    <t>Naminių gyvūnų (šunų, kačių) indentifikacija, beglobių  gyvūnų gaudymas, karantinavimas ir utilizavimas;</t>
  </si>
  <si>
    <t>Paplūdimių inventoriaus priežiūra ir sutvarkymas;</t>
  </si>
  <si>
    <t>Viešojo tualeto paslaugų teikimas Melnragės paplūdimyje;</t>
  </si>
  <si>
    <t>Skęstančiųjų gelbėjimo paslaugų teikimas (BĮ Klaipėdos skęstančiųjų gelbėjimo tarnybos veiklos organizavimas)</t>
  </si>
  <si>
    <t xml:space="preserve">Elektros energijos įsigijimas miesto viešosioms erdvėms ir gatvėms apšviesti; </t>
  </si>
  <si>
    <r>
      <t xml:space="preserve">Viešųjų tualetų įrengimas ir atnaujinimas 
</t>
    </r>
    <r>
      <rPr>
        <sz val="10"/>
        <rFont val="Times New Roman"/>
        <family val="1"/>
      </rPr>
      <t>(projektas „Mano socialinė atsakomybė (Žmonių su negalia socialinė integracija Latvijoje ir Lietuvoje, įgyvendinant universalaus planavimo (UP) principus ir kuriant naujas socialines paslaugas“)</t>
    </r>
  </si>
  <si>
    <t>Savivaldybės valdomų ar pripažintų bešeimininkiais netinkamų naudoti pastatų griovimas (2012 m. - pastatų Kretingos g. 86 (ES projektas) ir Skerdyklos g. 1 (SB)</t>
  </si>
  <si>
    <t>Miesto kapinių priežiūros organizavimas (valymas, apsauga, administravimas, elektros energijos pirkimas, vandens įrenginių priežiūra, kvartalinių žymeklių įrengimas, kapinių inventorizavimas):</t>
  </si>
  <si>
    <t>Lėbartų kapinių priežiūra;</t>
  </si>
  <si>
    <t>Joniškės kapinių priežiūra;</t>
  </si>
  <si>
    <t>Lėbartų kapinių vandentiekio sistemos remontas;</t>
  </si>
  <si>
    <t>Senųjų (neveikiančių) kapinaičių priežiūra;</t>
  </si>
  <si>
    <t>Mirusių (žuvusių) žmonių palaikų pervežimas iš įvykio vietų, neatpažintų, vienišų ir mirusių, kuriuos artimieji atsisako laidoti, žmonių palaikų laikinas laikymas (saugojimas), palaidojimas savivaldybės lėšomis</t>
  </si>
  <si>
    <r>
      <t>Projekto „Baltijos jūros vandens kokybės gerinimas, vystant vandens nuotekų tinklus“ įgyvendinimas</t>
    </r>
    <r>
      <rPr>
        <sz val="10"/>
        <rFont val="Times New Roman"/>
        <family val="1"/>
      </rPr>
      <t xml:space="preserve"> (siekiant sumažinti teršalų priebėgą Baltijos jūros pietinėje dalyje iš lietaus ir paviršinių nuotekų vandenų, bus rekonstruojama dalis Klaipėdos gatvių lietaus nuotekų surinkimo sistemų)</t>
    </r>
  </si>
  <si>
    <r>
      <t xml:space="preserve">Projekto „Vandentiekio ir nuotekų tinklų plėtra Klaipėdos rajone“ įgyvendinimas  </t>
    </r>
    <r>
      <rPr>
        <sz val="10"/>
        <rFont val="Times New Roman"/>
        <family val="1"/>
      </rPr>
      <t>(Klaipėdos miesto teritorijoje: Paupių ir 2-osios Melnragės kvartaluose)</t>
    </r>
  </si>
  <si>
    <r>
      <t>Projekto „Vandens tiekimo ir nuotekų tvarkymo infrastruktūros plėtra Klaipėdoje“ įgyvendinimas</t>
    </r>
    <r>
      <rPr>
        <sz val="10"/>
        <rFont val="Times New Roman"/>
        <family val="1"/>
      </rPr>
      <t xml:space="preserve"> (Kretingos g. rajone, Tauralaukio gyvenvietės šiaurės rytų rajone, Smeltės gyvenamajame kvartale, Paupių kvartale ir perpektyvinėje miesto teritorijoje į šiaurę nuo Vilniaus pl., Žaliojo Slėnio kvartale ir sodų bendrijoje „Tauras“, Trinyčių kvartale, 1-osios vandenvietės statyba ir rekonstrukcija)</t>
    </r>
  </si>
  <si>
    <t>Įrengta ir atnaujinta viešųjų erdvių mieste, vnt.</t>
  </si>
  <si>
    <t>Namų ūkių, kurie naudojasi centralizuotomis vandentiekio paslaugomis, dalis, proc.</t>
  </si>
  <si>
    <t>Įsteigta DNSB, vnt.</t>
  </si>
  <si>
    <t>1 lentelė</t>
  </si>
  <si>
    <r>
      <t xml:space="preserve">2011-2014 </t>
    </r>
    <r>
      <rPr>
        <sz val="10"/>
        <rFont val="Times New Roman"/>
        <family val="1"/>
      </rPr>
      <t>M.</t>
    </r>
    <r>
      <rPr>
        <sz val="10"/>
        <rFont val="Times New Roman"/>
        <family val="1"/>
      </rPr>
      <t xml:space="preserve"> KLAIPĖDOS MIESTO SAVIVALDYBĖS </t>
    </r>
    <r>
      <rPr>
        <b/>
        <u val="single"/>
        <sz val="10"/>
        <rFont val="Times New Roman"/>
        <family val="1"/>
      </rPr>
      <t xml:space="preserve">
</t>
    </r>
    <r>
      <rPr>
        <b/>
        <u val="single"/>
        <sz val="10"/>
        <rFont val="Times New Roman"/>
        <family val="1"/>
      </rPr>
      <t>MIESTO INFRASTRUKTŪROS OBJEKTŲ PRIEŽIŪROS IR MODERNIZAVIMO PROGRAMOS (NR. 07)</t>
    </r>
  </si>
  <si>
    <r>
      <t>2011</t>
    </r>
    <r>
      <rPr>
        <sz val="10"/>
        <rFont val="Arial"/>
        <family val="2"/>
      </rPr>
      <t>–</t>
    </r>
    <r>
      <rPr>
        <sz val="10"/>
        <rFont val="Times New Roman"/>
        <family val="1"/>
      </rPr>
      <t xml:space="preserve">2014 </t>
    </r>
    <r>
      <rPr>
        <sz val="10"/>
        <rFont val="Times New Roman"/>
        <family val="1"/>
      </rPr>
      <t>M.</t>
    </r>
    <r>
      <rPr>
        <sz val="10"/>
        <rFont val="Times New Roman"/>
        <family val="1"/>
      </rPr>
      <t xml:space="preserve"> KLAIPĖDOS MIESTO SAVIVALDYBĖS </t>
    </r>
    <r>
      <rPr>
        <b/>
        <u val="single"/>
        <sz val="10"/>
        <rFont val="Times New Roman"/>
        <family val="1"/>
      </rPr>
      <t xml:space="preserve">
</t>
    </r>
    <r>
      <rPr>
        <b/>
        <u val="single"/>
        <sz val="10"/>
        <rFont val="Times New Roman"/>
        <family val="1"/>
      </rPr>
      <t>MIESTO INFRASTRUKTŪROS OBJEKTŲ PRIEŽIŪROS IR MODERNIZAVIMO PROGRAMOS (NR. 07)</t>
    </r>
  </si>
  <si>
    <t>TIKSLŲ, UŽDAVINIŲ, PRIEMONIŲ, PRIEMONIŲ IŠLAIDŲ IR PRODUKTŲ VERTINIMO KRITERIJŲ SUVESTINĖ</t>
  </si>
  <si>
    <t>2013-ųjų metų asignavimų planas</t>
  </si>
  <si>
    <t>2014-ųjų metų asignavimų planas</t>
  </si>
  <si>
    <t>Užtikrinti miesto viešų erdvių bei komunalinio ūkio tvarką, priežiūrą ir saugumą</t>
  </si>
  <si>
    <t xml:space="preserve">Gėlynų atnaujinimas ir įrengimas
</t>
  </si>
  <si>
    <t>Fontanų priežiūra, remontas ir atnaujinimas</t>
  </si>
  <si>
    <t>Miesto aikščių, skverų bei pėsčiųjų takų sutvarkymas</t>
  </si>
  <si>
    <t>Savivaldybei priskirtų teritorijų sanitarinis valymas, bešeimininkių statinių ir nelegalių objektų nukėlimo bei nugriovimo darbai, parkų, skverų, žaliųjų plotų želdinimas ir aplinkotvarka</t>
  </si>
  <si>
    <t>Miesto viešųjų tualetų remontas, priežiūra ir nuoma</t>
  </si>
  <si>
    <t>Naminių gyvūnų (šunų, kačių) indentifikacija, beglobių  gyvūnų gaudymas, karantinavimas ir utilizavimas</t>
  </si>
  <si>
    <t xml:space="preserve">Šunų vedžiojimo aikštelių priežiūra ir įrengimas, ekskrementų dėžių pastatymas
</t>
  </si>
  <si>
    <t>Paplūdimių sanitarinis ir mechanizuotas valymas, inventoriaus priežiūra ir sutvarkymas</t>
  </si>
  <si>
    <t>11</t>
  </si>
  <si>
    <t>Viešojo tualeto paslaugų teikimas Melnragės paplūdimyje</t>
  </si>
  <si>
    <t>12</t>
  </si>
  <si>
    <t xml:space="preserve">BĮ Klaipėdos miesto skęstančiųjų gelbėjimo tarnybos veiklos organizavimas </t>
  </si>
  <si>
    <t>SB(SPN)</t>
  </si>
  <si>
    <t>13</t>
  </si>
  <si>
    <t xml:space="preserve">Elektros energijos pirkimas miesto apšvietimui </t>
  </si>
  <si>
    <t xml:space="preserve">Klaipėdos miesto apšvietimo tinklų ir įrangos eksploatacija, avarinių gedimų likvidavimas ir radiofikacijos linijų remontas </t>
  </si>
  <si>
    <t xml:space="preserve">Miesto viešųjų ervių ir gatvių apšvietimo užtikrinimas:
</t>
  </si>
  <si>
    <t>15</t>
  </si>
  <si>
    <t>16</t>
  </si>
  <si>
    <t>P3</t>
  </si>
  <si>
    <t>17</t>
  </si>
  <si>
    <t xml:space="preserve">Viešųjų tualetų įrengimas ir atnaujinimas (projektas "Mano socialinė atsakomybė (Žmonių su negalia socialinė integracija Latvijoje ir Lietuvoje, įgyvendinant universalaus planavimo (UP) principus ir kuriant naujas socialines paslaugas)"
</t>
  </si>
  <si>
    <t>P</t>
  </si>
  <si>
    <t>18</t>
  </si>
  <si>
    <t>Savivaldybei priklausančių netinkamų naudoti pastatų griovimas</t>
  </si>
  <si>
    <t>19</t>
  </si>
  <si>
    <t>Gatvių apšvietimo tinklų ir jų valdymo sistemos modernizavimo, partnerystės galimybių studija</t>
  </si>
  <si>
    <t>Kapinių priežiūra (valymas, apsauga, administravimas, elektros energijos pirkimas, vandens įrenginių priežiūra, kvartalinių žymeklių įrengimas, kapinių inventorizavimas)</t>
  </si>
  <si>
    <t>Senųjų kapinaičių sutvarkymas (aptvėrimas, informacinių stendų įrengimas)</t>
  </si>
  <si>
    <t>Mirusiųjų (žuvusių) žmonių palaikų pervežimas iš įvykio vietų, neatpažintų, vienišų ir mirusių, kuriuos artimieji atsisako laidoti, žmonių palaikų laikinas laikymas (saugojimas), palaidojimas savivaldybės lėšomis</t>
  </si>
  <si>
    <t>Miesto kapinių priežiūros organizavimas(valymas, apsauga, administravimas, elektros energijos pirkimas, vandens įrenginių priežiūra, kvartalinių žymeklių įrengimas, kapinių inventorizavimas):</t>
  </si>
  <si>
    <t xml:space="preserve">Vandens tiekimo ir nuotekų tvarkymo infrastruktūros plėtra Klaipėdoje </t>
  </si>
  <si>
    <t>P2</t>
  </si>
  <si>
    <t>Baltijos jūros vandens kokybės gerinimas, vystant vandens nuotekų tinklus</t>
  </si>
  <si>
    <t>Projekto "Vandentiekio ir nuotekų tinklų plėtra Klaipėdos rajone" įgyvendinimas  (Klaipėdos miesto teritorijoje: Paupių ir II Melnragės kvartaluose)</t>
  </si>
  <si>
    <r>
      <t xml:space="preserve">Pajamų įmokos už patalpų nuomą </t>
    </r>
    <r>
      <rPr>
        <b/>
        <sz val="9"/>
        <rFont val="Times New Roman"/>
        <family val="1"/>
      </rPr>
      <t>SB(SPN)</t>
    </r>
  </si>
  <si>
    <r>
      <t xml:space="preserve">Paskolos lėšos </t>
    </r>
    <r>
      <rPr>
        <b/>
        <sz val="9"/>
        <rFont val="Times New Roman"/>
        <family val="1"/>
      </rPr>
      <t>P</t>
    </r>
  </si>
  <si>
    <r>
      <t xml:space="preserve">Funkcinės klasifikacijos kodas </t>
    </r>
    <r>
      <rPr>
        <sz val="9"/>
        <rFont val="Times New Roman"/>
        <family val="1"/>
      </rPr>
      <t xml:space="preserve"> </t>
    </r>
  </si>
  <si>
    <r>
      <t xml:space="preserve">2.1.5. Savivaldybės privatizavimo fondo lėšos </t>
    </r>
    <r>
      <rPr>
        <b/>
        <sz val="10"/>
        <rFont val="Times New Roman"/>
        <family val="1"/>
      </rPr>
      <t>PF</t>
    </r>
  </si>
  <si>
    <r>
      <t xml:space="preserve">2.1.1. </t>
    </r>
    <r>
      <rPr>
        <sz val="10"/>
        <rFont val="Times New Roman"/>
        <family val="1"/>
      </rPr>
      <t>savivaldybės</t>
    </r>
    <r>
      <rPr>
        <sz val="10"/>
        <rFont val="Times New Roman"/>
        <family val="1"/>
      </rPr>
      <t xml:space="preserve"> biudžeto lėšos </t>
    </r>
    <r>
      <rPr>
        <b/>
        <sz val="10"/>
        <rFont val="Times New Roman"/>
        <family val="1"/>
      </rPr>
      <t>SB</t>
    </r>
  </si>
  <si>
    <r>
      <t xml:space="preserve">2.1.2. pajamų įmokos už atsitiktines paslaugas </t>
    </r>
    <r>
      <rPr>
        <b/>
        <sz val="10"/>
        <rFont val="Times New Roman"/>
        <family val="1"/>
      </rPr>
      <t>SB(SP)</t>
    </r>
  </si>
  <si>
    <r>
      <t xml:space="preserve">2.1.3. daugiabučių namų savininkų bendrijų fondo lėšos </t>
    </r>
    <r>
      <rPr>
        <b/>
        <sz val="10"/>
        <rFont val="Times New Roman"/>
        <family val="1"/>
      </rPr>
      <t>SB(F)</t>
    </r>
  </si>
  <si>
    <r>
      <t xml:space="preserve">2.1.4. paskolos lėšos </t>
    </r>
    <r>
      <rPr>
        <b/>
        <sz val="10"/>
        <rFont val="Times New Roman"/>
        <family val="1"/>
      </rPr>
      <t>SB(P)</t>
    </r>
  </si>
  <si>
    <t>Inžinerinės infrastruktūros statyba Dienovidžio ir Užlaukio gatvėse</t>
  </si>
  <si>
    <t>P.2.4.4.</t>
  </si>
  <si>
    <t>Atsinaujinančių išteklių energijos (AIE) naudojimo plėtros veiksmų plano parengimas</t>
  </si>
  <si>
    <t>P-07-01-04-04</t>
  </si>
  <si>
    <t>Parengtas AEI naudojimo plėtros veiksmų planas</t>
  </si>
  <si>
    <t>Asignavimai biudžetiniams                        2011-iesiems metams</t>
  </si>
  <si>
    <t>Asignavimai 2011-iesiems metams</t>
  </si>
  <si>
    <t>2012-ųjų  asignavimų planas</t>
  </si>
</sst>
</file>

<file path=xl/styles.xml><?xml version="1.0" encoding="utf-8"?>
<styleSheet xmlns="http://schemas.openxmlformats.org/spreadsheetml/2006/main">
  <numFmts count="4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"/>
    <numFmt numFmtId="194" formatCode="[$-427]yyyy\ &quot;m.&quot;\ mmmm\ d\ &quot;d.&quot;"/>
    <numFmt numFmtId="195" formatCode="#,##0.0"/>
    <numFmt numFmtId="196" formatCode="&quot;Taip&quot;;&quot;Taip&quot;;&quot;Ne&quot;"/>
    <numFmt numFmtId="197" formatCode="&quot;Teisinga&quot;;&quot;Teisinga&quot;;&quot;Klaidinga&quot;"/>
    <numFmt numFmtId="198" formatCode="[$€-2]\ ###,000_);[Red]\([$€-2]\ ###,000\)"/>
    <numFmt numFmtId="199" formatCode="0.0E+00"/>
    <numFmt numFmtId="200" formatCode="_-* #,##0.000\ _L_t_-;\-* #,##0.000\ _L_t_-;_-* &quot;-&quot;??\ _L_t_-;_-@_-"/>
    <numFmt numFmtId="201" formatCode="_-* #,##0.0000\ _L_t_-;\-* #,##0.0000\ _L_t_-;_-* &quot;-&quot;??\ _L_t_-;_-@_-"/>
  </numFmts>
  <fonts count="50">
    <font>
      <sz val="10"/>
      <name val="Arial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 Baltic"/>
      <family val="1"/>
    </font>
    <font>
      <sz val="10"/>
      <name val="TimesLT"/>
      <family val="0"/>
    </font>
    <font>
      <sz val="12"/>
      <name val="Arial"/>
      <family val="2"/>
    </font>
    <font>
      <b/>
      <sz val="11"/>
      <name val="Times New Roman Baltic"/>
      <family val="1"/>
    </font>
    <font>
      <b/>
      <sz val="8"/>
      <name val="Times New Roman Baltic"/>
      <family val="1"/>
    </font>
    <font>
      <b/>
      <sz val="10"/>
      <name val="Times New Roman Baltic"/>
      <family val="1"/>
    </font>
    <font>
      <sz val="10"/>
      <name val="Times New Roman Baltic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b/>
      <sz val="10"/>
      <name val="Arial"/>
      <family val="2"/>
    </font>
    <font>
      <sz val="9"/>
      <name val="Times New Roman Baltic"/>
      <family val="1"/>
    </font>
    <font>
      <sz val="9"/>
      <name val="Arial"/>
      <family val="2"/>
    </font>
    <font>
      <b/>
      <u val="single"/>
      <sz val="11"/>
      <name val="Times New Roman"/>
      <family val="1"/>
    </font>
    <font>
      <sz val="7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16" borderId="4" applyNumberFormat="0" applyAlignment="0" applyProtection="0"/>
    <xf numFmtId="0" fontId="39" fillId="7" borderId="5" applyNumberFormat="0" applyAlignment="0" applyProtection="0"/>
    <xf numFmtId="0" fontId="40" fillId="17" borderId="0" applyNumberFormat="0" applyBorder="0" applyAlignment="0" applyProtection="0"/>
    <xf numFmtId="0" fontId="14" fillId="0" borderId="0">
      <alignment/>
      <protection/>
    </xf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16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23" borderId="9" applyNumberFormat="0" applyAlignment="0" applyProtection="0"/>
  </cellStyleXfs>
  <cellXfs count="1084">
    <xf numFmtId="0" fontId="0" fillId="0" borderId="0" xfId="0" applyAlignment="1">
      <alignment/>
    </xf>
    <xf numFmtId="49" fontId="1" fillId="4" borderId="10" xfId="0" applyNumberFormat="1" applyFont="1" applyFill="1" applyBorder="1" applyAlignment="1">
      <alignment horizontal="center" vertical="top"/>
    </xf>
    <xf numFmtId="0" fontId="8" fillId="0" borderId="0" xfId="0" applyFont="1" applyAlignment="1">
      <alignment vertical="top"/>
    </xf>
    <xf numFmtId="49" fontId="7" fillId="0" borderId="11" xfId="0" applyNumberFormat="1" applyFont="1" applyFill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188" fontId="2" fillId="0" borderId="0" xfId="0" applyNumberFormat="1" applyFont="1" applyFill="1" applyBorder="1" applyAlignment="1">
      <alignment horizontal="center" vertical="top"/>
    </xf>
    <xf numFmtId="188" fontId="2" fillId="0" borderId="0" xfId="0" applyNumberFormat="1" applyFont="1" applyFill="1" applyBorder="1" applyAlignment="1">
      <alignment horizontal="right" vertical="top"/>
    </xf>
    <xf numFmtId="188" fontId="11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49" fontId="1" fillId="0" borderId="0" xfId="0" applyNumberFormat="1" applyFont="1" applyFill="1" applyBorder="1" applyAlignment="1">
      <alignment horizontal="right" vertical="top"/>
    </xf>
    <xf numFmtId="49" fontId="7" fillId="0" borderId="0" xfId="0" applyNumberFormat="1" applyFont="1" applyFill="1" applyBorder="1" applyAlignment="1">
      <alignment horizontal="right"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1" fillId="4" borderId="12" xfId="0" applyNumberFormat="1" applyFont="1" applyFill="1" applyBorder="1" applyAlignment="1">
      <alignment horizontal="center" vertical="top"/>
    </xf>
    <xf numFmtId="0" fontId="9" fillId="0" borderId="0" xfId="0" applyFont="1" applyAlignment="1">
      <alignment/>
    </xf>
    <xf numFmtId="49" fontId="1" fillId="4" borderId="13" xfId="0" applyNumberFormat="1" applyFont="1" applyFill="1" applyBorder="1" applyAlignment="1">
      <alignment vertical="top"/>
    </xf>
    <xf numFmtId="49" fontId="1" fillId="8" borderId="14" xfId="0" applyNumberFormat="1" applyFont="1" applyFill="1" applyBorder="1" applyAlignment="1">
      <alignment horizontal="center" vertical="top"/>
    </xf>
    <xf numFmtId="188" fontId="1" fillId="0" borderId="0" xfId="0" applyNumberFormat="1" applyFont="1" applyFill="1" applyBorder="1" applyAlignment="1">
      <alignment horizontal="center" vertical="top" wrapText="1"/>
    </xf>
    <xf numFmtId="49" fontId="1" fillId="8" borderId="14" xfId="0" applyNumberFormat="1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 wrapText="1"/>
    </xf>
    <xf numFmtId="49" fontId="1" fillId="8" borderId="16" xfId="0" applyNumberFormat="1" applyFont="1" applyFill="1" applyBorder="1" applyAlignment="1">
      <alignment horizontal="left" vertical="top"/>
    </xf>
    <xf numFmtId="49" fontId="1" fillId="8" borderId="14" xfId="0" applyNumberFormat="1" applyFont="1" applyFill="1" applyBorder="1" applyAlignment="1">
      <alignment horizontal="left" vertical="top"/>
    </xf>
    <xf numFmtId="49" fontId="1" fillId="24" borderId="14" xfId="0" applyNumberFormat="1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0" fontId="3" fillId="0" borderId="24" xfId="0" applyFont="1" applyBorder="1" applyAlignment="1">
      <alignment horizontal="left" vertical="top" wrapText="1" indent="2"/>
    </xf>
    <xf numFmtId="0" fontId="3" fillId="0" borderId="25" xfId="0" applyFont="1" applyBorder="1" applyAlignment="1">
      <alignment horizontal="left" vertical="top" wrapText="1" indent="2"/>
    </xf>
    <xf numFmtId="0" fontId="3" fillId="0" borderId="26" xfId="0" applyFont="1" applyBorder="1" applyAlignment="1">
      <alignment horizontal="left" vertical="top" wrapText="1" indent="2"/>
    </xf>
    <xf numFmtId="0" fontId="3" fillId="0" borderId="27" xfId="0" applyFont="1" applyBorder="1" applyAlignment="1">
      <alignment horizontal="left" vertical="top" wrapText="1" indent="2"/>
    </xf>
    <xf numFmtId="0" fontId="2" fillId="0" borderId="25" xfId="0" applyFont="1" applyBorder="1" applyAlignment="1">
      <alignment horizontal="left" vertical="top" wrapText="1" indent="1"/>
    </xf>
    <xf numFmtId="0" fontId="2" fillId="24" borderId="28" xfId="0" applyFont="1" applyFill="1" applyBorder="1" applyAlignment="1">
      <alignment horizontal="right" vertical="center" wrapText="1"/>
    </xf>
    <xf numFmtId="0" fontId="2" fillId="24" borderId="28" xfId="0" applyFont="1" applyFill="1" applyBorder="1" applyAlignment="1">
      <alignment horizontal="right" vertical="top" wrapText="1"/>
    </xf>
    <xf numFmtId="0" fontId="7" fillId="0" borderId="29" xfId="0" applyFont="1" applyBorder="1" applyAlignment="1">
      <alignment horizontal="center" vertical="top"/>
    </xf>
    <xf numFmtId="188" fontId="0" fillId="0" borderId="0" xfId="0" applyNumberFormat="1" applyFont="1" applyAlignment="1">
      <alignment/>
    </xf>
    <xf numFmtId="49" fontId="7" fillId="0" borderId="15" xfId="0" applyNumberFormat="1" applyFont="1" applyFill="1" applyBorder="1" applyAlignment="1">
      <alignment horizontal="center" vertical="top"/>
    </xf>
    <xf numFmtId="0" fontId="13" fillId="0" borderId="0" xfId="50" applyFont="1" applyAlignment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0" xfId="50" applyFont="1" applyBorder="1" applyAlignment="1">
      <alignment horizontal="center" vertical="center" wrapText="1"/>
      <protection/>
    </xf>
    <xf numFmtId="0" fontId="2" fillId="0" borderId="30" xfId="0" applyFont="1" applyBorder="1" applyAlignment="1">
      <alignment horizontal="center" wrapText="1"/>
    </xf>
    <xf numFmtId="0" fontId="9" fillId="0" borderId="30" xfId="0" applyFont="1" applyBorder="1" applyAlignment="1">
      <alignment horizontal="center"/>
    </xf>
    <xf numFmtId="49" fontId="12" fillId="0" borderId="3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top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6" fillId="0" borderId="0" xfId="50" applyFont="1" applyAlignment="1">
      <alignment horizontal="center" vertical="center" wrapText="1"/>
      <protection/>
    </xf>
    <xf numFmtId="49" fontId="17" fillId="0" borderId="0" xfId="50" applyNumberFormat="1" applyFont="1" applyAlignment="1" applyProtection="1">
      <alignment horizontal="center" vertical="top"/>
      <protection/>
    </xf>
    <xf numFmtId="0" fontId="18" fillId="0" borderId="0" xfId="50" applyFont="1">
      <alignment/>
      <protection/>
    </xf>
    <xf numFmtId="0" fontId="19" fillId="0" borderId="11" xfId="50" applyFont="1" applyBorder="1" applyAlignment="1">
      <alignment horizontal="left"/>
      <protection/>
    </xf>
    <xf numFmtId="49" fontId="19" fillId="0" borderId="11" xfId="50" applyNumberFormat="1" applyFont="1" applyBorder="1" applyAlignment="1">
      <alignment horizontal="left"/>
      <protection/>
    </xf>
    <xf numFmtId="0" fontId="19" fillId="0" borderId="11" xfId="50" applyFont="1" applyBorder="1" applyAlignment="1">
      <alignment horizontal="center"/>
      <protection/>
    </xf>
    <xf numFmtId="0" fontId="18" fillId="0" borderId="0" xfId="50" applyFont="1" applyAlignment="1">
      <alignment horizontal="center"/>
      <protection/>
    </xf>
    <xf numFmtId="49" fontId="19" fillId="0" borderId="34" xfId="50" applyNumberFormat="1" applyFont="1" applyBorder="1" applyAlignment="1">
      <alignment horizontal="center"/>
      <protection/>
    </xf>
    <xf numFmtId="49" fontId="1" fillId="4" borderId="10" xfId="0" applyNumberFormat="1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  <xf numFmtId="0" fontId="7" fillId="0" borderId="35" xfId="0" applyFont="1" applyFill="1" applyBorder="1" applyAlignment="1">
      <alignment horizontal="center" vertical="top"/>
    </xf>
    <xf numFmtId="0" fontId="7" fillId="0" borderId="0" xfId="0" applyFont="1" applyBorder="1" applyAlignment="1">
      <alignment vertical="top" wrapText="1"/>
    </xf>
    <xf numFmtId="0" fontId="7" fillId="0" borderId="22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8" fillId="0" borderId="36" xfId="0" applyFont="1" applyBorder="1" applyAlignment="1">
      <alignment horizontal="center" vertical="center" textRotation="90" wrapText="1"/>
    </xf>
    <xf numFmtId="0" fontId="8" fillId="0" borderId="36" xfId="0" applyFont="1" applyFill="1" applyBorder="1" applyAlignment="1">
      <alignment horizontal="center" vertical="center" textRotation="90" wrapText="1"/>
    </xf>
    <xf numFmtId="0" fontId="7" fillId="0" borderId="21" xfId="0" applyFont="1" applyFill="1" applyBorder="1" applyAlignment="1">
      <alignment horizontal="center" vertical="top" wrapText="1"/>
    </xf>
    <xf numFmtId="0" fontId="2" fillId="0" borderId="37" xfId="0" applyFont="1" applyBorder="1" applyAlignment="1">
      <alignment horizontal="left" vertical="top" wrapText="1" indent="1"/>
    </xf>
    <xf numFmtId="0" fontId="12" fillId="0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0" fontId="7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7" fillId="0" borderId="35" xfId="0" applyFont="1" applyFill="1" applyBorder="1" applyAlignment="1">
      <alignment horizontal="center" vertical="top" wrapText="1"/>
    </xf>
    <xf numFmtId="0" fontId="3" fillId="0" borderId="38" xfId="0" applyFont="1" applyBorder="1" applyAlignment="1">
      <alignment horizontal="left" vertical="top" wrapText="1" indent="2"/>
    </xf>
    <xf numFmtId="0" fontId="3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188" fontId="2" fillId="0" borderId="0" xfId="0" applyNumberFormat="1" applyFont="1" applyFill="1" applyBorder="1" applyAlignment="1">
      <alignment horizontal="center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0" fillId="0" borderId="39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2" fillId="0" borderId="11" xfId="50" applyFont="1" applyBorder="1" applyAlignment="1">
      <alignment horizontal="left" vertical="top" wrapText="1"/>
      <protection/>
    </xf>
    <xf numFmtId="0" fontId="3" fillId="0" borderId="40" xfId="50" applyFont="1" applyBorder="1" applyAlignment="1">
      <alignment horizontal="center" vertical="top"/>
      <protection/>
    </xf>
    <xf numFmtId="0" fontId="3" fillId="0" borderId="11" xfId="50" applyFont="1" applyBorder="1" applyAlignment="1">
      <alignment horizontal="center" vertical="top"/>
      <protection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0" fontId="2" fillId="0" borderId="11" xfId="50" applyFont="1" applyBorder="1" applyAlignment="1">
      <alignment horizontal="left" vertical="top" wrapText="1"/>
      <protection/>
    </xf>
    <xf numFmtId="0" fontId="23" fillId="0" borderId="11" xfId="50" applyFont="1" applyBorder="1" applyAlignment="1">
      <alignment horizontal="left" vertical="top" wrapText="1"/>
      <protection/>
    </xf>
    <xf numFmtId="49" fontId="3" fillId="0" borderId="11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/>
    </xf>
    <xf numFmtId="0" fontId="3" fillId="0" borderId="0" xfId="50" applyFont="1" applyBorder="1" applyAlignment="1">
      <alignment horizontal="left" vertical="top" wrapText="1"/>
      <protection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/>
    </xf>
    <xf numFmtId="0" fontId="3" fillId="0" borderId="11" xfId="50" applyFont="1" applyBorder="1" applyAlignment="1">
      <alignment horizontal="left" vertical="top" wrapText="1"/>
      <protection/>
    </xf>
    <xf numFmtId="49" fontId="3" fillId="0" borderId="11" xfId="0" applyNumberFormat="1" applyFont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vertical="top" wrapText="1"/>
    </xf>
    <xf numFmtId="188" fontId="0" fillId="0" borderId="0" xfId="0" applyNumberFormat="1" applyFont="1" applyFill="1" applyAlignment="1">
      <alignment/>
    </xf>
    <xf numFmtId="0" fontId="7" fillId="0" borderId="22" xfId="0" applyFont="1" applyFill="1" applyBorder="1" applyAlignment="1">
      <alignment horizontal="center" vertical="top"/>
    </xf>
    <xf numFmtId="0" fontId="19" fillId="0" borderId="40" xfId="50" applyFont="1" applyBorder="1" applyAlignment="1">
      <alignment horizontal="left"/>
      <protection/>
    </xf>
    <xf numFmtId="0" fontId="7" fillId="0" borderId="29" xfId="0" applyFont="1" applyFill="1" applyBorder="1" applyAlignment="1">
      <alignment horizontal="center" vertical="top" wrapText="1"/>
    </xf>
    <xf numFmtId="188" fontId="7" fillId="0" borderId="41" xfId="0" applyNumberFormat="1" applyFont="1" applyFill="1" applyBorder="1" applyAlignment="1">
      <alignment horizontal="right" vertical="top"/>
    </xf>
    <xf numFmtId="188" fontId="7" fillId="0" borderId="42" xfId="0" applyNumberFormat="1" applyFont="1" applyFill="1" applyBorder="1" applyAlignment="1">
      <alignment horizontal="right" vertical="top"/>
    </xf>
    <xf numFmtId="188" fontId="7" fillId="0" borderId="43" xfId="0" applyNumberFormat="1" applyFont="1" applyFill="1" applyBorder="1" applyAlignment="1">
      <alignment horizontal="right" vertical="top"/>
    </xf>
    <xf numFmtId="188" fontId="7" fillId="0" borderId="21" xfId="0" applyNumberFormat="1" applyFont="1" applyFill="1" applyBorder="1" applyAlignment="1">
      <alignment horizontal="right" vertical="top" wrapText="1"/>
    </xf>
    <xf numFmtId="188" fontId="7" fillId="0" borderId="21" xfId="0" applyNumberFormat="1" applyFont="1" applyFill="1" applyBorder="1" applyAlignment="1">
      <alignment horizontal="right" vertical="top"/>
    </xf>
    <xf numFmtId="188" fontId="7" fillId="0" borderId="26" xfId="0" applyNumberFormat="1" applyFont="1" applyFill="1" applyBorder="1" applyAlignment="1">
      <alignment horizontal="right" vertical="top"/>
    </xf>
    <xf numFmtId="188" fontId="7" fillId="0" borderId="30" xfId="0" applyNumberFormat="1" applyFont="1" applyFill="1" applyBorder="1" applyAlignment="1">
      <alignment horizontal="right" vertical="top"/>
    </xf>
    <xf numFmtId="188" fontId="7" fillId="0" borderId="44" xfId="0" applyNumberFormat="1" applyFont="1" applyFill="1" applyBorder="1" applyAlignment="1">
      <alignment horizontal="right" vertical="top"/>
    </xf>
    <xf numFmtId="188" fontId="7" fillId="0" borderId="15" xfId="0" applyNumberFormat="1" applyFont="1" applyFill="1" applyBorder="1" applyAlignment="1">
      <alignment horizontal="right" vertical="top" wrapText="1"/>
    </xf>
    <xf numFmtId="188" fontId="7" fillId="0" borderId="15" xfId="0" applyNumberFormat="1" applyFont="1" applyFill="1" applyBorder="1" applyAlignment="1">
      <alignment horizontal="right" vertical="top"/>
    </xf>
    <xf numFmtId="188" fontId="7" fillId="0" borderId="42" xfId="0" applyNumberFormat="1" applyFont="1" applyFill="1" applyBorder="1" applyAlignment="1">
      <alignment horizontal="right" vertical="top"/>
    </xf>
    <xf numFmtId="188" fontId="7" fillId="0" borderId="43" xfId="0" applyNumberFormat="1" applyFont="1" applyFill="1" applyBorder="1" applyAlignment="1">
      <alignment horizontal="right" vertical="top"/>
    </xf>
    <xf numFmtId="188" fontId="7" fillId="0" borderId="42" xfId="0" applyNumberFormat="1" applyFont="1" applyBorder="1" applyAlignment="1">
      <alignment horizontal="right" vertical="top"/>
    </xf>
    <xf numFmtId="188" fontId="1" fillId="0" borderId="42" xfId="0" applyNumberFormat="1" applyFont="1" applyFill="1" applyBorder="1" applyAlignment="1">
      <alignment horizontal="right" vertical="top"/>
    </xf>
    <xf numFmtId="188" fontId="1" fillId="0" borderId="45" xfId="0" applyNumberFormat="1" applyFont="1" applyFill="1" applyBorder="1" applyAlignment="1">
      <alignment horizontal="right" vertical="top"/>
    </xf>
    <xf numFmtId="188" fontId="7" fillId="0" borderId="46" xfId="0" applyNumberFormat="1" applyFont="1" applyFill="1" applyBorder="1" applyAlignment="1">
      <alignment horizontal="right" vertical="top"/>
    </xf>
    <xf numFmtId="188" fontId="7" fillId="0" borderId="21" xfId="0" applyNumberFormat="1" applyFont="1" applyFill="1" applyBorder="1" applyAlignment="1">
      <alignment horizontal="right" vertical="top"/>
    </xf>
    <xf numFmtId="188" fontId="7" fillId="0" borderId="39" xfId="0" applyNumberFormat="1" applyFont="1" applyFill="1" applyBorder="1" applyAlignment="1">
      <alignment horizontal="right" vertical="center"/>
    </xf>
    <xf numFmtId="188" fontId="7" fillId="0" borderId="39" xfId="0" applyNumberFormat="1" applyFont="1" applyFill="1" applyBorder="1" applyAlignment="1">
      <alignment horizontal="right" vertical="center"/>
    </xf>
    <xf numFmtId="188" fontId="7" fillId="0" borderId="47" xfId="0" applyNumberFormat="1" applyFont="1" applyFill="1" applyBorder="1" applyAlignment="1">
      <alignment horizontal="right" vertical="center"/>
    </xf>
    <xf numFmtId="188" fontId="7" fillId="0" borderId="48" xfId="0" applyNumberFormat="1" applyFont="1" applyFill="1" applyBorder="1" applyAlignment="1">
      <alignment horizontal="right" vertical="center"/>
    </xf>
    <xf numFmtId="188" fontId="7" fillId="0" borderId="22" xfId="0" applyNumberFormat="1" applyFont="1" applyFill="1" applyBorder="1" applyAlignment="1">
      <alignment horizontal="right" vertical="center" wrapText="1"/>
    </xf>
    <xf numFmtId="188" fontId="7" fillId="0" borderId="22" xfId="0" applyNumberFormat="1" applyFont="1" applyFill="1" applyBorder="1" applyAlignment="1">
      <alignment horizontal="right" vertical="center"/>
    </xf>
    <xf numFmtId="188" fontId="7" fillId="0" borderId="45" xfId="0" applyNumberFormat="1" applyFont="1" applyFill="1" applyBorder="1" applyAlignment="1">
      <alignment horizontal="right" vertical="top"/>
    </xf>
    <xf numFmtId="188" fontId="7" fillId="0" borderId="21" xfId="0" applyNumberFormat="1" applyFont="1" applyBorder="1" applyAlignment="1">
      <alignment horizontal="right" vertical="top"/>
    </xf>
    <xf numFmtId="188" fontId="7" fillId="0" borderId="49" xfId="0" applyNumberFormat="1" applyFont="1" applyFill="1" applyBorder="1" applyAlignment="1">
      <alignment horizontal="right" vertical="top"/>
    </xf>
    <xf numFmtId="188" fontId="7" fillId="0" borderId="33" xfId="0" applyNumberFormat="1" applyFont="1" applyFill="1" applyBorder="1" applyAlignment="1">
      <alignment horizontal="right" vertical="top"/>
    </xf>
    <xf numFmtId="188" fontId="7" fillId="0" borderId="32" xfId="0" applyNumberFormat="1" applyFont="1" applyFill="1" applyBorder="1" applyAlignment="1">
      <alignment horizontal="right" vertical="top"/>
    </xf>
    <xf numFmtId="188" fontId="7" fillId="0" borderId="32" xfId="0" applyNumberFormat="1" applyFont="1" applyBorder="1" applyAlignment="1">
      <alignment horizontal="right" vertical="top"/>
    </xf>
    <xf numFmtId="188" fontId="7" fillId="0" borderId="29" xfId="0" applyNumberFormat="1" applyFont="1" applyBorder="1" applyAlignment="1">
      <alignment horizontal="right" vertical="top"/>
    </xf>
    <xf numFmtId="188" fontId="7" fillId="0" borderId="30" xfId="0" applyNumberFormat="1" applyFont="1" applyFill="1" applyBorder="1" applyAlignment="1">
      <alignment horizontal="right" vertical="top"/>
    </xf>
    <xf numFmtId="188" fontId="7" fillId="0" borderId="44" xfId="0" applyNumberFormat="1" applyFont="1" applyFill="1" applyBorder="1" applyAlignment="1">
      <alignment horizontal="right" vertical="top"/>
    </xf>
    <xf numFmtId="188" fontId="1" fillId="0" borderId="30" xfId="0" applyNumberFormat="1" applyFont="1" applyFill="1" applyBorder="1" applyAlignment="1">
      <alignment horizontal="right" vertical="top"/>
    </xf>
    <xf numFmtId="188" fontId="7" fillId="0" borderId="31" xfId="0" applyNumberFormat="1" applyFont="1" applyFill="1" applyBorder="1" applyAlignment="1">
      <alignment horizontal="right" vertical="top"/>
    </xf>
    <xf numFmtId="188" fontId="7" fillId="0" borderId="39" xfId="0" applyNumberFormat="1" applyFont="1" applyFill="1" applyBorder="1" applyAlignment="1">
      <alignment horizontal="right" vertical="top"/>
    </xf>
    <xf numFmtId="188" fontId="7" fillId="0" borderId="47" xfId="0" applyNumberFormat="1" applyFont="1" applyFill="1" applyBorder="1" applyAlignment="1">
      <alignment horizontal="right" vertical="top"/>
    </xf>
    <xf numFmtId="188" fontId="7" fillId="0" borderId="29" xfId="0" applyNumberFormat="1" applyFont="1" applyFill="1" applyBorder="1" applyAlignment="1">
      <alignment horizontal="right" vertical="top"/>
    </xf>
    <xf numFmtId="188" fontId="7" fillId="0" borderId="22" xfId="0" applyNumberFormat="1" applyFont="1" applyFill="1" applyBorder="1" applyAlignment="1">
      <alignment horizontal="right" vertical="top"/>
    </xf>
    <xf numFmtId="188" fontId="1" fillId="4" borderId="14" xfId="0" applyNumberFormat="1" applyFont="1" applyFill="1" applyBorder="1" applyAlignment="1">
      <alignment horizontal="right" vertical="top"/>
    </xf>
    <xf numFmtId="188" fontId="7" fillId="0" borderId="46" xfId="0" applyNumberFormat="1" applyFont="1" applyFill="1" applyBorder="1" applyAlignment="1">
      <alignment horizontal="right" vertical="top" wrapText="1"/>
    </xf>
    <xf numFmtId="188" fontId="7" fillId="0" borderId="25" xfId="0" applyNumberFormat="1" applyFont="1" applyFill="1" applyBorder="1" applyAlignment="1">
      <alignment horizontal="right" vertical="top"/>
    </xf>
    <xf numFmtId="188" fontId="7" fillId="0" borderId="39" xfId="0" applyNumberFormat="1" applyFont="1" applyFill="1" applyBorder="1" applyAlignment="1">
      <alignment horizontal="right" vertical="top"/>
    </xf>
    <xf numFmtId="188" fontId="7" fillId="0" borderId="47" xfId="0" applyNumberFormat="1" applyFont="1" applyFill="1" applyBorder="1" applyAlignment="1">
      <alignment horizontal="right" vertical="top"/>
    </xf>
    <xf numFmtId="188" fontId="7" fillId="0" borderId="48" xfId="0" applyNumberFormat="1" applyFont="1" applyFill="1" applyBorder="1" applyAlignment="1">
      <alignment horizontal="right" vertical="top"/>
    </xf>
    <xf numFmtId="188" fontId="7" fillId="0" borderId="50" xfId="0" applyNumberFormat="1" applyFont="1" applyFill="1" applyBorder="1" applyAlignment="1">
      <alignment horizontal="right" vertical="top" wrapText="1"/>
    </xf>
    <xf numFmtId="188" fontId="7" fillId="0" borderId="42" xfId="0" applyNumberFormat="1" applyFont="1" applyBorder="1" applyAlignment="1">
      <alignment horizontal="right" vertical="top"/>
    </xf>
    <xf numFmtId="188" fontId="1" fillId="0" borderId="42" xfId="0" applyNumberFormat="1" applyFont="1" applyFill="1" applyBorder="1" applyAlignment="1">
      <alignment horizontal="right" vertical="top"/>
    </xf>
    <xf numFmtId="188" fontId="7" fillId="0" borderId="46" xfId="0" applyNumberFormat="1" applyFont="1" applyFill="1" applyBorder="1" applyAlignment="1">
      <alignment horizontal="right" vertical="top"/>
    </xf>
    <xf numFmtId="188" fontId="1" fillId="0" borderId="39" xfId="0" applyNumberFormat="1" applyFont="1" applyFill="1" applyBorder="1" applyAlignment="1">
      <alignment horizontal="right" vertical="top"/>
    </xf>
    <xf numFmtId="188" fontId="7" fillId="0" borderId="50" xfId="0" applyNumberFormat="1" applyFont="1" applyFill="1" applyBorder="1" applyAlignment="1">
      <alignment horizontal="right" vertical="top"/>
    </xf>
    <xf numFmtId="188" fontId="1" fillId="0" borderId="45" xfId="0" applyNumberFormat="1" applyFont="1" applyFill="1" applyBorder="1" applyAlignment="1">
      <alignment horizontal="right" vertical="top"/>
    </xf>
    <xf numFmtId="188" fontId="1" fillId="0" borderId="46" xfId="0" applyNumberFormat="1" applyFont="1" applyFill="1" applyBorder="1" applyAlignment="1">
      <alignment horizontal="right" vertical="top"/>
    </xf>
    <xf numFmtId="188" fontId="1" fillId="0" borderId="30" xfId="0" applyNumberFormat="1" applyFont="1" applyFill="1" applyBorder="1" applyAlignment="1">
      <alignment horizontal="right" vertical="top"/>
    </xf>
    <xf numFmtId="188" fontId="1" fillId="0" borderId="31" xfId="0" applyNumberFormat="1" applyFont="1" applyFill="1" applyBorder="1" applyAlignment="1">
      <alignment horizontal="right" vertical="top"/>
    </xf>
    <xf numFmtId="188" fontId="1" fillId="0" borderId="32" xfId="0" applyNumberFormat="1" applyFont="1" applyFill="1" applyBorder="1" applyAlignment="1">
      <alignment horizontal="right" vertical="top"/>
    </xf>
    <xf numFmtId="188" fontId="7" fillId="0" borderId="45" xfId="0" applyNumberFormat="1" applyFont="1" applyFill="1" applyBorder="1" applyAlignment="1">
      <alignment horizontal="right" vertical="top"/>
    </xf>
    <xf numFmtId="188" fontId="7" fillId="0" borderId="31" xfId="0" applyNumberFormat="1" applyFont="1" applyFill="1" applyBorder="1" applyAlignment="1">
      <alignment horizontal="right" vertical="top"/>
    </xf>
    <xf numFmtId="188" fontId="7" fillId="0" borderId="48" xfId="0" applyNumberFormat="1" applyFont="1" applyFill="1" applyBorder="1" applyAlignment="1">
      <alignment horizontal="right" vertical="top"/>
    </xf>
    <xf numFmtId="188" fontId="7" fillId="0" borderId="34" xfId="0" applyNumberFormat="1" applyFont="1" applyFill="1" applyBorder="1" applyAlignment="1">
      <alignment horizontal="right" vertical="top"/>
    </xf>
    <xf numFmtId="188" fontId="7" fillId="0" borderId="30" xfId="0" applyNumberFormat="1" applyFont="1" applyFill="1" applyBorder="1" applyAlignment="1">
      <alignment horizontal="right" vertical="center"/>
    </xf>
    <xf numFmtId="188" fontId="7" fillId="0" borderId="44" xfId="0" applyNumberFormat="1" applyFont="1" applyFill="1" applyBorder="1" applyAlignment="1">
      <alignment horizontal="right" vertical="center"/>
    </xf>
    <xf numFmtId="188" fontId="7" fillId="0" borderId="31" xfId="0" applyNumberFormat="1" applyFont="1" applyFill="1" applyBorder="1" applyAlignment="1">
      <alignment horizontal="right" vertical="center"/>
    </xf>
    <xf numFmtId="188" fontId="1" fillId="0" borderId="43" xfId="0" applyNumberFormat="1" applyFont="1" applyFill="1" applyBorder="1" applyAlignment="1">
      <alignment horizontal="right" vertical="top"/>
    </xf>
    <xf numFmtId="188" fontId="1" fillId="0" borderId="44" xfId="0" applyNumberFormat="1" applyFont="1" applyFill="1" applyBorder="1" applyAlignment="1">
      <alignment horizontal="right" vertical="top"/>
    </xf>
    <xf numFmtId="188" fontId="7" fillId="0" borderId="29" xfId="0" applyNumberFormat="1" applyFont="1" applyFill="1" applyBorder="1" applyAlignment="1">
      <alignment horizontal="right" vertical="top"/>
    </xf>
    <xf numFmtId="188" fontId="1" fillId="4" borderId="14" xfId="0" applyNumberFormat="1" applyFont="1" applyFill="1" applyBorder="1" applyAlignment="1">
      <alignment horizontal="right" vertical="top"/>
    </xf>
    <xf numFmtId="188" fontId="1" fillId="0" borderId="19" xfId="0" applyNumberFormat="1" applyFont="1" applyFill="1" applyBorder="1" applyAlignment="1">
      <alignment horizontal="right" vertical="center" wrapText="1"/>
    </xf>
    <xf numFmtId="188" fontId="1" fillId="0" borderId="19" xfId="0" applyNumberFormat="1" applyFont="1" applyFill="1" applyBorder="1" applyAlignment="1">
      <alignment horizontal="right" vertical="center"/>
    </xf>
    <xf numFmtId="188" fontId="7" fillId="0" borderId="51" xfId="0" applyNumberFormat="1" applyFont="1" applyFill="1" applyBorder="1" applyAlignment="1">
      <alignment horizontal="right" vertical="top"/>
    </xf>
    <xf numFmtId="188" fontId="1" fillId="0" borderId="17" xfId="0" applyNumberFormat="1" applyFont="1" applyFill="1" applyBorder="1" applyAlignment="1">
      <alignment horizontal="right" vertical="top"/>
    </xf>
    <xf numFmtId="188" fontId="1" fillId="0" borderId="21" xfId="0" applyNumberFormat="1" applyFont="1" applyFill="1" applyBorder="1" applyAlignment="1">
      <alignment horizontal="right" vertical="top"/>
    </xf>
    <xf numFmtId="188" fontId="1" fillId="0" borderId="19" xfId="0" applyNumberFormat="1" applyFont="1" applyFill="1" applyBorder="1" applyAlignment="1">
      <alignment horizontal="right" vertical="top"/>
    </xf>
    <xf numFmtId="188" fontId="1" fillId="0" borderId="29" xfId="0" applyNumberFormat="1" applyFont="1" applyFill="1" applyBorder="1" applyAlignment="1">
      <alignment horizontal="right" vertical="top"/>
    </xf>
    <xf numFmtId="188" fontId="7" fillId="0" borderId="17" xfId="0" applyNumberFormat="1" applyFont="1" applyFill="1" applyBorder="1" applyAlignment="1">
      <alignment horizontal="right" vertical="top"/>
    </xf>
    <xf numFmtId="188" fontId="7" fillId="0" borderId="19" xfId="0" applyNumberFormat="1" applyFont="1" applyFill="1" applyBorder="1" applyAlignment="1">
      <alignment horizontal="right" vertical="top"/>
    </xf>
    <xf numFmtId="188" fontId="1" fillId="4" borderId="52" xfId="0" applyNumberFormat="1" applyFont="1" applyFill="1" applyBorder="1" applyAlignment="1">
      <alignment horizontal="right" vertical="top"/>
    </xf>
    <xf numFmtId="188" fontId="7" fillId="0" borderId="21" xfId="0" applyNumberFormat="1" applyFont="1" applyFill="1" applyBorder="1" applyAlignment="1">
      <alignment horizontal="right" vertical="top" wrapText="1"/>
    </xf>
    <xf numFmtId="188" fontId="7" fillId="0" borderId="29" xfId="0" applyNumberFormat="1" applyFont="1" applyFill="1" applyBorder="1" applyAlignment="1">
      <alignment horizontal="right" vertical="top" wrapText="1"/>
    </xf>
    <xf numFmtId="188" fontId="7" fillId="0" borderId="53" xfId="0" applyNumberFormat="1" applyFont="1" applyFill="1" applyBorder="1" applyAlignment="1">
      <alignment horizontal="right" vertical="top"/>
    </xf>
    <xf numFmtId="188" fontId="7" fillId="0" borderId="54" xfId="0" applyNumberFormat="1" applyFont="1" applyFill="1" applyBorder="1" applyAlignment="1">
      <alignment horizontal="right" vertical="top"/>
    </xf>
    <xf numFmtId="188" fontId="7" fillId="0" borderId="20" xfId="0" applyNumberFormat="1" applyFont="1" applyFill="1" applyBorder="1" applyAlignment="1">
      <alignment horizontal="right" vertical="top"/>
    </xf>
    <xf numFmtId="188" fontId="7" fillId="0" borderId="22" xfId="0" applyNumberFormat="1" applyFont="1" applyFill="1" applyBorder="1" applyAlignment="1">
      <alignment horizontal="right" vertical="top" wrapText="1"/>
    </xf>
    <xf numFmtId="188" fontId="7" fillId="0" borderId="49" xfId="0" applyNumberFormat="1" applyFont="1" applyFill="1" applyBorder="1" applyAlignment="1">
      <alignment horizontal="right" vertical="top"/>
    </xf>
    <xf numFmtId="188" fontId="7" fillId="0" borderId="55" xfId="0" applyNumberFormat="1" applyFont="1" applyFill="1" applyBorder="1" applyAlignment="1">
      <alignment horizontal="right" vertical="top"/>
    </xf>
    <xf numFmtId="188" fontId="7" fillId="0" borderId="56" xfId="0" applyNumberFormat="1" applyFont="1" applyFill="1" applyBorder="1" applyAlignment="1">
      <alignment horizontal="right" vertical="top"/>
    </xf>
    <xf numFmtId="188" fontId="7" fillId="0" borderId="55" xfId="0" applyNumberFormat="1" applyFont="1" applyFill="1" applyBorder="1" applyAlignment="1">
      <alignment horizontal="right" vertical="top"/>
    </xf>
    <xf numFmtId="188" fontId="7" fillId="0" borderId="34" xfId="0" applyNumberFormat="1" applyFont="1" applyFill="1" applyBorder="1" applyAlignment="1">
      <alignment horizontal="right" vertical="top"/>
    </xf>
    <xf numFmtId="188" fontId="1" fillId="0" borderId="34" xfId="0" applyNumberFormat="1" applyFont="1" applyFill="1" applyBorder="1" applyAlignment="1">
      <alignment horizontal="right" vertical="top"/>
    </xf>
    <xf numFmtId="188" fontId="7" fillId="0" borderId="35" xfId="0" applyNumberFormat="1" applyFont="1" applyFill="1" applyBorder="1" applyAlignment="1">
      <alignment horizontal="right" vertical="top" wrapText="1"/>
    </xf>
    <xf numFmtId="188" fontId="7" fillId="0" borderId="57" xfId="0" applyNumberFormat="1" applyFont="1" applyFill="1" applyBorder="1" applyAlignment="1">
      <alignment horizontal="right" vertical="top"/>
    </xf>
    <xf numFmtId="188" fontId="7" fillId="0" borderId="11" xfId="0" applyNumberFormat="1" applyFont="1" applyFill="1" applyBorder="1" applyAlignment="1">
      <alignment horizontal="right" vertical="top"/>
    </xf>
    <xf numFmtId="188" fontId="7" fillId="0" borderId="0" xfId="0" applyNumberFormat="1" applyFont="1" applyFill="1" applyBorder="1" applyAlignment="1">
      <alignment horizontal="right" vertical="top"/>
    </xf>
    <xf numFmtId="188" fontId="7" fillId="0" borderId="58" xfId="0" applyNumberFormat="1" applyFont="1" applyFill="1" applyBorder="1" applyAlignment="1">
      <alignment horizontal="right" vertical="top"/>
    </xf>
    <xf numFmtId="188" fontId="7" fillId="0" borderId="40" xfId="0" applyNumberFormat="1" applyFont="1" applyFill="1" applyBorder="1" applyAlignment="1">
      <alignment horizontal="right" vertical="top"/>
    </xf>
    <xf numFmtId="188" fontId="1" fillId="0" borderId="11" xfId="0" applyNumberFormat="1" applyFont="1" applyFill="1" applyBorder="1" applyAlignment="1">
      <alignment horizontal="right" vertical="top"/>
    </xf>
    <xf numFmtId="188" fontId="7" fillId="0" borderId="33" xfId="0" applyNumberFormat="1" applyFont="1" applyFill="1" applyBorder="1" applyAlignment="1">
      <alignment horizontal="right" vertical="center"/>
    </xf>
    <xf numFmtId="188" fontId="7" fillId="0" borderId="29" xfId="0" applyNumberFormat="1" applyFont="1" applyFill="1" applyBorder="1" applyAlignment="1">
      <alignment horizontal="right" vertical="center"/>
    </xf>
    <xf numFmtId="188" fontId="7" fillId="0" borderId="46" xfId="0" applyNumberFormat="1" applyFont="1" applyBorder="1" applyAlignment="1">
      <alignment horizontal="right" vertical="top"/>
    </xf>
    <xf numFmtId="188" fontId="7" fillId="0" borderId="21" xfId="0" applyNumberFormat="1" applyFont="1" applyBorder="1" applyAlignment="1">
      <alignment horizontal="right" vertical="top"/>
    </xf>
    <xf numFmtId="188" fontId="1" fillId="8" borderId="52" xfId="0" applyNumberFormat="1" applyFont="1" applyFill="1" applyBorder="1" applyAlignment="1">
      <alignment horizontal="right" vertical="top"/>
    </xf>
    <xf numFmtId="188" fontId="1" fillId="24" borderId="52" xfId="0" applyNumberFormat="1" applyFont="1" applyFill="1" applyBorder="1" applyAlignment="1">
      <alignment horizontal="right" vertical="top"/>
    </xf>
    <xf numFmtId="188" fontId="10" fillId="0" borderId="22" xfId="0" applyNumberFormat="1" applyFont="1" applyBorder="1" applyAlignment="1">
      <alignment horizontal="right" vertical="top" wrapText="1"/>
    </xf>
    <xf numFmtId="188" fontId="10" fillId="0" borderId="51" xfId="0" applyNumberFormat="1" applyFont="1" applyBorder="1" applyAlignment="1">
      <alignment horizontal="right" vertical="top" wrapText="1"/>
    </xf>
    <xf numFmtId="188" fontId="10" fillId="0" borderId="18" xfId="0" applyNumberFormat="1" applyFont="1" applyBorder="1" applyAlignment="1">
      <alignment horizontal="right" vertical="top" wrapText="1"/>
    </xf>
    <xf numFmtId="188" fontId="10" fillId="0" borderId="59" xfId="0" applyNumberFormat="1" applyFont="1" applyBorder="1" applyAlignment="1">
      <alignment horizontal="right" vertical="top" wrapText="1"/>
    </xf>
    <xf numFmtId="188" fontId="10" fillId="0" borderId="60" xfId="0" applyNumberFormat="1" applyFont="1" applyBorder="1" applyAlignment="1">
      <alignment horizontal="right" vertical="top" wrapText="1"/>
    </xf>
    <xf numFmtId="188" fontId="10" fillId="0" borderId="61" xfId="0" applyNumberFormat="1" applyFont="1" applyBorder="1" applyAlignment="1">
      <alignment horizontal="right" vertical="top"/>
    </xf>
    <xf numFmtId="188" fontId="10" fillId="0" borderId="62" xfId="0" applyNumberFormat="1" applyFont="1" applyBorder="1" applyAlignment="1">
      <alignment horizontal="right" vertical="top" wrapText="1"/>
    </xf>
    <xf numFmtId="188" fontId="10" fillId="0" borderId="63" xfId="0" applyNumberFormat="1" applyFont="1" applyBorder="1" applyAlignment="1">
      <alignment horizontal="right" vertical="top" wrapText="1"/>
    </xf>
    <xf numFmtId="188" fontId="10" fillId="0" borderId="64" xfId="0" applyNumberFormat="1" applyFont="1" applyBorder="1" applyAlignment="1">
      <alignment horizontal="right" vertical="top" wrapText="1"/>
    </xf>
    <xf numFmtId="188" fontId="11" fillId="24" borderId="52" xfId="0" applyNumberFormat="1" applyFont="1" applyFill="1" applyBorder="1" applyAlignment="1">
      <alignment horizontal="right" vertical="top" wrapText="1"/>
    </xf>
    <xf numFmtId="188" fontId="10" fillId="0" borderId="29" xfId="0" applyNumberFormat="1" applyFont="1" applyBorder="1" applyAlignment="1">
      <alignment horizontal="right" vertical="top" wrapText="1"/>
    </xf>
    <xf numFmtId="0" fontId="9" fillId="0" borderId="0" xfId="0" applyFont="1" applyAlignment="1">
      <alignment wrapText="1"/>
    </xf>
    <xf numFmtId="188" fontId="7" fillId="0" borderId="16" xfId="0" applyNumberFormat="1" applyFont="1" applyFill="1" applyBorder="1" applyAlignment="1">
      <alignment horizontal="right" vertical="top"/>
    </xf>
    <xf numFmtId="49" fontId="3" fillId="0" borderId="58" xfId="0" applyNumberFormat="1" applyFont="1" applyFill="1" applyBorder="1" applyAlignment="1">
      <alignment vertical="top" wrapText="1"/>
    </xf>
    <xf numFmtId="49" fontId="3" fillId="0" borderId="65" xfId="0" applyNumberFormat="1" applyFont="1" applyFill="1" applyBorder="1" applyAlignment="1">
      <alignment vertical="top" wrapText="1"/>
    </xf>
    <xf numFmtId="49" fontId="2" fillId="0" borderId="54" xfId="0" applyNumberFormat="1" applyFont="1" applyFill="1" applyBorder="1" applyAlignment="1">
      <alignment vertical="top" wrapText="1"/>
    </xf>
    <xf numFmtId="188" fontId="7" fillId="0" borderId="29" xfId="0" applyNumberFormat="1" applyFont="1" applyFill="1" applyBorder="1" applyAlignment="1">
      <alignment horizontal="right" vertical="top" wrapText="1"/>
    </xf>
    <xf numFmtId="188" fontId="7" fillId="0" borderId="22" xfId="0" applyNumberFormat="1" applyFont="1" applyFill="1" applyBorder="1" applyAlignment="1">
      <alignment horizontal="right" vertical="top" wrapText="1"/>
    </xf>
    <xf numFmtId="188" fontId="7" fillId="0" borderId="11" xfId="0" applyNumberFormat="1" applyFont="1" applyFill="1" applyBorder="1" applyAlignment="1">
      <alignment horizontal="right" vertical="center"/>
    </xf>
    <xf numFmtId="188" fontId="7" fillId="0" borderId="11" xfId="0" applyNumberFormat="1" applyFont="1" applyFill="1" applyBorder="1" applyAlignment="1">
      <alignment horizontal="right" vertical="center"/>
    </xf>
    <xf numFmtId="188" fontId="7" fillId="0" borderId="58" xfId="0" applyNumberFormat="1" applyFont="1" applyFill="1" applyBorder="1" applyAlignment="1">
      <alignment horizontal="right" vertical="center"/>
    </xf>
    <xf numFmtId="188" fontId="7" fillId="0" borderId="40" xfId="0" applyNumberFormat="1" applyFont="1" applyFill="1" applyBorder="1" applyAlignment="1">
      <alignment horizontal="right" vertical="center"/>
    </xf>
    <xf numFmtId="188" fontId="7" fillId="0" borderId="15" xfId="0" applyNumberFormat="1" applyFont="1" applyFill="1" applyBorder="1" applyAlignment="1">
      <alignment horizontal="right" vertical="center" wrapText="1"/>
    </xf>
    <xf numFmtId="188" fontId="7" fillId="0" borderId="15" xfId="0" applyNumberFormat="1" applyFont="1" applyFill="1" applyBorder="1" applyAlignment="1">
      <alignment horizontal="right" vertical="center"/>
    </xf>
    <xf numFmtId="0" fontId="3" fillId="0" borderId="65" xfId="0" applyFont="1" applyFill="1" applyBorder="1" applyAlignment="1">
      <alignment vertical="top" wrapText="1"/>
    </xf>
    <xf numFmtId="188" fontId="7" fillId="0" borderId="22" xfId="0" applyNumberFormat="1" applyFont="1" applyFill="1" applyBorder="1" applyAlignment="1">
      <alignment horizontal="right" vertical="top"/>
    </xf>
    <xf numFmtId="188" fontId="7" fillId="0" borderId="66" xfId="0" applyNumberFormat="1" applyFont="1" applyFill="1" applyBorder="1" applyAlignment="1">
      <alignment horizontal="right" vertical="top"/>
    </xf>
    <xf numFmtId="188" fontId="7" fillId="0" borderId="0" xfId="0" applyNumberFormat="1" applyFont="1" applyBorder="1" applyAlignment="1">
      <alignment horizontal="right" vertical="top"/>
    </xf>
    <xf numFmtId="188" fontId="7" fillId="0" borderId="15" xfId="0" applyNumberFormat="1" applyFont="1" applyBorder="1" applyAlignment="1">
      <alignment horizontal="right" vertical="top"/>
    </xf>
    <xf numFmtId="188" fontId="7" fillId="0" borderId="50" xfId="0" applyNumberFormat="1" applyFont="1" applyBorder="1" applyAlignment="1">
      <alignment horizontal="right" vertical="top"/>
    </xf>
    <xf numFmtId="188" fontId="7" fillId="0" borderId="22" xfId="0" applyNumberFormat="1" applyFont="1" applyBorder="1" applyAlignment="1">
      <alignment horizontal="right" vertical="top"/>
    </xf>
    <xf numFmtId="49" fontId="7" fillId="0" borderId="21" xfId="0" applyNumberFormat="1" applyFont="1" applyFill="1" applyBorder="1" applyAlignment="1">
      <alignment horizontal="center" vertical="top"/>
    </xf>
    <xf numFmtId="49" fontId="7" fillId="0" borderId="29" xfId="0" applyNumberFormat="1" applyFont="1" applyFill="1" applyBorder="1" applyAlignment="1">
      <alignment horizontal="center" vertical="top"/>
    </xf>
    <xf numFmtId="188" fontId="7" fillId="0" borderId="67" xfId="0" applyNumberFormat="1" applyFont="1" applyFill="1" applyBorder="1" applyAlignment="1">
      <alignment horizontal="right" vertical="top"/>
    </xf>
    <xf numFmtId="49" fontId="2" fillId="0" borderId="68" xfId="0" applyNumberFormat="1" applyFont="1" applyFill="1" applyBorder="1" applyAlignment="1">
      <alignment vertical="top" wrapText="1"/>
    </xf>
    <xf numFmtId="49" fontId="3" fillId="0" borderId="23" xfId="0" applyNumberFormat="1" applyFont="1" applyFill="1" applyBorder="1" applyAlignment="1">
      <alignment vertical="top" wrapText="1"/>
    </xf>
    <xf numFmtId="49" fontId="3" fillId="0" borderId="64" xfId="0" applyNumberFormat="1" applyFont="1" applyFill="1" applyBorder="1" applyAlignment="1">
      <alignment vertical="top" wrapText="1"/>
    </xf>
    <xf numFmtId="188" fontId="1" fillId="0" borderId="23" xfId="0" applyNumberFormat="1" applyFont="1" applyFill="1" applyBorder="1" applyAlignment="1">
      <alignment horizontal="right" vertical="center" wrapText="1"/>
    </xf>
    <xf numFmtId="188" fontId="1" fillId="0" borderId="23" xfId="0" applyNumberFormat="1" applyFont="1" applyFill="1" applyBorder="1" applyAlignment="1">
      <alignment horizontal="right" vertical="center"/>
    </xf>
    <xf numFmtId="188" fontId="1" fillId="0" borderId="18" xfId="0" applyNumberFormat="1" applyFont="1" applyFill="1" applyBorder="1" applyAlignment="1">
      <alignment horizontal="right" vertical="center" wrapText="1"/>
    </xf>
    <xf numFmtId="188" fontId="1" fillId="0" borderId="18" xfId="0" applyNumberFormat="1" applyFont="1" applyFill="1" applyBorder="1" applyAlignment="1">
      <alignment horizontal="right" vertical="center"/>
    </xf>
    <xf numFmtId="188" fontId="7" fillId="25" borderId="42" xfId="0" applyNumberFormat="1" applyFont="1" applyFill="1" applyBorder="1" applyAlignment="1">
      <alignment horizontal="right" vertical="top"/>
    </xf>
    <xf numFmtId="188" fontId="7" fillId="25" borderId="45" xfId="0" applyNumberFormat="1" applyFont="1" applyFill="1" applyBorder="1" applyAlignment="1">
      <alignment horizontal="right" vertical="top"/>
    </xf>
    <xf numFmtId="188" fontId="7" fillId="25" borderId="17" xfId="0" applyNumberFormat="1" applyFont="1" applyFill="1" applyBorder="1" applyAlignment="1">
      <alignment horizontal="right" vertical="top" wrapText="1"/>
    </xf>
    <xf numFmtId="188" fontId="7" fillId="0" borderId="17" xfId="0" applyNumberFormat="1" applyFont="1" applyFill="1" applyBorder="1" applyAlignment="1">
      <alignment horizontal="right" vertical="top"/>
    </xf>
    <xf numFmtId="0" fontId="7" fillId="0" borderId="25" xfId="0" applyFont="1" applyBorder="1" applyAlignment="1">
      <alignment horizontal="center" vertical="top"/>
    </xf>
    <xf numFmtId="188" fontId="7" fillId="0" borderId="39" xfId="0" applyNumberFormat="1" applyFont="1" applyBorder="1" applyAlignment="1">
      <alignment horizontal="right" vertical="top"/>
    </xf>
    <xf numFmtId="188" fontId="7" fillId="0" borderId="48" xfId="0" applyNumberFormat="1" applyFont="1" applyBorder="1" applyAlignment="1">
      <alignment horizontal="right" vertical="top"/>
    </xf>
    <xf numFmtId="188" fontId="7" fillId="0" borderId="50" xfId="0" applyNumberFormat="1" applyFont="1" applyBorder="1" applyAlignment="1">
      <alignment horizontal="right" vertical="top"/>
    </xf>
    <xf numFmtId="188" fontId="7" fillId="0" borderId="22" xfId="0" applyNumberFormat="1" applyFont="1" applyBorder="1" applyAlignment="1">
      <alignment horizontal="right" vertical="top"/>
    </xf>
    <xf numFmtId="0" fontId="7" fillId="0" borderId="24" xfId="0" applyFont="1" applyFill="1" applyBorder="1" applyAlignment="1">
      <alignment horizontal="center" vertical="top"/>
    </xf>
    <xf numFmtId="188" fontId="7" fillId="0" borderId="24" xfId="0" applyNumberFormat="1" applyFont="1" applyFill="1" applyBorder="1" applyAlignment="1">
      <alignment horizontal="right" vertical="top"/>
    </xf>
    <xf numFmtId="188" fontId="1" fillId="0" borderId="48" xfId="0" applyNumberFormat="1" applyFont="1" applyFill="1" applyBorder="1" applyAlignment="1">
      <alignment horizontal="right" vertical="top"/>
    </xf>
    <xf numFmtId="188" fontId="7" fillId="0" borderId="69" xfId="0" applyNumberFormat="1" applyFont="1" applyFill="1" applyBorder="1" applyAlignment="1">
      <alignment horizontal="right" vertical="top"/>
    </xf>
    <xf numFmtId="0" fontId="3" fillId="0" borderId="64" xfId="0" applyFont="1" applyFill="1" applyBorder="1" applyAlignment="1">
      <alignment vertical="top" wrapText="1"/>
    </xf>
    <xf numFmtId="188" fontId="7" fillId="0" borderId="39" xfId="0" applyNumberFormat="1" applyFont="1" applyBorder="1" applyAlignment="1">
      <alignment horizontal="right" vertical="center"/>
    </xf>
    <xf numFmtId="188" fontId="7" fillId="0" borderId="18" xfId="0" applyNumberFormat="1" applyFont="1" applyFill="1" applyBorder="1" applyAlignment="1">
      <alignment horizontal="right" vertical="top"/>
    </xf>
    <xf numFmtId="188" fontId="1" fillId="0" borderId="0" xfId="0" applyNumberFormat="1" applyFont="1" applyFill="1" applyBorder="1" applyAlignment="1">
      <alignment horizontal="center" vertical="top" wrapText="1"/>
    </xf>
    <xf numFmtId="188" fontId="1" fillId="4" borderId="70" xfId="0" applyNumberFormat="1" applyFont="1" applyFill="1" applyBorder="1" applyAlignment="1">
      <alignment horizontal="right" vertical="top"/>
    </xf>
    <xf numFmtId="188" fontId="1" fillId="0" borderId="43" xfId="0" applyNumberFormat="1" applyFont="1" applyFill="1" applyBorder="1" applyAlignment="1">
      <alignment horizontal="right" vertical="top"/>
    </xf>
    <xf numFmtId="188" fontId="1" fillId="0" borderId="44" xfId="0" applyNumberFormat="1" applyFont="1" applyFill="1" applyBorder="1" applyAlignment="1">
      <alignment horizontal="right" vertical="top"/>
    </xf>
    <xf numFmtId="188" fontId="1" fillId="4" borderId="10" xfId="0" applyNumberFormat="1" applyFont="1" applyFill="1" applyBorder="1" applyAlignment="1">
      <alignment horizontal="right" vertical="top"/>
    </xf>
    <xf numFmtId="188" fontId="1" fillId="4" borderId="71" xfId="0" applyNumberFormat="1" applyFont="1" applyFill="1" applyBorder="1" applyAlignment="1">
      <alignment horizontal="right" vertical="top"/>
    </xf>
    <xf numFmtId="0" fontId="7" fillId="0" borderId="25" xfId="0" applyFont="1" applyFill="1" applyBorder="1" applyAlignment="1">
      <alignment horizontal="center" vertical="top" wrapText="1"/>
    </xf>
    <xf numFmtId="0" fontId="7" fillId="0" borderId="57" xfId="0" applyFont="1" applyFill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3" fillId="0" borderId="39" xfId="0" applyFont="1" applyBorder="1" applyAlignment="1">
      <alignment horizontal="center" vertical="top"/>
    </xf>
    <xf numFmtId="0" fontId="18" fillId="25" borderId="34" xfId="50" applyFont="1" applyFill="1" applyBorder="1" applyAlignment="1">
      <alignment horizontal="left" vertical="top" wrapText="1"/>
      <protection/>
    </xf>
    <xf numFmtId="0" fontId="19" fillId="25" borderId="56" xfId="50" applyFont="1" applyFill="1" applyBorder="1" applyAlignment="1">
      <alignment horizontal="center" vertical="top"/>
      <protection/>
    </xf>
    <xf numFmtId="0" fontId="19" fillId="25" borderId="34" xfId="50" applyFont="1" applyFill="1" applyBorder="1" applyAlignment="1">
      <alignment horizontal="center" vertical="top"/>
      <protection/>
    </xf>
    <xf numFmtId="0" fontId="22" fillId="25" borderId="11" xfId="50" applyFont="1" applyFill="1" applyBorder="1" applyAlignment="1">
      <alignment horizontal="left" vertical="top" wrapText="1"/>
      <protection/>
    </xf>
    <xf numFmtId="0" fontId="3" fillId="25" borderId="40" xfId="50" applyFont="1" applyFill="1" applyBorder="1" applyAlignment="1">
      <alignment horizontal="center" vertical="top"/>
      <protection/>
    </xf>
    <xf numFmtId="0" fontId="3" fillId="25" borderId="11" xfId="50" applyFont="1" applyFill="1" applyBorder="1" applyAlignment="1">
      <alignment horizontal="center" vertical="top"/>
      <protection/>
    </xf>
    <xf numFmtId="0" fontId="3" fillId="25" borderId="11" xfId="0" applyFont="1" applyFill="1" applyBorder="1" applyAlignment="1">
      <alignment/>
    </xf>
    <xf numFmtId="0" fontId="3" fillId="25" borderId="40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top" wrapText="1"/>
    </xf>
    <xf numFmtId="0" fontId="3" fillId="25" borderId="11" xfId="0" applyFont="1" applyFill="1" applyBorder="1" applyAlignment="1">
      <alignment vertical="center"/>
    </xf>
    <xf numFmtId="0" fontId="3" fillId="25" borderId="11" xfId="0" applyFont="1" applyFill="1" applyBorder="1" applyAlignment="1">
      <alignment horizontal="center" vertical="top"/>
    </xf>
    <xf numFmtId="0" fontId="3" fillId="25" borderId="11" xfId="0" applyFont="1" applyFill="1" applyBorder="1" applyAlignment="1">
      <alignment vertical="center" wrapText="1"/>
    </xf>
    <xf numFmtId="49" fontId="3" fillId="25" borderId="11" xfId="0" applyNumberFormat="1" applyFont="1" applyFill="1" applyBorder="1" applyAlignment="1">
      <alignment vertical="top" wrapText="1"/>
    </xf>
    <xf numFmtId="0" fontId="3" fillId="25" borderId="11" xfId="0" applyFont="1" applyFill="1" applyBorder="1" applyAlignment="1">
      <alignment horizontal="left" vertical="top" wrapText="1"/>
    </xf>
    <xf numFmtId="0" fontId="3" fillId="0" borderId="11" xfId="50" applyFont="1" applyBorder="1" applyAlignment="1">
      <alignment horizontal="left" vertical="top" wrapText="1"/>
      <protection/>
    </xf>
    <xf numFmtId="49" fontId="3" fillId="0" borderId="11" xfId="0" applyNumberFormat="1" applyFont="1" applyFill="1" applyBorder="1" applyAlignment="1">
      <alignment horizontal="center" vertical="top"/>
    </xf>
    <xf numFmtId="0" fontId="2" fillId="0" borderId="0" xfId="0" applyFont="1" applyAlignment="1">
      <alignment/>
    </xf>
    <xf numFmtId="49" fontId="1" fillId="4" borderId="11" xfId="0" applyNumberFormat="1" applyFont="1" applyFill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8" borderId="67" xfId="0" applyNumberFormat="1" applyFont="1" applyFill="1" applyBorder="1" applyAlignment="1">
      <alignment horizontal="center" vertical="top"/>
    </xf>
    <xf numFmtId="49" fontId="1" fillId="8" borderId="72" xfId="0" applyNumberFormat="1" applyFont="1" applyFill="1" applyBorder="1" applyAlignment="1">
      <alignment horizontal="center" vertical="top"/>
    </xf>
    <xf numFmtId="49" fontId="1" fillId="8" borderId="73" xfId="0" applyNumberFormat="1" applyFont="1" applyFill="1" applyBorder="1" applyAlignment="1">
      <alignment horizontal="center" vertical="top"/>
    </xf>
    <xf numFmtId="49" fontId="1" fillId="8" borderId="74" xfId="0" applyNumberFormat="1" applyFont="1" applyFill="1" applyBorder="1" applyAlignment="1">
      <alignment horizontal="center" vertical="top"/>
    </xf>
    <xf numFmtId="49" fontId="1" fillId="4" borderId="53" xfId="0" applyNumberFormat="1" applyFont="1" applyFill="1" applyBorder="1" applyAlignment="1">
      <alignment horizontal="center" vertical="top"/>
    </xf>
    <xf numFmtId="49" fontId="1" fillId="4" borderId="11" xfId="0" applyNumberFormat="1" applyFont="1" applyFill="1" applyBorder="1" applyAlignment="1">
      <alignment horizontal="center" vertical="top"/>
    </xf>
    <xf numFmtId="49" fontId="1" fillId="4" borderId="12" xfId="0" applyNumberFormat="1" applyFont="1" applyFill="1" applyBorder="1" applyAlignment="1">
      <alignment horizontal="center" vertical="top"/>
    </xf>
    <xf numFmtId="49" fontId="1" fillId="8" borderId="75" xfId="0" applyNumberFormat="1" applyFont="1" applyFill="1" applyBorder="1" applyAlignment="1">
      <alignment horizontal="center" vertical="top"/>
    </xf>
    <xf numFmtId="49" fontId="1" fillId="8" borderId="67" xfId="0" applyNumberFormat="1" applyFont="1" applyFill="1" applyBorder="1" applyAlignment="1">
      <alignment horizontal="center" vertical="top"/>
    </xf>
    <xf numFmtId="49" fontId="1" fillId="8" borderId="76" xfId="0" applyNumberFormat="1" applyFont="1" applyFill="1" applyBorder="1" applyAlignment="1">
      <alignment horizontal="center" vertical="top"/>
    </xf>
    <xf numFmtId="49" fontId="1" fillId="8" borderId="76" xfId="0" applyNumberFormat="1" applyFont="1" applyFill="1" applyBorder="1" applyAlignment="1">
      <alignment horizontal="center" vertical="top"/>
    </xf>
    <xf numFmtId="0" fontId="7" fillId="0" borderId="0" xfId="0" applyFont="1" applyAlignment="1">
      <alignment vertical="top"/>
    </xf>
    <xf numFmtId="188" fontId="7" fillId="0" borderId="0" xfId="0" applyNumberFormat="1" applyFont="1" applyAlignment="1">
      <alignment vertical="top"/>
    </xf>
    <xf numFmtId="49" fontId="7" fillId="0" borderId="35" xfId="0" applyNumberFormat="1" applyFont="1" applyFill="1" applyBorder="1" applyAlignment="1">
      <alignment horizontal="center" vertical="top"/>
    </xf>
    <xf numFmtId="188" fontId="7" fillId="0" borderId="46" xfId="0" applyNumberFormat="1" applyFont="1" applyBorder="1" applyAlignment="1">
      <alignment horizontal="right" vertical="top"/>
    </xf>
    <xf numFmtId="188" fontId="1" fillId="0" borderId="33" xfId="0" applyNumberFormat="1" applyFont="1" applyFill="1" applyBorder="1" applyAlignment="1">
      <alignment horizontal="right" vertical="top"/>
    </xf>
    <xf numFmtId="49" fontId="1" fillId="26" borderId="67" xfId="0" applyNumberFormat="1" applyFont="1" applyFill="1" applyBorder="1" applyAlignment="1">
      <alignment horizontal="center" vertical="top"/>
    </xf>
    <xf numFmtId="49" fontId="1" fillId="26" borderId="11" xfId="0" applyNumberFormat="1" applyFont="1" applyFill="1" applyBorder="1" applyAlignment="1">
      <alignment horizontal="center" vertical="top"/>
    </xf>
    <xf numFmtId="0" fontId="1" fillId="26" borderId="23" xfId="0" applyFont="1" applyFill="1" applyBorder="1" applyAlignment="1">
      <alignment horizontal="right" vertical="top" wrapText="1"/>
    </xf>
    <xf numFmtId="188" fontId="1" fillId="26" borderId="57" xfId="0" applyNumberFormat="1" applyFont="1" applyFill="1" applyBorder="1" applyAlignment="1">
      <alignment horizontal="right" vertical="top"/>
    </xf>
    <xf numFmtId="188" fontId="7" fillId="0" borderId="32" xfId="0" applyNumberFormat="1" applyFont="1" applyFill="1" applyBorder="1" applyAlignment="1">
      <alignment horizontal="right" vertical="top" wrapText="1"/>
    </xf>
    <xf numFmtId="188" fontId="7" fillId="0" borderId="45" xfId="0" applyNumberFormat="1" applyFont="1" applyFill="1" applyBorder="1" applyAlignment="1">
      <alignment horizontal="right" vertical="top" indent="1"/>
    </xf>
    <xf numFmtId="188" fontId="7" fillId="0" borderId="39" xfId="0" applyNumberFormat="1" applyFont="1" applyBorder="1" applyAlignment="1">
      <alignment horizontal="right" vertical="top"/>
    </xf>
    <xf numFmtId="188" fontId="7" fillId="0" borderId="48" xfId="0" applyNumberFormat="1" applyFont="1" applyFill="1" applyBorder="1" applyAlignment="1">
      <alignment horizontal="right" vertical="top" indent="1"/>
    </xf>
    <xf numFmtId="49" fontId="3" fillId="0" borderId="54" xfId="0" applyNumberFormat="1" applyFont="1" applyFill="1" applyBorder="1" applyAlignment="1">
      <alignment horizontal="left" vertical="top" wrapText="1"/>
    </xf>
    <xf numFmtId="188" fontId="1" fillId="0" borderId="31" xfId="0" applyNumberFormat="1" applyFont="1" applyFill="1" applyBorder="1" applyAlignment="1">
      <alignment horizontal="right" vertical="top"/>
    </xf>
    <xf numFmtId="0" fontId="1" fillId="26" borderId="15" xfId="0" applyFont="1" applyFill="1" applyBorder="1" applyAlignment="1">
      <alignment horizontal="center" vertical="top" wrapText="1"/>
    </xf>
    <xf numFmtId="188" fontId="7" fillId="25" borderId="21" xfId="0" applyNumberFormat="1" applyFont="1" applyFill="1" applyBorder="1" applyAlignment="1">
      <alignment horizontal="right" vertical="top"/>
    </xf>
    <xf numFmtId="188" fontId="7" fillId="25" borderId="50" xfId="0" applyNumberFormat="1" applyFont="1" applyFill="1" applyBorder="1" applyAlignment="1">
      <alignment horizontal="right" vertical="top"/>
    </xf>
    <xf numFmtId="188" fontId="7" fillId="25" borderId="22" xfId="0" applyNumberFormat="1" applyFont="1" applyFill="1" applyBorder="1" applyAlignment="1">
      <alignment horizontal="right" vertical="top"/>
    </xf>
    <xf numFmtId="0" fontId="8" fillId="0" borderId="29" xfId="0" applyFont="1" applyFill="1" applyBorder="1" applyAlignment="1">
      <alignment horizontal="center" vertical="top" wrapText="1"/>
    </xf>
    <xf numFmtId="188" fontId="7" fillId="0" borderId="30" xfId="0" applyNumberFormat="1" applyFont="1" applyBorder="1" applyAlignment="1">
      <alignment horizontal="right" vertical="top"/>
    </xf>
    <xf numFmtId="188" fontId="7" fillId="0" borderId="43" xfId="0" applyNumberFormat="1" applyFont="1" applyBorder="1" applyAlignment="1">
      <alignment horizontal="right" vertical="top"/>
    </xf>
    <xf numFmtId="188" fontId="7" fillId="25" borderId="46" xfId="0" applyNumberFormat="1" applyFont="1" applyFill="1" applyBorder="1" applyAlignment="1">
      <alignment horizontal="right" vertical="top" wrapText="1"/>
    </xf>
    <xf numFmtId="188" fontId="7" fillId="25" borderId="21" xfId="0" applyNumberFormat="1" applyFont="1" applyFill="1" applyBorder="1" applyAlignment="1">
      <alignment horizontal="right" vertical="top" wrapText="1"/>
    </xf>
    <xf numFmtId="188" fontId="7" fillId="0" borderId="47" xfId="0" applyNumberFormat="1" applyFont="1" applyBorder="1" applyAlignment="1">
      <alignment horizontal="right" vertical="top"/>
    </xf>
    <xf numFmtId="188" fontId="7" fillId="25" borderId="0" xfId="0" applyNumberFormat="1" applyFont="1" applyFill="1" applyBorder="1" applyAlignment="1">
      <alignment horizontal="right" vertical="top" wrapText="1"/>
    </xf>
    <xf numFmtId="188" fontId="7" fillId="25" borderId="15" xfId="0" applyNumberFormat="1" applyFont="1" applyFill="1" applyBorder="1" applyAlignment="1">
      <alignment horizontal="right" vertical="top" wrapText="1"/>
    </xf>
    <xf numFmtId="0" fontId="8" fillId="0" borderId="35" xfId="0" applyFont="1" applyBorder="1" applyAlignment="1">
      <alignment horizontal="center" vertical="top"/>
    </xf>
    <xf numFmtId="188" fontId="7" fillId="0" borderId="30" xfId="0" applyNumberFormat="1" applyFont="1" applyBorder="1" applyAlignment="1">
      <alignment horizontal="right" vertical="top"/>
    </xf>
    <xf numFmtId="188" fontId="7" fillId="0" borderId="44" xfId="0" applyNumberFormat="1" applyFont="1" applyBorder="1" applyAlignment="1">
      <alignment horizontal="right" vertical="top"/>
    </xf>
    <xf numFmtId="188" fontId="7" fillId="25" borderId="77" xfId="0" applyNumberFormat="1" applyFont="1" applyFill="1" applyBorder="1" applyAlignment="1">
      <alignment horizontal="right" vertical="top" wrapText="1"/>
    </xf>
    <xf numFmtId="188" fontId="7" fillId="25" borderId="35" xfId="0" applyNumberFormat="1" applyFont="1" applyFill="1" applyBorder="1" applyAlignment="1">
      <alignment horizontal="right" vertical="top" wrapText="1"/>
    </xf>
    <xf numFmtId="49" fontId="1" fillId="26" borderId="67" xfId="0" applyNumberFormat="1" applyFont="1" applyFill="1" applyBorder="1" applyAlignment="1">
      <alignment horizontal="center" vertical="top"/>
    </xf>
    <xf numFmtId="49" fontId="1" fillId="26" borderId="11" xfId="0" applyNumberFormat="1" applyFont="1" applyFill="1" applyBorder="1" applyAlignment="1">
      <alignment horizontal="center" vertical="top"/>
    </xf>
    <xf numFmtId="0" fontId="1" fillId="26" borderId="15" xfId="0" applyFont="1" applyFill="1" applyBorder="1" applyAlignment="1">
      <alignment horizontal="center" vertical="top" wrapText="1"/>
    </xf>
    <xf numFmtId="188" fontId="7" fillId="0" borderId="32" xfId="0" applyNumberFormat="1" applyFont="1" applyFill="1" applyBorder="1" applyAlignment="1">
      <alignment horizontal="right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188" fontId="1" fillId="0" borderId="29" xfId="0" applyNumberFormat="1" applyFont="1" applyFill="1" applyBorder="1" applyAlignment="1">
      <alignment horizontal="right" vertical="top" wrapText="1"/>
    </xf>
    <xf numFmtId="188" fontId="1" fillId="0" borderId="29" xfId="0" applyNumberFormat="1" applyFont="1" applyFill="1" applyBorder="1" applyAlignment="1">
      <alignment horizontal="right" vertical="top"/>
    </xf>
    <xf numFmtId="0" fontId="1" fillId="26" borderId="23" xfId="0" applyFont="1" applyFill="1" applyBorder="1" applyAlignment="1">
      <alignment horizontal="center" vertical="top"/>
    </xf>
    <xf numFmtId="188" fontId="1" fillId="0" borderId="50" xfId="0" applyNumberFormat="1" applyFont="1" applyFill="1" applyBorder="1" applyAlignment="1">
      <alignment horizontal="right" vertical="top"/>
    </xf>
    <xf numFmtId="0" fontId="1" fillId="4" borderId="78" xfId="0" applyFont="1" applyFill="1" applyBorder="1" applyAlignment="1">
      <alignment vertical="top" wrapText="1"/>
    </xf>
    <xf numFmtId="0" fontId="1" fillId="4" borderId="78" xfId="0" applyFont="1" applyFill="1" applyBorder="1" applyAlignment="1">
      <alignment horizontal="left" vertical="top" wrapText="1"/>
    </xf>
    <xf numFmtId="188" fontId="1" fillId="0" borderId="47" xfId="0" applyNumberFormat="1" applyFont="1" applyFill="1" applyBorder="1" applyAlignment="1">
      <alignment horizontal="right" vertical="top"/>
    </xf>
    <xf numFmtId="188" fontId="1" fillId="0" borderId="51" xfId="0" applyNumberFormat="1" applyFont="1" applyFill="1" applyBorder="1" applyAlignment="1">
      <alignment horizontal="right" vertical="top"/>
    </xf>
    <xf numFmtId="188" fontId="7" fillId="0" borderId="42" xfId="0" applyNumberFormat="1" applyFont="1" applyFill="1" applyBorder="1" applyAlignment="1">
      <alignment horizontal="right" vertical="center"/>
    </xf>
    <xf numFmtId="188" fontId="7" fillId="0" borderId="45" xfId="0" applyNumberFormat="1" applyFont="1" applyFill="1" applyBorder="1" applyAlignment="1">
      <alignment horizontal="right" vertical="center"/>
    </xf>
    <xf numFmtId="188" fontId="7" fillId="25" borderId="42" xfId="0" applyNumberFormat="1" applyFont="1" applyFill="1" applyBorder="1" applyAlignment="1">
      <alignment horizontal="right" vertical="center"/>
    </xf>
    <xf numFmtId="188" fontId="7" fillId="25" borderId="45" xfId="0" applyNumberFormat="1" applyFont="1" applyFill="1" applyBorder="1" applyAlignment="1">
      <alignment horizontal="right" vertical="center"/>
    </xf>
    <xf numFmtId="188" fontId="7" fillId="25" borderId="17" xfId="0" applyNumberFormat="1" applyFont="1" applyFill="1" applyBorder="1" applyAlignment="1">
      <alignment horizontal="right" vertical="center" wrapText="1"/>
    </xf>
    <xf numFmtId="188" fontId="7" fillId="0" borderId="17" xfId="0" applyNumberFormat="1" applyFont="1" applyFill="1" applyBorder="1" applyAlignment="1">
      <alignment horizontal="right" vertical="center"/>
    </xf>
    <xf numFmtId="0" fontId="1" fillId="26" borderId="23" xfId="0" applyFont="1" applyFill="1" applyBorder="1" applyAlignment="1">
      <alignment horizontal="center" vertical="top" wrapText="1"/>
    </xf>
    <xf numFmtId="49" fontId="1" fillId="0" borderId="53" xfId="0" applyNumberFormat="1" applyFont="1" applyBorder="1" applyAlignment="1">
      <alignment vertical="top"/>
    </xf>
    <xf numFmtId="49" fontId="1" fillId="0" borderId="11" xfId="0" applyNumberFormat="1" applyFont="1" applyBorder="1" applyAlignment="1">
      <alignment vertical="top"/>
    </xf>
    <xf numFmtId="49" fontId="1" fillId="0" borderId="12" xfId="0" applyNumberFormat="1" applyFont="1" applyBorder="1" applyAlignment="1">
      <alignment vertical="top"/>
    </xf>
    <xf numFmtId="49" fontId="1" fillId="4" borderId="79" xfId="0" applyNumberFormat="1" applyFont="1" applyFill="1" applyBorder="1" applyAlignment="1">
      <alignment vertical="top"/>
    </xf>
    <xf numFmtId="0" fontId="7" fillId="0" borderId="24" xfId="0" applyFont="1" applyBorder="1" applyAlignment="1">
      <alignment horizontal="center" vertical="top"/>
    </xf>
    <xf numFmtId="188" fontId="7" fillId="0" borderId="42" xfId="0" applyNumberFormat="1" applyFont="1" applyBorder="1" applyAlignment="1">
      <alignment horizontal="right" vertical="center"/>
    </xf>
    <xf numFmtId="188" fontId="7" fillId="0" borderId="45" xfId="0" applyNumberFormat="1" applyFont="1" applyBorder="1" applyAlignment="1">
      <alignment horizontal="right" vertical="top"/>
    </xf>
    <xf numFmtId="0" fontId="7" fillId="0" borderId="57" xfId="0" applyFont="1" applyFill="1" applyBorder="1" applyAlignment="1">
      <alignment horizontal="center" vertical="top"/>
    </xf>
    <xf numFmtId="188" fontId="7" fillId="0" borderId="32" xfId="0" applyNumberFormat="1" applyFont="1" applyBorder="1" applyAlignment="1">
      <alignment horizontal="right" vertical="top"/>
    </xf>
    <xf numFmtId="188" fontId="7" fillId="0" borderId="29" xfId="0" applyNumberFormat="1" applyFont="1" applyBorder="1" applyAlignment="1">
      <alignment horizontal="right" vertical="top"/>
    </xf>
    <xf numFmtId="0" fontId="7" fillId="0" borderId="21" xfId="0" applyFont="1" applyFill="1" applyBorder="1" applyAlignment="1">
      <alignment horizontal="center" vertical="top"/>
    </xf>
    <xf numFmtId="188" fontId="1" fillId="8" borderId="52" xfId="0" applyNumberFormat="1" applyFont="1" applyFill="1" applyBorder="1" applyAlignment="1">
      <alignment horizontal="right" vertical="top"/>
    </xf>
    <xf numFmtId="0" fontId="7" fillId="24" borderId="80" xfId="0" applyFont="1" applyFill="1" applyBorder="1" applyAlignment="1">
      <alignment vertical="top"/>
    </xf>
    <xf numFmtId="49" fontId="1" fillId="24" borderId="78" xfId="0" applyNumberFormat="1" applyFont="1" applyFill="1" applyBorder="1" applyAlignment="1">
      <alignment vertical="top"/>
    </xf>
    <xf numFmtId="49" fontId="2" fillId="4" borderId="78" xfId="0" applyNumberFormat="1" applyFont="1" applyFill="1" applyBorder="1" applyAlignment="1">
      <alignment horizontal="left" vertical="top"/>
    </xf>
    <xf numFmtId="0" fontId="3" fillId="0" borderId="0" xfId="0" applyFont="1" applyAlignment="1">
      <alignment vertical="top"/>
    </xf>
    <xf numFmtId="49" fontId="2" fillId="26" borderId="54" xfId="0" applyNumberFormat="1" applyFont="1" applyFill="1" applyBorder="1" applyAlignment="1">
      <alignment vertical="top" wrapText="1"/>
    </xf>
    <xf numFmtId="49" fontId="2" fillId="26" borderId="68" xfId="0" applyNumberFormat="1" applyFont="1" applyFill="1" applyBorder="1" applyAlignment="1">
      <alignment vertical="top" wrapText="1"/>
    </xf>
    <xf numFmtId="49" fontId="2" fillId="26" borderId="20" xfId="0" applyNumberFormat="1" applyFont="1" applyFill="1" applyBorder="1" applyAlignment="1">
      <alignment vertical="top" wrapText="1"/>
    </xf>
    <xf numFmtId="49" fontId="2" fillId="24" borderId="78" xfId="0" applyNumberFormat="1" applyFont="1" applyFill="1" applyBorder="1" applyAlignment="1">
      <alignment vertical="top"/>
    </xf>
    <xf numFmtId="188" fontId="7" fillId="0" borderId="0" xfId="0" applyNumberFormat="1" applyFont="1" applyFill="1" applyBorder="1" applyAlignment="1">
      <alignment horizontal="center" vertical="top" wrapText="1"/>
    </xf>
    <xf numFmtId="0" fontId="2" fillId="16" borderId="24" xfId="0" applyFont="1" applyFill="1" applyBorder="1" applyAlignment="1">
      <alignment horizontal="left" vertical="center" wrapText="1"/>
    </xf>
    <xf numFmtId="188" fontId="11" fillId="16" borderId="21" xfId="0" applyNumberFormat="1" applyFont="1" applyFill="1" applyBorder="1" applyAlignment="1">
      <alignment horizontal="right" vertical="top" wrapText="1"/>
    </xf>
    <xf numFmtId="0" fontId="2" fillId="16" borderId="57" xfId="0" applyFont="1" applyFill="1" applyBorder="1" applyAlignment="1">
      <alignment horizontal="left" vertical="center" wrapText="1"/>
    </xf>
    <xf numFmtId="188" fontId="11" fillId="16" borderId="62" xfId="0" applyNumberFormat="1" applyFont="1" applyFill="1" applyBorder="1" applyAlignment="1">
      <alignment horizontal="right" vertical="top" wrapText="1"/>
    </xf>
    <xf numFmtId="188" fontId="10" fillId="16" borderId="22" xfId="0" applyNumberFormat="1" applyFont="1" applyFill="1" applyBorder="1" applyAlignment="1">
      <alignment horizontal="right" vertical="top" wrapText="1"/>
    </xf>
    <xf numFmtId="188" fontId="10" fillId="16" borderId="29" xfId="0" applyNumberFormat="1" applyFont="1" applyFill="1" applyBorder="1" applyAlignment="1">
      <alignment horizontal="right" vertical="top" wrapText="1"/>
    </xf>
    <xf numFmtId="188" fontId="10" fillId="16" borderId="38" xfId="0" applyNumberFormat="1" applyFont="1" applyFill="1" applyBorder="1" applyAlignment="1">
      <alignment horizontal="right" vertical="top" wrapText="1"/>
    </xf>
    <xf numFmtId="0" fontId="1" fillId="16" borderId="64" xfId="0" applyFont="1" applyFill="1" applyBorder="1" applyAlignment="1">
      <alignment horizontal="center" vertical="top"/>
    </xf>
    <xf numFmtId="188" fontId="1" fillId="16" borderId="37" xfId="0" applyNumberFormat="1" applyFont="1" applyFill="1" applyBorder="1" applyAlignment="1">
      <alignment horizontal="right" vertical="top"/>
    </xf>
    <xf numFmtId="188" fontId="1" fillId="16" borderId="12" xfId="0" applyNumberFormat="1" applyFont="1" applyFill="1" applyBorder="1" applyAlignment="1">
      <alignment horizontal="right" vertical="top"/>
    </xf>
    <xf numFmtId="188" fontId="1" fillId="16" borderId="65" xfId="0" applyNumberFormat="1" applyFont="1" applyFill="1" applyBorder="1" applyAlignment="1">
      <alignment horizontal="right" vertical="top"/>
    </xf>
    <xf numFmtId="188" fontId="1" fillId="16" borderId="62" xfId="0" applyNumberFormat="1" applyFont="1" applyFill="1" applyBorder="1" applyAlignment="1">
      <alignment horizontal="right" vertical="top" wrapText="1"/>
    </xf>
    <xf numFmtId="0" fontId="1" fillId="16" borderId="81" xfId="0" applyFont="1" applyFill="1" applyBorder="1" applyAlignment="1">
      <alignment horizontal="center" vertical="top"/>
    </xf>
    <xf numFmtId="0" fontId="1" fillId="16" borderId="38" xfId="0" applyFont="1" applyFill="1" applyBorder="1" applyAlignment="1">
      <alignment horizontal="center" vertical="top" wrapText="1"/>
    </xf>
    <xf numFmtId="0" fontId="1" fillId="16" borderId="62" xfId="0" applyFont="1" applyFill="1" applyBorder="1" applyAlignment="1">
      <alignment horizontal="center" vertical="top" wrapText="1"/>
    </xf>
    <xf numFmtId="188" fontId="1" fillId="16" borderId="62" xfId="0" applyNumberFormat="1" applyFont="1" applyFill="1" applyBorder="1" applyAlignment="1">
      <alignment horizontal="right" vertical="top"/>
    </xf>
    <xf numFmtId="0" fontId="1" fillId="16" borderId="81" xfId="0" applyFont="1" applyFill="1" applyBorder="1" applyAlignment="1">
      <alignment horizontal="center" vertical="top" wrapText="1"/>
    </xf>
    <xf numFmtId="0" fontId="1" fillId="16" borderId="38" xfId="0" applyFont="1" applyFill="1" applyBorder="1" applyAlignment="1">
      <alignment horizontal="center" vertical="top"/>
    </xf>
    <xf numFmtId="188" fontId="7" fillId="16" borderId="41" xfId="0" applyNumberFormat="1" applyFont="1" applyFill="1" applyBorder="1" applyAlignment="1">
      <alignment horizontal="right" vertical="top"/>
    </xf>
    <xf numFmtId="188" fontId="7" fillId="16" borderId="42" xfId="0" applyNumberFormat="1" applyFont="1" applyFill="1" applyBorder="1" applyAlignment="1">
      <alignment horizontal="right" vertical="top"/>
    </xf>
    <xf numFmtId="188" fontId="7" fillId="16" borderId="43" xfId="0" applyNumberFormat="1" applyFont="1" applyFill="1" applyBorder="1" applyAlignment="1">
      <alignment horizontal="right" vertical="top"/>
    </xf>
    <xf numFmtId="188" fontId="7" fillId="16" borderId="26" xfId="0" applyNumberFormat="1" applyFont="1" applyFill="1" applyBorder="1" applyAlignment="1">
      <alignment horizontal="right" vertical="top"/>
    </xf>
    <xf numFmtId="188" fontId="7" fillId="16" borderId="39" xfId="0" applyNumberFormat="1" applyFont="1" applyFill="1" applyBorder="1" applyAlignment="1">
      <alignment horizontal="right" vertical="top"/>
    </xf>
    <xf numFmtId="188" fontId="7" fillId="16" borderId="39" xfId="0" applyNumberFormat="1" applyFont="1" applyFill="1" applyBorder="1" applyAlignment="1">
      <alignment horizontal="right" vertical="top"/>
    </xf>
    <xf numFmtId="188" fontId="7" fillId="16" borderId="47" xfId="0" applyNumberFormat="1" applyFont="1" applyFill="1" applyBorder="1" applyAlignment="1">
      <alignment horizontal="right" vertical="top"/>
    </xf>
    <xf numFmtId="188" fontId="7" fillId="16" borderId="57" xfId="0" applyNumberFormat="1" applyFont="1" applyFill="1" applyBorder="1" applyAlignment="1">
      <alignment horizontal="right" vertical="top"/>
    </xf>
    <xf numFmtId="188" fontId="7" fillId="16" borderId="11" xfId="0" applyNumberFormat="1" applyFont="1" applyFill="1" applyBorder="1" applyAlignment="1">
      <alignment horizontal="right" vertical="center"/>
    </xf>
    <xf numFmtId="188" fontId="7" fillId="16" borderId="11" xfId="0" applyNumberFormat="1" applyFont="1" applyFill="1" applyBorder="1" applyAlignment="1">
      <alignment horizontal="right" vertical="center"/>
    </xf>
    <xf numFmtId="188" fontId="7" fillId="16" borderId="58" xfId="0" applyNumberFormat="1" applyFont="1" applyFill="1" applyBorder="1" applyAlignment="1">
      <alignment horizontal="right" vertical="center"/>
    </xf>
    <xf numFmtId="188" fontId="7" fillId="16" borderId="25" xfId="0" applyNumberFormat="1" applyFont="1" applyFill="1" applyBorder="1" applyAlignment="1">
      <alignment horizontal="right" vertical="top"/>
    </xf>
    <xf numFmtId="188" fontId="7" fillId="16" borderId="39" xfId="0" applyNumberFormat="1" applyFont="1" applyFill="1" applyBorder="1" applyAlignment="1">
      <alignment horizontal="right" vertical="center"/>
    </xf>
    <xf numFmtId="188" fontId="7" fillId="16" borderId="39" xfId="0" applyNumberFormat="1" applyFont="1" applyFill="1" applyBorder="1" applyAlignment="1">
      <alignment horizontal="right" vertical="center"/>
    </xf>
    <xf numFmtId="188" fontId="7" fillId="16" borderId="47" xfId="0" applyNumberFormat="1" applyFont="1" applyFill="1" applyBorder="1" applyAlignment="1">
      <alignment horizontal="right" vertical="center"/>
    </xf>
    <xf numFmtId="188" fontId="7" fillId="16" borderId="49" xfId="0" applyNumberFormat="1" applyFont="1" applyFill="1" applyBorder="1" applyAlignment="1">
      <alignment horizontal="right" vertical="top"/>
    </xf>
    <xf numFmtId="188" fontId="7" fillId="16" borderId="33" xfId="0" applyNumberFormat="1" applyFont="1" applyFill="1" applyBorder="1" applyAlignment="1">
      <alignment horizontal="right" vertical="top"/>
    </xf>
    <xf numFmtId="188" fontId="7" fillId="16" borderId="33" xfId="0" applyNumberFormat="1" applyFont="1" applyFill="1" applyBorder="1" applyAlignment="1">
      <alignment horizontal="right" vertical="top"/>
    </xf>
    <xf numFmtId="188" fontId="7" fillId="16" borderId="19" xfId="0" applyNumberFormat="1" applyFont="1" applyFill="1" applyBorder="1" applyAlignment="1">
      <alignment horizontal="right" vertical="top"/>
    </xf>
    <xf numFmtId="188" fontId="7" fillId="16" borderId="67" xfId="0" applyNumberFormat="1" applyFont="1" applyFill="1" applyBorder="1" applyAlignment="1">
      <alignment horizontal="right" vertical="top"/>
    </xf>
    <xf numFmtId="188" fontId="7" fillId="16" borderId="66" xfId="0" applyNumberFormat="1" applyFont="1" applyFill="1" applyBorder="1" applyAlignment="1">
      <alignment horizontal="right" vertical="top"/>
    </xf>
    <xf numFmtId="188" fontId="7" fillId="16" borderId="23" xfId="0" applyNumberFormat="1" applyFont="1" applyFill="1" applyBorder="1" applyAlignment="1">
      <alignment horizontal="right" vertical="top"/>
    </xf>
    <xf numFmtId="188" fontId="7" fillId="16" borderId="16" xfId="0" applyNumberFormat="1" applyFont="1" applyFill="1" applyBorder="1" applyAlignment="1">
      <alignment horizontal="right" vertical="top"/>
    </xf>
    <xf numFmtId="188" fontId="7" fillId="16" borderId="51" xfId="0" applyNumberFormat="1" applyFont="1" applyFill="1" applyBorder="1" applyAlignment="1">
      <alignment horizontal="right" vertical="top"/>
    </xf>
    <xf numFmtId="188" fontId="7" fillId="16" borderId="18" xfId="0" applyNumberFormat="1" applyFont="1" applyFill="1" applyBorder="1" applyAlignment="1">
      <alignment horizontal="right" vertical="top"/>
    </xf>
    <xf numFmtId="188" fontId="7" fillId="16" borderId="42" xfId="0" applyNumberFormat="1" applyFont="1" applyFill="1" applyBorder="1" applyAlignment="1">
      <alignment horizontal="right" vertical="top"/>
    </xf>
    <xf numFmtId="188" fontId="7" fillId="16" borderId="30" xfId="0" applyNumberFormat="1" applyFont="1" applyFill="1" applyBorder="1" applyAlignment="1">
      <alignment horizontal="right" vertical="top"/>
    </xf>
    <xf numFmtId="188" fontId="7" fillId="16" borderId="44" xfId="0" applyNumberFormat="1" applyFont="1" applyFill="1" applyBorder="1" applyAlignment="1">
      <alignment horizontal="right" vertical="top"/>
    </xf>
    <xf numFmtId="188" fontId="1" fillId="16" borderId="42" xfId="0" applyNumberFormat="1" applyFont="1" applyFill="1" applyBorder="1" applyAlignment="1">
      <alignment horizontal="right" vertical="top"/>
    </xf>
    <xf numFmtId="188" fontId="1" fillId="16" borderId="43" xfId="0" applyNumberFormat="1" applyFont="1" applyFill="1" applyBorder="1" applyAlignment="1">
      <alignment horizontal="right" vertical="top"/>
    </xf>
    <xf numFmtId="188" fontId="1" fillId="16" borderId="30" xfId="0" applyNumberFormat="1" applyFont="1" applyFill="1" applyBorder="1" applyAlignment="1">
      <alignment horizontal="right" vertical="top"/>
    </xf>
    <xf numFmtId="188" fontId="1" fillId="16" borderId="44" xfId="0" applyNumberFormat="1" applyFont="1" applyFill="1" applyBorder="1" applyAlignment="1">
      <alignment horizontal="right" vertical="top"/>
    </xf>
    <xf numFmtId="188" fontId="7" fillId="16" borderId="33" xfId="0" applyNumberFormat="1" applyFont="1" applyFill="1" applyBorder="1" applyAlignment="1">
      <alignment horizontal="right" vertical="center"/>
    </xf>
    <xf numFmtId="188" fontId="7" fillId="16" borderId="30" xfId="0" applyNumberFormat="1" applyFont="1" applyFill="1" applyBorder="1" applyAlignment="1">
      <alignment horizontal="right" vertical="center"/>
    </xf>
    <xf numFmtId="188" fontId="7" fillId="16" borderId="44" xfId="0" applyNumberFormat="1" applyFont="1" applyFill="1" applyBorder="1" applyAlignment="1">
      <alignment horizontal="right" vertical="center"/>
    </xf>
    <xf numFmtId="0" fontId="1" fillId="16" borderId="15" xfId="0" applyFont="1" applyFill="1" applyBorder="1" applyAlignment="1">
      <alignment horizontal="center" vertical="top" wrapText="1"/>
    </xf>
    <xf numFmtId="188" fontId="1" fillId="16" borderId="76" xfId="0" applyNumberFormat="1" applyFont="1" applyFill="1" applyBorder="1" applyAlignment="1">
      <alignment horizontal="right" vertical="top"/>
    </xf>
    <xf numFmtId="188" fontId="1" fillId="16" borderId="82" xfId="0" applyNumberFormat="1" applyFont="1" applyFill="1" applyBorder="1" applyAlignment="1">
      <alignment horizontal="right" vertical="top"/>
    </xf>
    <xf numFmtId="188" fontId="1" fillId="16" borderId="0" xfId="0" applyNumberFormat="1" applyFont="1" applyFill="1" applyBorder="1" applyAlignment="1">
      <alignment horizontal="right" vertical="top"/>
    </xf>
    <xf numFmtId="188" fontId="1" fillId="16" borderId="11" xfId="0" applyNumberFormat="1" applyFont="1" applyFill="1" applyBorder="1" applyAlignment="1">
      <alignment horizontal="right" vertical="top"/>
    </xf>
    <xf numFmtId="188" fontId="1" fillId="16" borderId="58" xfId="0" applyNumberFormat="1" applyFont="1" applyFill="1" applyBorder="1" applyAlignment="1">
      <alignment horizontal="right" vertical="top"/>
    </xf>
    <xf numFmtId="188" fontId="1" fillId="16" borderId="57" xfId="0" applyNumberFormat="1" applyFont="1" applyFill="1" applyBorder="1" applyAlignment="1">
      <alignment horizontal="right" vertical="top"/>
    </xf>
    <xf numFmtId="0" fontId="1" fillId="16" borderId="83" xfId="0" applyFont="1" applyFill="1" applyBorder="1" applyAlignment="1">
      <alignment horizontal="center" vertical="top" wrapText="1"/>
    </xf>
    <xf numFmtId="188" fontId="1" fillId="16" borderId="55" xfId="0" applyNumberFormat="1" applyFont="1" applyFill="1" applyBorder="1" applyAlignment="1">
      <alignment horizontal="right" vertical="top"/>
    </xf>
    <xf numFmtId="188" fontId="1" fillId="16" borderId="34" xfId="0" applyNumberFormat="1" applyFont="1" applyFill="1" applyBorder="1" applyAlignment="1">
      <alignment horizontal="right" vertical="top"/>
    </xf>
    <xf numFmtId="188" fontId="1" fillId="16" borderId="84" xfId="0" applyNumberFormat="1" applyFont="1" applyFill="1" applyBorder="1" applyAlignment="1">
      <alignment horizontal="right" vertical="top"/>
    </xf>
    <xf numFmtId="188" fontId="1" fillId="16" borderId="85" xfId="0" applyNumberFormat="1" applyFont="1" applyFill="1" applyBorder="1" applyAlignment="1">
      <alignment horizontal="right" vertical="top"/>
    </xf>
    <xf numFmtId="188" fontId="1" fillId="16" borderId="23" xfId="0" applyNumberFormat="1" applyFont="1" applyFill="1" applyBorder="1" applyAlignment="1">
      <alignment horizontal="right" vertical="top" wrapText="1"/>
    </xf>
    <xf numFmtId="188" fontId="1" fillId="16" borderId="15" xfId="0" applyNumberFormat="1" applyFont="1" applyFill="1" applyBorder="1" applyAlignment="1">
      <alignment horizontal="right" vertical="top"/>
    </xf>
    <xf numFmtId="188" fontId="7" fillId="16" borderId="43" xfId="0" applyNumberFormat="1" applyFont="1" applyFill="1" applyBorder="1" applyAlignment="1">
      <alignment horizontal="right" vertical="top"/>
    </xf>
    <xf numFmtId="188" fontId="7" fillId="16" borderId="30" xfId="0" applyNumberFormat="1" applyFont="1" applyFill="1" applyBorder="1" applyAlignment="1">
      <alignment horizontal="right" vertical="top"/>
    </xf>
    <xf numFmtId="188" fontId="7" fillId="16" borderId="44" xfId="0" applyNumberFormat="1" applyFont="1" applyFill="1" applyBorder="1" applyAlignment="1">
      <alignment horizontal="right" vertical="top"/>
    </xf>
    <xf numFmtId="188" fontId="7" fillId="16" borderId="47" xfId="0" applyNumberFormat="1" applyFont="1" applyFill="1" applyBorder="1" applyAlignment="1">
      <alignment horizontal="right" vertical="top"/>
    </xf>
    <xf numFmtId="188" fontId="7" fillId="16" borderId="69" xfId="0" applyNumberFormat="1" applyFont="1" applyFill="1" applyBorder="1" applyAlignment="1">
      <alignment horizontal="right" vertical="top"/>
    </xf>
    <xf numFmtId="0" fontId="21" fillId="16" borderId="62" xfId="0" applyFont="1" applyFill="1" applyBorder="1" applyAlignment="1">
      <alignment horizontal="center" vertical="top"/>
    </xf>
    <xf numFmtId="0" fontId="1" fillId="16" borderId="64" xfId="0" applyFont="1" applyFill="1" applyBorder="1" applyAlignment="1">
      <alignment horizontal="right" vertical="top" wrapText="1"/>
    </xf>
    <xf numFmtId="188" fontId="1" fillId="16" borderId="86" xfId="0" applyNumberFormat="1" applyFont="1" applyFill="1" applyBorder="1" applyAlignment="1">
      <alignment horizontal="right" vertical="top"/>
    </xf>
    <xf numFmtId="188" fontId="1" fillId="16" borderId="36" xfId="0" applyNumberFormat="1" applyFont="1" applyFill="1" applyBorder="1" applyAlignment="1">
      <alignment horizontal="right" vertical="top"/>
    </xf>
    <xf numFmtId="188" fontId="1" fillId="16" borderId="87" xfId="0" applyNumberFormat="1" applyFont="1" applyFill="1" applyBorder="1" applyAlignment="1">
      <alignment horizontal="right" vertical="top"/>
    </xf>
    <xf numFmtId="188" fontId="1" fillId="16" borderId="88" xfId="0" applyNumberFormat="1" applyFont="1" applyFill="1" applyBorder="1" applyAlignment="1">
      <alignment horizontal="right" vertical="top"/>
    </xf>
    <xf numFmtId="188" fontId="1" fillId="16" borderId="81" xfId="0" applyNumberFormat="1" applyFont="1" applyFill="1" applyBorder="1" applyAlignment="1">
      <alignment horizontal="right" vertical="top"/>
    </xf>
    <xf numFmtId="188" fontId="1" fillId="16" borderId="89" xfId="0" applyNumberFormat="1" applyFont="1" applyFill="1" applyBorder="1" applyAlignment="1">
      <alignment horizontal="right" vertical="top"/>
    </xf>
    <xf numFmtId="188" fontId="7" fillId="16" borderId="46" xfId="0" applyNumberFormat="1" applyFont="1" applyFill="1" applyBorder="1" applyAlignment="1">
      <alignment horizontal="right" vertical="top"/>
    </xf>
    <xf numFmtId="188" fontId="7" fillId="16" borderId="45" xfId="0" applyNumberFormat="1" applyFont="1" applyFill="1" applyBorder="1" applyAlignment="1">
      <alignment horizontal="right" vertical="top"/>
    </xf>
    <xf numFmtId="188" fontId="7" fillId="16" borderId="32" xfId="0" applyNumberFormat="1" applyFont="1" applyFill="1" applyBorder="1" applyAlignment="1">
      <alignment horizontal="right" vertical="top"/>
    </xf>
    <xf numFmtId="188" fontId="7" fillId="16" borderId="31" xfId="0" applyNumberFormat="1" applyFont="1" applyFill="1" applyBorder="1" applyAlignment="1">
      <alignment horizontal="right" vertical="top"/>
    </xf>
    <xf numFmtId="0" fontId="1" fillId="16" borderId="83" xfId="0" applyFont="1" applyFill="1" applyBorder="1" applyAlignment="1">
      <alignment horizontal="right" vertical="top" wrapText="1"/>
    </xf>
    <xf numFmtId="188" fontId="7" fillId="16" borderId="24" xfId="0" applyNumberFormat="1" applyFont="1" applyFill="1" applyBorder="1" applyAlignment="1">
      <alignment horizontal="right" vertical="top"/>
    </xf>
    <xf numFmtId="0" fontId="1" fillId="16" borderId="62" xfId="0" applyFont="1" applyFill="1" applyBorder="1" applyAlignment="1">
      <alignment horizontal="right" vertical="top" wrapText="1"/>
    </xf>
    <xf numFmtId="188" fontId="1" fillId="16" borderId="89" xfId="0" applyNumberFormat="1" applyFont="1" applyFill="1" applyBorder="1" applyAlignment="1">
      <alignment horizontal="right" vertical="top"/>
    </xf>
    <xf numFmtId="188" fontId="1" fillId="16" borderId="36" xfId="0" applyNumberFormat="1" applyFont="1" applyFill="1" applyBorder="1" applyAlignment="1">
      <alignment horizontal="right" vertical="top"/>
    </xf>
    <xf numFmtId="188" fontId="1" fillId="16" borderId="86" xfId="0" applyNumberFormat="1" applyFont="1" applyFill="1" applyBorder="1" applyAlignment="1">
      <alignment horizontal="right" vertical="top"/>
    </xf>
    <xf numFmtId="188" fontId="1" fillId="16" borderId="38" xfId="0" applyNumberFormat="1" applyFont="1" applyFill="1" applyBorder="1" applyAlignment="1">
      <alignment horizontal="right" vertical="top"/>
    </xf>
    <xf numFmtId="188" fontId="1" fillId="16" borderId="90" xfId="0" applyNumberFormat="1" applyFont="1" applyFill="1" applyBorder="1" applyAlignment="1">
      <alignment horizontal="right" vertical="top"/>
    </xf>
    <xf numFmtId="188" fontId="1" fillId="16" borderId="38" xfId="0" applyNumberFormat="1" applyFont="1" applyFill="1" applyBorder="1" applyAlignment="1">
      <alignment horizontal="right" vertical="top"/>
    </xf>
    <xf numFmtId="188" fontId="7" fillId="16" borderId="53" xfId="0" applyNumberFormat="1" applyFont="1" applyFill="1" applyBorder="1" applyAlignment="1">
      <alignment horizontal="right" vertical="top"/>
    </xf>
    <xf numFmtId="188" fontId="7" fillId="16" borderId="54" xfId="0" applyNumberFormat="1" applyFont="1" applyFill="1" applyBorder="1" applyAlignment="1">
      <alignment horizontal="right" vertical="top"/>
    </xf>
    <xf numFmtId="188" fontId="7" fillId="16" borderId="49" xfId="0" applyNumberFormat="1" applyFont="1" applyFill="1" applyBorder="1" applyAlignment="1">
      <alignment horizontal="right" vertical="top"/>
    </xf>
    <xf numFmtId="188" fontId="7" fillId="16" borderId="31" xfId="0" applyNumberFormat="1" applyFont="1" applyFill="1" applyBorder="1" applyAlignment="1">
      <alignment horizontal="right" vertical="top"/>
    </xf>
    <xf numFmtId="188" fontId="7" fillId="16" borderId="16" xfId="0" applyNumberFormat="1" applyFont="1" applyFill="1" applyBorder="1" applyAlignment="1">
      <alignment horizontal="right" vertical="top"/>
    </xf>
    <xf numFmtId="188" fontId="7" fillId="16" borderId="48" xfId="0" applyNumberFormat="1" applyFont="1" applyFill="1" applyBorder="1" applyAlignment="1">
      <alignment horizontal="right" vertical="top"/>
    </xf>
    <xf numFmtId="188" fontId="7" fillId="16" borderId="55" xfId="0" applyNumberFormat="1" applyFont="1" applyFill="1" applyBorder="1" applyAlignment="1">
      <alignment horizontal="right" vertical="top"/>
    </xf>
    <xf numFmtId="188" fontId="7" fillId="16" borderId="34" xfId="0" applyNumberFormat="1" applyFont="1" applyFill="1" applyBorder="1" applyAlignment="1">
      <alignment horizontal="right" vertical="top"/>
    </xf>
    <xf numFmtId="188" fontId="7" fillId="16" borderId="56" xfId="0" applyNumberFormat="1" applyFont="1" applyFill="1" applyBorder="1" applyAlignment="1">
      <alignment horizontal="right" vertical="top"/>
    </xf>
    <xf numFmtId="188" fontId="7" fillId="16" borderId="48" xfId="0" applyNumberFormat="1" applyFont="1" applyFill="1" applyBorder="1" applyAlignment="1">
      <alignment horizontal="right" vertical="top"/>
    </xf>
    <xf numFmtId="188" fontId="7" fillId="16" borderId="11" xfId="0" applyNumberFormat="1" applyFont="1" applyFill="1" applyBorder="1" applyAlignment="1">
      <alignment horizontal="right" vertical="top"/>
    </xf>
    <xf numFmtId="188" fontId="7" fillId="16" borderId="0" xfId="0" applyNumberFormat="1" applyFont="1" applyFill="1" applyBorder="1" applyAlignment="1">
      <alignment horizontal="right" vertical="top"/>
    </xf>
    <xf numFmtId="188" fontId="7" fillId="16" borderId="58" xfId="0" applyNumberFormat="1" applyFont="1" applyFill="1" applyBorder="1" applyAlignment="1">
      <alignment horizontal="right" vertical="top"/>
    </xf>
    <xf numFmtId="188" fontId="1" fillId="16" borderId="38" xfId="0" applyNumberFormat="1" applyFont="1" applyFill="1" applyBorder="1" applyAlignment="1">
      <alignment horizontal="right" vertical="top" wrapText="1"/>
    </xf>
    <xf numFmtId="188" fontId="7" fillId="16" borderId="19" xfId="0" applyNumberFormat="1" applyFont="1" applyFill="1" applyBorder="1" applyAlignment="1">
      <alignment horizontal="right" vertical="top"/>
    </xf>
    <xf numFmtId="0" fontId="1" fillId="16" borderId="62" xfId="0" applyFont="1" applyFill="1" applyBorder="1" applyAlignment="1">
      <alignment horizontal="center" vertical="top"/>
    </xf>
    <xf numFmtId="0" fontId="1" fillId="16" borderId="62" xfId="0" applyFont="1" applyFill="1" applyBorder="1" applyAlignment="1">
      <alignment horizontal="center" vertical="top" wrapText="1"/>
    </xf>
    <xf numFmtId="0" fontId="1" fillId="16" borderId="38" xfId="0" applyFont="1" applyFill="1" applyBorder="1" applyAlignment="1">
      <alignment horizontal="center" vertical="top" wrapText="1"/>
    </xf>
    <xf numFmtId="188" fontId="1" fillId="16" borderId="13" xfId="0" applyNumberFormat="1" applyFont="1" applyFill="1" applyBorder="1" applyAlignment="1">
      <alignment horizontal="right" vertical="top"/>
    </xf>
    <xf numFmtId="0" fontId="1" fillId="16" borderId="81" xfId="0" applyFont="1" applyFill="1" applyBorder="1" applyAlignment="1">
      <alignment horizontal="center" vertical="top" wrapText="1"/>
    </xf>
    <xf numFmtId="0" fontId="1" fillId="16" borderId="64" xfId="0" applyFont="1" applyFill="1" applyBorder="1" applyAlignment="1">
      <alignment horizontal="center" vertical="top" wrapText="1"/>
    </xf>
    <xf numFmtId="0" fontId="21" fillId="16" borderId="38" xfId="0" applyFont="1" applyFill="1" applyBorder="1" applyAlignment="1">
      <alignment horizontal="center" vertical="top"/>
    </xf>
    <xf numFmtId="188" fontId="7" fillId="16" borderId="42" xfId="0" applyNumberFormat="1" applyFont="1" applyFill="1" applyBorder="1" applyAlignment="1">
      <alignment horizontal="right" vertical="center"/>
    </xf>
    <xf numFmtId="188" fontId="7" fillId="16" borderId="43" xfId="0" applyNumberFormat="1" applyFont="1" applyFill="1" applyBorder="1" applyAlignment="1">
      <alignment horizontal="right" vertical="center"/>
    </xf>
    <xf numFmtId="0" fontId="1" fillId="16" borderId="38" xfId="0" applyFont="1" applyFill="1" applyBorder="1" applyAlignment="1">
      <alignment horizontal="right" vertical="top" wrapText="1"/>
    </xf>
    <xf numFmtId="188" fontId="1" fillId="16" borderId="83" xfId="0" applyNumberFormat="1" applyFont="1" applyFill="1" applyBorder="1" applyAlignment="1">
      <alignment horizontal="right" vertical="top"/>
    </xf>
    <xf numFmtId="188" fontId="7" fillId="16" borderId="41" xfId="0" applyNumberFormat="1" applyFont="1" applyFill="1" applyBorder="1" applyAlignment="1">
      <alignment horizontal="right" vertical="top"/>
    </xf>
    <xf numFmtId="188" fontId="7" fillId="16" borderId="45" xfId="0" applyNumberFormat="1" applyFont="1" applyFill="1" applyBorder="1" applyAlignment="1">
      <alignment horizontal="right" vertical="top"/>
    </xf>
    <xf numFmtId="0" fontId="7" fillId="0" borderId="91" xfId="0" applyFont="1" applyFill="1" applyBorder="1" applyAlignment="1">
      <alignment vertical="center" textRotation="90" wrapText="1"/>
    </xf>
    <xf numFmtId="0" fontId="7" fillId="0" borderId="57" xfId="0" applyFont="1" applyFill="1" applyBorder="1" applyAlignment="1">
      <alignment horizontal="center" vertical="center" textRotation="90" wrapText="1"/>
    </xf>
    <xf numFmtId="0" fontId="8" fillId="0" borderId="57" xfId="0" applyFont="1" applyFill="1" applyBorder="1" applyAlignment="1">
      <alignment vertical="center" textRotation="90" wrapText="1"/>
    </xf>
    <xf numFmtId="0" fontId="0" fillId="0" borderId="57" xfId="0" applyFont="1" applyBorder="1" applyAlignment="1">
      <alignment/>
    </xf>
    <xf numFmtId="0" fontId="7" fillId="0" borderId="37" xfId="0" applyFont="1" applyFill="1" applyBorder="1" applyAlignment="1">
      <alignment vertical="center" textRotation="90" wrapText="1"/>
    </xf>
    <xf numFmtId="49" fontId="3" fillId="0" borderId="58" xfId="0" applyNumberFormat="1" applyFont="1" applyFill="1" applyBorder="1" applyAlignment="1">
      <alignment horizontal="center" vertical="top"/>
    </xf>
    <xf numFmtId="49" fontId="7" fillId="25" borderId="57" xfId="0" applyNumberFormat="1" applyFont="1" applyFill="1" applyBorder="1" applyAlignment="1">
      <alignment horizontal="center" vertical="top"/>
    </xf>
    <xf numFmtId="49" fontId="3" fillId="0" borderId="54" xfId="0" applyNumberFormat="1" applyFont="1" applyFill="1" applyBorder="1" applyAlignment="1">
      <alignment horizontal="center" vertical="top"/>
    </xf>
    <xf numFmtId="49" fontId="7" fillId="25" borderId="37" xfId="0" applyNumberFormat="1" applyFont="1" applyFill="1" applyBorder="1" applyAlignment="1">
      <alignment horizontal="center" vertical="top"/>
    </xf>
    <xf numFmtId="0" fontId="7" fillId="0" borderId="24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textRotation="90" wrapText="1"/>
    </xf>
    <xf numFmtId="49" fontId="3" fillId="0" borderId="65" xfId="0" applyNumberFormat="1" applyFont="1" applyFill="1" applyBorder="1" applyAlignment="1">
      <alignment vertical="top"/>
    </xf>
    <xf numFmtId="0" fontId="7" fillId="0" borderId="27" xfId="0" applyFont="1" applyFill="1" applyBorder="1" applyAlignment="1">
      <alignment horizontal="center" vertical="center" textRotation="90" wrapText="1"/>
    </xf>
    <xf numFmtId="188" fontId="7" fillId="16" borderId="42" xfId="0" applyNumberFormat="1" applyFont="1" applyFill="1" applyBorder="1" applyAlignment="1">
      <alignment horizontal="right" vertical="top"/>
    </xf>
    <xf numFmtId="188" fontId="10" fillId="0" borderId="29" xfId="0" applyNumberFormat="1" applyFont="1" applyFill="1" applyBorder="1" applyAlignment="1">
      <alignment horizontal="right" vertical="top" wrapText="1"/>
    </xf>
    <xf numFmtId="188" fontId="10" fillId="16" borderId="29" xfId="0" applyNumberFormat="1" applyFont="1" applyFill="1" applyBorder="1" applyAlignment="1">
      <alignment horizontal="right" vertical="top" wrapText="1"/>
    </xf>
    <xf numFmtId="188" fontId="46" fillId="16" borderId="42" xfId="0" applyNumberFormat="1" applyFont="1" applyFill="1" applyBorder="1" applyAlignment="1">
      <alignment horizontal="right" vertical="top"/>
    </xf>
    <xf numFmtId="188" fontId="46" fillId="16" borderId="42" xfId="0" applyNumberFormat="1" applyFont="1" applyFill="1" applyBorder="1" applyAlignment="1">
      <alignment horizontal="right" vertical="top"/>
    </xf>
    <xf numFmtId="188" fontId="46" fillId="16" borderId="41" xfId="0" applyNumberFormat="1" applyFont="1" applyFill="1" applyBorder="1" applyAlignment="1">
      <alignment horizontal="right" vertical="top"/>
    </xf>
    <xf numFmtId="0" fontId="0" fillId="0" borderId="0" xfId="0" applyFont="1" applyAlignment="1">
      <alignment/>
    </xf>
    <xf numFmtId="49" fontId="7" fillId="0" borderId="53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49" fontId="7" fillId="0" borderId="53" xfId="0" applyNumberFormat="1" applyFont="1" applyFill="1" applyBorder="1" applyAlignment="1">
      <alignment horizontal="center" vertical="top"/>
    </xf>
    <xf numFmtId="49" fontId="7" fillId="0" borderId="12" xfId="0" applyNumberFormat="1" applyFont="1" applyFill="1" applyBorder="1" applyAlignment="1">
      <alignment horizontal="center" vertical="top"/>
    </xf>
    <xf numFmtId="188" fontId="46" fillId="16" borderId="54" xfId="0" applyNumberFormat="1" applyFont="1" applyFill="1" applyBorder="1" applyAlignment="1">
      <alignment horizontal="right" vertical="top"/>
    </xf>
    <xf numFmtId="188" fontId="46" fillId="16" borderId="44" xfId="0" applyNumberFormat="1" applyFont="1" applyFill="1" applyBorder="1" applyAlignment="1">
      <alignment horizontal="right" vertical="top"/>
    </xf>
    <xf numFmtId="188" fontId="46" fillId="16" borderId="49" xfId="0" applyNumberFormat="1" applyFont="1" applyFill="1" applyBorder="1" applyAlignment="1">
      <alignment horizontal="right" vertical="top"/>
    </xf>
    <xf numFmtId="0" fontId="7" fillId="0" borderId="75" xfId="0" applyFont="1" applyFill="1" applyBorder="1" applyAlignment="1">
      <alignment horizontal="center" vertical="top" wrapText="1"/>
    </xf>
    <xf numFmtId="0" fontId="7" fillId="0" borderId="76" xfId="0" applyFont="1" applyFill="1" applyBorder="1" applyAlignment="1">
      <alignment horizontal="center" vertical="top" wrapText="1"/>
    </xf>
    <xf numFmtId="0" fontId="7" fillId="25" borderId="20" xfId="0" applyFont="1" applyFill="1" applyBorder="1" applyAlignment="1">
      <alignment horizontal="center" vertical="top"/>
    </xf>
    <xf numFmtId="49" fontId="7" fillId="4" borderId="78" xfId="0" applyNumberFormat="1" applyFont="1" applyFill="1" applyBorder="1" applyAlignment="1">
      <alignment horizontal="left" vertical="top"/>
    </xf>
    <xf numFmtId="49" fontId="7" fillId="4" borderId="78" xfId="0" applyNumberFormat="1" applyFont="1" applyFill="1" applyBorder="1" applyAlignment="1">
      <alignment vertical="top"/>
    </xf>
    <xf numFmtId="49" fontId="7" fillId="24" borderId="78" xfId="0" applyNumberFormat="1" applyFont="1" applyFill="1" applyBorder="1" applyAlignment="1">
      <alignment vertical="top"/>
    </xf>
    <xf numFmtId="49" fontId="7" fillId="0" borderId="75" xfId="0" applyNumberFormat="1" applyFont="1" applyFill="1" applyBorder="1" applyAlignment="1">
      <alignment horizontal="center" vertical="top"/>
    </xf>
    <xf numFmtId="49" fontId="7" fillId="0" borderId="67" xfId="0" applyNumberFormat="1" applyFont="1" applyFill="1" applyBorder="1" applyAlignment="1">
      <alignment horizontal="center" vertical="top"/>
    </xf>
    <xf numFmtId="49" fontId="7" fillId="0" borderId="76" xfId="0" applyNumberFormat="1" applyFont="1" applyFill="1" applyBorder="1" applyAlignment="1">
      <alignment horizontal="center" vertical="top"/>
    </xf>
    <xf numFmtId="49" fontId="7" fillId="25" borderId="67" xfId="0" applyNumberFormat="1" applyFont="1" applyFill="1" applyBorder="1" applyAlignment="1">
      <alignment horizontal="center" vertical="top"/>
    </xf>
    <xf numFmtId="49" fontId="7" fillId="25" borderId="76" xfId="0" applyNumberFormat="1" applyFont="1" applyFill="1" applyBorder="1" applyAlignment="1">
      <alignment horizontal="center" vertical="top"/>
    </xf>
    <xf numFmtId="188" fontId="8" fillId="26" borderId="76" xfId="0" applyNumberFormat="1" applyFont="1" applyFill="1" applyBorder="1" applyAlignment="1">
      <alignment horizontal="center" wrapText="1"/>
    </xf>
    <xf numFmtId="49" fontId="3" fillId="0" borderId="23" xfId="0" applyNumberFormat="1" applyFont="1" applyFill="1" applyBorder="1" applyAlignment="1">
      <alignment horizontal="center" vertical="top"/>
    </xf>
    <xf numFmtId="49" fontId="3" fillId="0" borderId="68" xfId="0" applyNumberFormat="1" applyFont="1" applyFill="1" applyBorder="1" applyAlignment="1">
      <alignment horizontal="center" vertical="top"/>
    </xf>
    <xf numFmtId="49" fontId="3" fillId="0" borderId="64" xfId="0" applyNumberFormat="1" applyFont="1" applyFill="1" applyBorder="1" applyAlignment="1">
      <alignment horizontal="center" vertical="top"/>
    </xf>
    <xf numFmtId="49" fontId="3" fillId="26" borderId="23" xfId="0" applyNumberFormat="1" applyFont="1" applyFill="1" applyBorder="1" applyAlignment="1">
      <alignment horizontal="center" vertical="top"/>
    </xf>
    <xf numFmtId="49" fontId="7" fillId="26" borderId="12" xfId="0" applyNumberFormat="1" applyFont="1" applyFill="1" applyBorder="1" applyAlignment="1">
      <alignment horizontal="center" vertical="top"/>
    </xf>
    <xf numFmtId="0" fontId="7" fillId="0" borderId="75" xfId="0" applyFont="1" applyFill="1" applyBorder="1" applyAlignment="1">
      <alignment horizontal="center" vertical="top" wrapText="1"/>
    </xf>
    <xf numFmtId="0" fontId="7" fillId="0" borderId="67" xfId="0" applyFont="1" applyFill="1" applyBorder="1" applyAlignment="1">
      <alignment horizontal="center" vertical="top" wrapText="1"/>
    </xf>
    <xf numFmtId="49" fontId="7" fillId="26" borderId="67" xfId="0" applyNumberFormat="1" applyFont="1" applyFill="1" applyBorder="1" applyAlignment="1">
      <alignment horizontal="center" vertical="top"/>
    </xf>
    <xf numFmtId="0" fontId="7" fillId="0" borderId="75" xfId="0" applyFont="1" applyFill="1" applyBorder="1" applyAlignment="1">
      <alignment horizontal="center" vertical="top"/>
    </xf>
    <xf numFmtId="0" fontId="7" fillId="0" borderId="67" xfId="0" applyFont="1" applyFill="1" applyBorder="1" applyAlignment="1">
      <alignment horizontal="center" vertical="top"/>
    </xf>
    <xf numFmtId="0" fontId="7" fillId="0" borderId="76" xfId="0" applyFont="1" applyFill="1" applyBorder="1" applyAlignment="1">
      <alignment horizontal="center" vertical="top"/>
    </xf>
    <xf numFmtId="0" fontId="7" fillId="0" borderId="75" xfId="0" applyFont="1" applyBorder="1" applyAlignment="1">
      <alignment horizontal="center" vertical="top"/>
    </xf>
    <xf numFmtId="0" fontId="7" fillId="0" borderId="67" xfId="0" applyFont="1" applyBorder="1" applyAlignment="1">
      <alignment horizontal="center" vertical="top"/>
    </xf>
    <xf numFmtId="0" fontId="7" fillId="0" borderId="76" xfId="0" applyFont="1" applyBorder="1" applyAlignment="1">
      <alignment horizontal="center" vertical="top"/>
    </xf>
    <xf numFmtId="0" fontId="7" fillId="26" borderId="67" xfId="0" applyFont="1" applyFill="1" applyBorder="1" applyAlignment="1">
      <alignment horizontal="center" vertical="top" wrapText="1"/>
    </xf>
    <xf numFmtId="0" fontId="7" fillId="0" borderId="75" xfId="0" applyFont="1" applyFill="1" applyBorder="1" applyAlignment="1">
      <alignment vertical="top" wrapText="1"/>
    </xf>
    <xf numFmtId="0" fontId="7" fillId="0" borderId="67" xfId="0" applyFont="1" applyFill="1" applyBorder="1" applyAlignment="1">
      <alignment vertical="top" wrapText="1"/>
    </xf>
    <xf numFmtId="0" fontId="7" fillId="0" borderId="76" xfId="0" applyFont="1" applyFill="1" applyBorder="1" applyAlignment="1">
      <alignment vertical="top" wrapText="1"/>
    </xf>
    <xf numFmtId="0" fontId="7" fillId="26" borderId="76" xfId="0" applyFont="1" applyFill="1" applyBorder="1" applyAlignment="1">
      <alignment horizontal="center" vertical="top" wrapText="1"/>
    </xf>
    <xf numFmtId="49" fontId="3" fillId="0" borderId="68" xfId="0" applyNumberFormat="1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49" fontId="3" fillId="0" borderId="64" xfId="0" applyNumberFormat="1" applyFont="1" applyBorder="1" applyAlignment="1">
      <alignment horizontal="center" vertical="top"/>
    </xf>
    <xf numFmtId="49" fontId="3" fillId="0" borderId="68" xfId="0" applyNumberFormat="1" applyFont="1" applyFill="1" applyBorder="1" applyAlignment="1">
      <alignment horizontal="center" vertical="top"/>
    </xf>
    <xf numFmtId="49" fontId="3" fillId="0" borderId="23" xfId="0" applyNumberFormat="1" applyFont="1" applyFill="1" applyBorder="1" applyAlignment="1">
      <alignment horizontal="center" vertical="top"/>
    </xf>
    <xf numFmtId="49" fontId="3" fillId="0" borderId="64" xfId="0" applyNumberFormat="1" applyFont="1" applyFill="1" applyBorder="1" applyAlignment="1">
      <alignment horizontal="center" vertical="top"/>
    </xf>
    <xf numFmtId="49" fontId="3" fillId="26" borderId="23" xfId="0" applyNumberFormat="1" applyFont="1" applyFill="1" applyBorder="1" applyAlignment="1">
      <alignment horizontal="center" vertical="top"/>
    </xf>
    <xf numFmtId="49" fontId="7" fillId="26" borderId="11" xfId="0" applyNumberFormat="1" applyFont="1" applyFill="1" applyBorder="1" applyAlignment="1">
      <alignment horizontal="center" vertical="top"/>
    </xf>
    <xf numFmtId="49" fontId="7" fillId="26" borderId="11" xfId="0" applyNumberFormat="1" applyFont="1" applyFill="1" applyBorder="1" applyAlignment="1">
      <alignment horizontal="center" vertical="top" wrapText="1"/>
    </xf>
    <xf numFmtId="49" fontId="7" fillId="26" borderId="12" xfId="0" applyNumberFormat="1" applyFont="1" applyFill="1" applyBorder="1" applyAlignment="1">
      <alignment horizontal="center" vertical="top"/>
    </xf>
    <xf numFmtId="0" fontId="7" fillId="0" borderId="41" xfId="0" applyFont="1" applyFill="1" applyBorder="1" applyAlignment="1">
      <alignment horizontal="center" vertical="top" wrapText="1"/>
    </xf>
    <xf numFmtId="0" fontId="8" fillId="0" borderId="49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 textRotation="90" wrapText="1"/>
    </xf>
    <xf numFmtId="0" fontId="7" fillId="25" borderId="67" xfId="0" applyFont="1" applyFill="1" applyBorder="1" applyAlignment="1">
      <alignment horizontal="center" vertical="top"/>
    </xf>
    <xf numFmtId="0" fontId="7" fillId="25" borderId="76" xfId="0" applyFont="1" applyFill="1" applyBorder="1" applyAlignment="1">
      <alignment horizontal="center" vertical="top"/>
    </xf>
    <xf numFmtId="0" fontId="7" fillId="26" borderId="67" xfId="0" applyFont="1" applyFill="1" applyBorder="1" applyAlignment="1">
      <alignment horizontal="center" vertical="top"/>
    </xf>
    <xf numFmtId="49" fontId="3" fillId="25" borderId="68" xfId="0" applyNumberFormat="1" applyFont="1" applyFill="1" applyBorder="1" applyAlignment="1">
      <alignment horizontal="center" vertical="top"/>
    </xf>
    <xf numFmtId="49" fontId="3" fillId="25" borderId="23" xfId="0" applyNumberFormat="1" applyFont="1" applyFill="1" applyBorder="1" applyAlignment="1">
      <alignment horizontal="center" vertical="top"/>
    </xf>
    <xf numFmtId="49" fontId="3" fillId="25" borderId="64" xfId="0" applyNumberFormat="1" applyFont="1" applyFill="1" applyBorder="1" applyAlignment="1">
      <alignment horizontal="center" vertical="top"/>
    </xf>
    <xf numFmtId="49" fontId="7" fillId="25" borderId="75" xfId="0" applyNumberFormat="1" applyFont="1" applyFill="1" applyBorder="1" applyAlignment="1">
      <alignment horizontal="center" vertical="top"/>
    </xf>
    <xf numFmtId="49" fontId="7" fillId="25" borderId="66" xfId="0" applyNumberFormat="1" applyFont="1" applyFill="1" applyBorder="1" applyAlignment="1">
      <alignment horizontal="center" vertical="top"/>
    </xf>
    <xf numFmtId="49" fontId="7" fillId="25" borderId="63" xfId="0" applyNumberFormat="1" applyFont="1" applyFill="1" applyBorder="1" applyAlignment="1">
      <alignment horizontal="center" vertical="top"/>
    </xf>
    <xf numFmtId="49" fontId="7" fillId="26" borderId="66" xfId="0" applyNumberFormat="1" applyFont="1" applyFill="1" applyBorder="1" applyAlignment="1">
      <alignment horizontal="center" vertical="top"/>
    </xf>
    <xf numFmtId="49" fontId="28" fillId="0" borderId="23" xfId="0" applyNumberFormat="1" applyFont="1" applyFill="1" applyBorder="1" applyAlignment="1">
      <alignment horizontal="center" vertical="top"/>
    </xf>
    <xf numFmtId="49" fontId="28" fillId="0" borderId="64" xfId="0" applyNumberFormat="1" applyFont="1" applyFill="1" applyBorder="1" applyAlignment="1">
      <alignment horizontal="center" vertical="top"/>
    </xf>
    <xf numFmtId="0" fontId="7" fillId="0" borderId="55" xfId="0" applyFont="1" applyFill="1" applyBorder="1" applyAlignment="1">
      <alignment horizontal="center" vertical="center" wrapText="1"/>
    </xf>
    <xf numFmtId="0" fontId="47" fillId="0" borderId="39" xfId="50" applyFont="1" applyBorder="1" applyAlignment="1">
      <alignment horizontal="left" vertical="top" wrapText="1"/>
      <protection/>
    </xf>
    <xf numFmtId="0" fontId="47" fillId="0" borderId="39" xfId="50" applyFont="1" applyBorder="1" applyAlignment="1">
      <alignment horizontal="center" vertical="top"/>
      <protection/>
    </xf>
    <xf numFmtId="0" fontId="47" fillId="0" borderId="39" xfId="0" applyFont="1" applyBorder="1" applyAlignment="1">
      <alignment horizontal="center" vertical="top"/>
    </xf>
    <xf numFmtId="0" fontId="0" fillId="0" borderId="92" xfId="0" applyBorder="1" applyAlignment="1">
      <alignment vertical="top" wrapText="1"/>
    </xf>
    <xf numFmtId="49" fontId="7" fillId="0" borderId="92" xfId="0" applyNumberFormat="1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3" fillId="0" borderId="92" xfId="0" applyFont="1" applyBorder="1" applyAlignment="1">
      <alignment vertical="top" wrapText="1"/>
    </xf>
    <xf numFmtId="49" fontId="47" fillId="0" borderId="58" xfId="0" applyNumberFormat="1" applyFont="1" applyFill="1" applyBorder="1" applyAlignment="1">
      <alignment vertical="top" wrapText="1"/>
    </xf>
    <xf numFmtId="188" fontId="7" fillId="0" borderId="30" xfId="0" applyNumberFormat="1" applyFont="1" applyFill="1" applyBorder="1" applyAlignment="1">
      <alignment horizontal="right" vertical="center"/>
    </xf>
    <xf numFmtId="188" fontId="7" fillId="0" borderId="29" xfId="0" applyNumberFormat="1" applyFont="1" applyFill="1" applyBorder="1" applyAlignment="1">
      <alignment horizontal="right" vertical="center" wrapText="1"/>
    </xf>
    <xf numFmtId="188" fontId="46" fillId="16" borderId="26" xfId="0" applyNumberFormat="1" applyFont="1" applyFill="1" applyBorder="1" applyAlignment="1">
      <alignment horizontal="right" vertical="top"/>
    </xf>
    <xf numFmtId="188" fontId="46" fillId="16" borderId="30" xfId="0" applyNumberFormat="1" applyFont="1" applyFill="1" applyBorder="1" applyAlignment="1">
      <alignment horizontal="right" vertical="top"/>
    </xf>
    <xf numFmtId="188" fontId="46" fillId="16" borderId="30" xfId="0" applyNumberFormat="1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center" vertical="center" textRotation="90" wrapText="1"/>
    </xf>
    <xf numFmtId="0" fontId="7" fillId="0" borderId="57" xfId="0" applyFont="1" applyFill="1" applyBorder="1" applyAlignment="1">
      <alignment horizontal="center" vertical="center" textRotation="90" wrapText="1"/>
    </xf>
    <xf numFmtId="0" fontId="0" fillId="0" borderId="37" xfId="0" applyFont="1" applyBorder="1" applyAlignment="1">
      <alignment horizontal="center" vertical="center" textRotation="90" wrapText="1"/>
    </xf>
    <xf numFmtId="49" fontId="3" fillId="0" borderId="93" xfId="0" applyNumberFormat="1" applyFont="1" applyFill="1" applyBorder="1" applyAlignment="1">
      <alignment horizontal="left" vertical="top" wrapText="1"/>
    </xf>
    <xf numFmtId="49" fontId="3" fillId="0" borderId="40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left" vertical="top" wrapText="1"/>
    </xf>
    <xf numFmtId="49" fontId="48" fillId="0" borderId="53" xfId="0" applyNumberFormat="1" applyFont="1" applyBorder="1" applyAlignment="1">
      <alignment horizontal="center" vertical="top"/>
    </xf>
    <xf numFmtId="49" fontId="48" fillId="0" borderId="11" xfId="0" applyNumberFormat="1" applyFont="1" applyBorder="1" applyAlignment="1">
      <alignment horizontal="center" vertical="top"/>
    </xf>
    <xf numFmtId="49" fontId="48" fillId="0" borderId="12" xfId="0" applyNumberFormat="1" applyFont="1" applyBorder="1" applyAlignment="1">
      <alignment horizontal="center" vertical="top"/>
    </xf>
    <xf numFmtId="0" fontId="47" fillId="0" borderId="54" xfId="0" applyFont="1" applyFill="1" applyBorder="1" applyAlignment="1">
      <alignment horizontal="left" vertical="top" wrapText="1"/>
    </xf>
    <xf numFmtId="0" fontId="47" fillId="0" borderId="58" xfId="0" applyFont="1" applyFill="1" applyBorder="1" applyAlignment="1">
      <alignment horizontal="left" vertical="top" wrapText="1"/>
    </xf>
    <xf numFmtId="0" fontId="7" fillId="0" borderId="37" xfId="0" applyFont="1" applyFill="1" applyBorder="1" applyAlignment="1">
      <alignment horizontal="center" vertical="top"/>
    </xf>
    <xf numFmtId="49" fontId="1" fillId="8" borderId="75" xfId="0" applyNumberFormat="1" applyFont="1" applyFill="1" applyBorder="1" applyAlignment="1">
      <alignment horizontal="center" vertical="top"/>
    </xf>
    <xf numFmtId="49" fontId="1" fillId="8" borderId="67" xfId="0" applyNumberFormat="1" applyFont="1" applyFill="1" applyBorder="1" applyAlignment="1">
      <alignment horizontal="center" vertical="top"/>
    </xf>
    <xf numFmtId="49" fontId="1" fillId="8" borderId="76" xfId="0" applyNumberFormat="1" applyFont="1" applyFill="1" applyBorder="1" applyAlignment="1">
      <alignment horizontal="center" vertical="top"/>
    </xf>
    <xf numFmtId="49" fontId="1" fillId="4" borderId="53" xfId="0" applyNumberFormat="1" applyFont="1" applyFill="1" applyBorder="1" applyAlignment="1">
      <alignment horizontal="center" vertical="top"/>
    </xf>
    <xf numFmtId="49" fontId="1" fillId="4" borderId="11" xfId="0" applyNumberFormat="1" applyFont="1" applyFill="1" applyBorder="1" applyAlignment="1">
      <alignment horizontal="center" vertical="top"/>
    </xf>
    <xf numFmtId="49" fontId="1" fillId="4" borderId="12" xfId="0" applyNumberFormat="1" applyFont="1" applyFill="1" applyBorder="1" applyAlignment="1">
      <alignment horizontal="center" vertical="top"/>
    </xf>
    <xf numFmtId="49" fontId="1" fillId="0" borderId="53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7" fillId="0" borderId="57" xfId="0" applyFont="1" applyFill="1" applyBorder="1" applyAlignment="1">
      <alignment horizontal="center" vertical="top"/>
    </xf>
    <xf numFmtId="0" fontId="7" fillId="0" borderId="91" xfId="0" applyFont="1" applyFill="1" applyBorder="1" applyAlignment="1">
      <alignment horizontal="center" vertical="top"/>
    </xf>
    <xf numFmtId="0" fontId="3" fillId="0" borderId="58" xfId="0" applyFont="1" applyFill="1" applyBorder="1" applyAlignment="1">
      <alignment horizontal="left" vertical="top" wrapText="1"/>
    </xf>
    <xf numFmtId="0" fontId="3" fillId="0" borderId="65" xfId="0" applyFont="1" applyFill="1" applyBorder="1" applyAlignment="1">
      <alignment horizontal="left" vertical="top" wrapText="1"/>
    </xf>
    <xf numFmtId="0" fontId="3" fillId="0" borderId="54" xfId="0" applyFont="1" applyFill="1" applyBorder="1" applyAlignment="1">
      <alignment horizontal="left" vertical="top" wrapText="1"/>
    </xf>
    <xf numFmtId="49" fontId="10" fillId="0" borderId="65" xfId="0" applyNumberFormat="1" applyFont="1" applyBorder="1" applyAlignment="1">
      <alignment horizontal="center" vertical="top"/>
    </xf>
    <xf numFmtId="49" fontId="7" fillId="0" borderId="53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49" fontId="10" fillId="0" borderId="54" xfId="0" applyNumberFormat="1" applyFont="1" applyBorder="1" applyAlignment="1">
      <alignment horizontal="center" vertical="top"/>
    </xf>
    <xf numFmtId="49" fontId="10" fillId="0" borderId="58" xfId="0" applyNumberFormat="1" applyFont="1" applyBorder="1" applyAlignment="1">
      <alignment horizontal="center" vertical="top"/>
    </xf>
    <xf numFmtId="0" fontId="2" fillId="0" borderId="58" xfId="0" applyFont="1" applyFill="1" applyBorder="1" applyAlignment="1">
      <alignment horizontal="left" vertical="top" wrapText="1"/>
    </xf>
    <xf numFmtId="0" fontId="2" fillId="0" borderId="65" xfId="0" applyFont="1" applyFill="1" applyBorder="1" applyAlignment="1">
      <alignment horizontal="left" vertical="top" wrapText="1"/>
    </xf>
    <xf numFmtId="0" fontId="7" fillId="0" borderId="91" xfId="0" applyFont="1" applyFill="1" applyBorder="1" applyAlignment="1">
      <alignment horizontal="center" vertical="top" wrapText="1"/>
    </xf>
    <xf numFmtId="0" fontId="7" fillId="0" borderId="57" xfId="0" applyFont="1" applyFill="1" applyBorder="1" applyAlignment="1">
      <alignment horizontal="center" vertical="top" wrapText="1"/>
    </xf>
    <xf numFmtId="0" fontId="7" fillId="0" borderId="37" xfId="0" applyFont="1" applyFill="1" applyBorder="1" applyAlignment="1">
      <alignment horizontal="center" vertical="top" wrapText="1"/>
    </xf>
    <xf numFmtId="49" fontId="1" fillId="8" borderId="10" xfId="0" applyNumberFormat="1" applyFont="1" applyFill="1" applyBorder="1" applyAlignment="1">
      <alignment horizontal="right" vertical="top"/>
    </xf>
    <xf numFmtId="49" fontId="1" fillId="8" borderId="80" xfId="0" applyNumberFormat="1" applyFont="1" applyFill="1" applyBorder="1" applyAlignment="1">
      <alignment horizontal="right" vertical="top"/>
    </xf>
    <xf numFmtId="0" fontId="2" fillId="0" borderId="54" xfId="0" applyFont="1" applyFill="1" applyBorder="1" applyAlignment="1">
      <alignment horizontal="left" vertical="top" wrapText="1"/>
    </xf>
    <xf numFmtId="49" fontId="1" fillId="4" borderId="79" xfId="0" applyNumberFormat="1" applyFont="1" applyFill="1" applyBorder="1" applyAlignment="1">
      <alignment horizontal="right" vertical="top"/>
    </xf>
    <xf numFmtId="49" fontId="1" fillId="0" borderId="53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2" fillId="0" borderId="7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49" fontId="10" fillId="0" borderId="54" xfId="0" applyNumberFormat="1" applyFont="1" applyFill="1" applyBorder="1" applyAlignment="1">
      <alignment horizontal="center" vertical="top"/>
    </xf>
    <xf numFmtId="49" fontId="10" fillId="0" borderId="58" xfId="0" applyNumberFormat="1" applyFont="1" applyFill="1" applyBorder="1" applyAlignment="1">
      <alignment horizontal="center" vertical="top"/>
    </xf>
    <xf numFmtId="49" fontId="10" fillId="0" borderId="65" xfId="0" applyNumberFormat="1" applyFont="1" applyFill="1" applyBorder="1" applyAlignment="1">
      <alignment horizontal="center" vertical="top"/>
    </xf>
    <xf numFmtId="49" fontId="1" fillId="4" borderId="80" xfId="0" applyNumberFormat="1" applyFont="1" applyFill="1" applyBorder="1" applyAlignment="1">
      <alignment horizontal="right" vertical="top"/>
    </xf>
    <xf numFmtId="49" fontId="1" fillId="4" borderId="78" xfId="0" applyNumberFormat="1" applyFont="1" applyFill="1" applyBorder="1" applyAlignment="1">
      <alignment horizontal="right" vertical="top"/>
    </xf>
    <xf numFmtId="0" fontId="47" fillId="0" borderId="65" xfId="0" applyFont="1" applyFill="1" applyBorder="1" applyAlignment="1">
      <alignment horizontal="left" vertical="top" wrapText="1"/>
    </xf>
    <xf numFmtId="0" fontId="7" fillId="0" borderId="75" xfId="0" applyFont="1" applyFill="1" applyBorder="1" applyAlignment="1">
      <alignment horizontal="center" vertical="center" textRotation="90" wrapText="1"/>
    </xf>
    <xf numFmtId="0" fontId="7" fillId="0" borderId="67" xfId="0" applyFont="1" applyFill="1" applyBorder="1" applyAlignment="1">
      <alignment horizontal="center" vertical="center" textRotation="90" wrapText="1"/>
    </xf>
    <xf numFmtId="0" fontId="7" fillId="0" borderId="76" xfId="0" applyFont="1" applyFill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188" fontId="7" fillId="0" borderId="26" xfId="0" applyNumberFormat="1" applyFont="1" applyFill="1" applyBorder="1" applyAlignment="1">
      <alignment horizontal="center" vertical="top" wrapText="1"/>
    </xf>
    <xf numFmtId="188" fontId="7" fillId="0" borderId="32" xfId="0" applyNumberFormat="1" applyFont="1" applyFill="1" applyBorder="1" applyAlignment="1">
      <alignment horizontal="center" vertical="top" wrapText="1"/>
    </xf>
    <xf numFmtId="188" fontId="7" fillId="0" borderId="19" xfId="0" applyNumberFormat="1" applyFont="1" applyFill="1" applyBorder="1" applyAlignment="1">
      <alignment horizontal="center" vertical="top" wrapText="1"/>
    </xf>
    <xf numFmtId="49" fontId="3" fillId="0" borderId="54" xfId="0" applyNumberFormat="1" applyFont="1" applyBorder="1" applyAlignment="1">
      <alignment horizontal="center" vertical="top"/>
    </xf>
    <xf numFmtId="49" fontId="3" fillId="0" borderId="58" xfId="0" applyNumberFormat="1" applyFont="1" applyBorder="1" applyAlignment="1">
      <alignment horizontal="center" vertical="top"/>
    </xf>
    <xf numFmtId="49" fontId="3" fillId="0" borderId="65" xfId="0" applyNumberFormat="1" applyFont="1" applyBorder="1" applyAlignment="1">
      <alignment horizontal="center" vertical="top"/>
    </xf>
    <xf numFmtId="0" fontId="2" fillId="0" borderId="4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49" fontId="7" fillId="0" borderId="42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36" xfId="0" applyNumberFormat="1" applyFont="1" applyFill="1" applyBorder="1" applyAlignment="1">
      <alignment horizontal="center" vertical="top"/>
    </xf>
    <xf numFmtId="49" fontId="7" fillId="0" borderId="91" xfId="0" applyNumberFormat="1" applyFont="1" applyFill="1" applyBorder="1" applyAlignment="1">
      <alignment horizontal="center" vertical="top"/>
    </xf>
    <xf numFmtId="49" fontId="7" fillId="0" borderId="57" xfId="0" applyNumberFormat="1" applyFont="1" applyFill="1" applyBorder="1" applyAlignment="1">
      <alignment horizontal="center" vertical="top"/>
    </xf>
    <xf numFmtId="49" fontId="7" fillId="0" borderId="37" xfId="0" applyNumberFormat="1" applyFont="1" applyFill="1" applyBorder="1" applyAlignment="1">
      <alignment horizontal="center" vertical="top"/>
    </xf>
    <xf numFmtId="0" fontId="2" fillId="0" borderId="93" xfId="0" applyFont="1" applyFill="1" applyBorder="1" applyAlignment="1">
      <alignment horizontal="left" vertical="top" wrapText="1"/>
    </xf>
    <xf numFmtId="49" fontId="8" fillId="0" borderId="53" xfId="0" applyNumberFormat="1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49" fontId="8" fillId="0" borderId="12" xfId="0" applyNumberFormat="1" applyFont="1" applyBorder="1" applyAlignment="1">
      <alignment horizontal="center" vertical="top"/>
    </xf>
    <xf numFmtId="49" fontId="3" fillId="0" borderId="58" xfId="0" applyNumberFormat="1" applyFont="1" applyFill="1" applyBorder="1" applyAlignment="1">
      <alignment horizontal="center" vertical="top"/>
    </xf>
    <xf numFmtId="49" fontId="3" fillId="0" borderId="65" xfId="0" applyNumberFormat="1" applyFont="1" applyFill="1" applyBorder="1" applyAlignment="1">
      <alignment horizontal="center" vertical="top"/>
    </xf>
    <xf numFmtId="49" fontId="2" fillId="4" borderId="80" xfId="0" applyNumberFormat="1" applyFont="1" applyFill="1" applyBorder="1" applyAlignment="1">
      <alignment horizontal="left" vertical="top" wrapText="1"/>
    </xf>
    <xf numFmtId="49" fontId="2" fillId="4" borderId="78" xfId="0" applyNumberFormat="1" applyFont="1" applyFill="1" applyBorder="1" applyAlignment="1">
      <alignment horizontal="left" vertical="top" wrapText="1"/>
    </xf>
    <xf numFmtId="49" fontId="2" fillId="4" borderId="79" xfId="0" applyNumberFormat="1" applyFont="1" applyFill="1" applyBorder="1" applyAlignment="1">
      <alignment horizontal="left" vertical="top" wrapText="1"/>
    </xf>
    <xf numFmtId="49" fontId="3" fillId="0" borderId="93" xfId="0" applyNumberFormat="1" applyFont="1" applyFill="1" applyBorder="1" applyAlignment="1">
      <alignment horizontal="left" vertical="top" wrapText="1"/>
    </xf>
    <xf numFmtId="49" fontId="3" fillId="0" borderId="40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left" vertical="top" wrapText="1"/>
    </xf>
    <xf numFmtId="0" fontId="2" fillId="0" borderId="54" xfId="0" applyFont="1" applyFill="1" applyBorder="1" applyAlignment="1">
      <alignment horizontal="left" vertical="top" wrapText="1"/>
    </xf>
    <xf numFmtId="0" fontId="2" fillId="0" borderId="58" xfId="0" applyFont="1" applyFill="1" applyBorder="1" applyAlignment="1">
      <alignment horizontal="left" vertical="top" wrapText="1"/>
    </xf>
    <xf numFmtId="0" fontId="2" fillId="0" borderId="65" xfId="0" applyFont="1" applyFill="1" applyBorder="1" applyAlignment="1">
      <alignment horizontal="left" vertical="top" wrapText="1"/>
    </xf>
    <xf numFmtId="49" fontId="1" fillId="8" borderId="67" xfId="0" applyNumberFormat="1" applyFont="1" applyFill="1" applyBorder="1" applyAlignment="1">
      <alignment horizontal="center" vertical="top"/>
    </xf>
    <xf numFmtId="49" fontId="1" fillId="8" borderId="76" xfId="0" applyNumberFormat="1" applyFont="1" applyFill="1" applyBorder="1" applyAlignment="1">
      <alignment horizontal="center" vertical="top"/>
    </xf>
    <xf numFmtId="49" fontId="1" fillId="4" borderId="42" xfId="0" applyNumberFormat="1" applyFont="1" applyFill="1" applyBorder="1" applyAlignment="1">
      <alignment horizontal="center" vertical="top"/>
    </xf>
    <xf numFmtId="49" fontId="1" fillId="4" borderId="11" xfId="0" applyNumberFormat="1" applyFont="1" applyFill="1" applyBorder="1" applyAlignment="1">
      <alignment horizontal="center" vertical="top"/>
    </xf>
    <xf numFmtId="49" fontId="1" fillId="4" borderId="36" xfId="0" applyNumberFormat="1" applyFont="1" applyFill="1" applyBorder="1" applyAlignment="1">
      <alignment horizontal="center" vertical="top"/>
    </xf>
    <xf numFmtId="188" fontId="7" fillId="0" borderId="91" xfId="0" applyNumberFormat="1" applyFont="1" applyFill="1" applyBorder="1" applyAlignment="1">
      <alignment horizontal="center" vertical="top"/>
    </xf>
    <xf numFmtId="188" fontId="7" fillId="0" borderId="57" xfId="0" applyNumberFormat="1" applyFont="1" applyFill="1" applyBorder="1" applyAlignment="1">
      <alignment horizontal="center" vertical="top"/>
    </xf>
    <xf numFmtId="188" fontId="7" fillId="0" borderId="37" xfId="0" applyNumberFormat="1" applyFont="1" applyFill="1" applyBorder="1" applyAlignment="1">
      <alignment horizontal="center" vertical="top"/>
    </xf>
    <xf numFmtId="188" fontId="7" fillId="0" borderId="91" xfId="0" applyNumberFormat="1" applyFont="1" applyFill="1" applyBorder="1" applyAlignment="1">
      <alignment horizontal="center" vertical="top" wrapText="1"/>
    </xf>
    <xf numFmtId="188" fontId="7" fillId="0" borderId="57" xfId="0" applyNumberFormat="1" applyFont="1" applyFill="1" applyBorder="1" applyAlignment="1">
      <alignment horizontal="center" vertical="top" wrapText="1"/>
    </xf>
    <xf numFmtId="188" fontId="7" fillId="0" borderId="37" xfId="0" applyNumberFormat="1" applyFont="1" applyFill="1" applyBorder="1" applyAlignment="1">
      <alignment horizontal="center" vertical="top" wrapText="1"/>
    </xf>
    <xf numFmtId="49" fontId="10" fillId="0" borderId="88" xfId="0" applyNumberFormat="1" applyFont="1" applyFill="1" applyBorder="1" applyAlignment="1">
      <alignment horizontal="center" vertical="top"/>
    </xf>
    <xf numFmtId="49" fontId="3" fillId="25" borderId="93" xfId="0" applyNumberFormat="1" applyFont="1" applyFill="1" applyBorder="1" applyAlignment="1">
      <alignment horizontal="left" vertical="top" wrapText="1"/>
    </xf>
    <xf numFmtId="49" fontId="3" fillId="25" borderId="40" xfId="0" applyNumberFormat="1" applyFont="1" applyFill="1" applyBorder="1" applyAlignment="1">
      <alignment horizontal="left" vertical="top" wrapText="1"/>
    </xf>
    <xf numFmtId="49" fontId="3" fillId="25" borderId="13" xfId="0" applyNumberFormat="1" applyFont="1" applyFill="1" applyBorder="1" applyAlignment="1">
      <alignment horizontal="left" vertical="top" wrapText="1"/>
    </xf>
    <xf numFmtId="49" fontId="3" fillId="0" borderId="54" xfId="0" applyNumberFormat="1" applyFont="1" applyFill="1" applyBorder="1" applyAlignment="1">
      <alignment horizontal="center" vertical="top"/>
    </xf>
    <xf numFmtId="49" fontId="7" fillId="0" borderId="91" xfId="0" applyNumberFormat="1" applyFont="1" applyFill="1" applyBorder="1" applyAlignment="1">
      <alignment horizontal="center" vertical="center" textRotation="90"/>
    </xf>
    <xf numFmtId="49" fontId="7" fillId="0" borderId="57" xfId="0" applyNumberFormat="1" applyFont="1" applyFill="1" applyBorder="1" applyAlignment="1">
      <alignment horizontal="center" vertical="center" textRotation="90"/>
    </xf>
    <xf numFmtId="49" fontId="7" fillId="0" borderId="37" xfId="0" applyNumberFormat="1" applyFont="1" applyFill="1" applyBorder="1" applyAlignment="1">
      <alignment horizontal="center" vertical="center" textRotation="90"/>
    </xf>
    <xf numFmtId="49" fontId="7" fillId="0" borderId="42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36" xfId="0" applyNumberFormat="1" applyFont="1" applyFill="1" applyBorder="1" applyAlignment="1">
      <alignment horizontal="center" vertical="top"/>
    </xf>
    <xf numFmtId="49" fontId="7" fillId="0" borderId="53" xfId="0" applyNumberFormat="1" applyFont="1" applyFill="1" applyBorder="1" applyAlignment="1">
      <alignment horizontal="center" vertical="top"/>
    </xf>
    <xf numFmtId="49" fontId="7" fillId="0" borderId="12" xfId="0" applyNumberFormat="1" applyFont="1" applyFill="1" applyBorder="1" applyAlignment="1">
      <alignment horizontal="center" vertical="top"/>
    </xf>
    <xf numFmtId="0" fontId="7" fillId="0" borderId="91" xfId="0" applyFont="1" applyFill="1" applyBorder="1" applyAlignment="1">
      <alignment horizontal="center" vertical="center" textRotation="90" wrapText="1"/>
    </xf>
    <xf numFmtId="0" fontId="7" fillId="0" borderId="57" xfId="0" applyFont="1" applyFill="1" applyBorder="1" applyAlignment="1">
      <alignment horizontal="center" vertical="center" textRotation="90" wrapText="1"/>
    </xf>
    <xf numFmtId="0" fontId="7" fillId="0" borderId="37" xfId="0" applyFont="1" applyFill="1" applyBorder="1" applyAlignment="1">
      <alignment horizontal="center" vertical="center" textRotation="90" wrapText="1"/>
    </xf>
    <xf numFmtId="49" fontId="3" fillId="0" borderId="43" xfId="0" applyNumberFormat="1" applyFont="1" applyFill="1" applyBorder="1" applyAlignment="1">
      <alignment horizontal="center" vertical="top"/>
    </xf>
    <xf numFmtId="49" fontId="3" fillId="0" borderId="88" xfId="0" applyNumberFormat="1" applyFont="1" applyFill="1" applyBorder="1" applyAlignment="1">
      <alignment horizontal="center" vertical="top"/>
    </xf>
    <xf numFmtId="49" fontId="3" fillId="0" borderId="43" xfId="0" applyNumberFormat="1" applyFont="1" applyBorder="1" applyAlignment="1">
      <alignment horizontal="center" vertical="top"/>
    </xf>
    <xf numFmtId="49" fontId="3" fillId="0" borderId="88" xfId="0" applyNumberFormat="1" applyFont="1" applyBorder="1" applyAlignment="1">
      <alignment horizontal="center" vertical="top"/>
    </xf>
    <xf numFmtId="0" fontId="47" fillId="25" borderId="54" xfId="0" applyFont="1" applyFill="1" applyBorder="1" applyAlignment="1">
      <alignment horizontal="left" vertical="top" wrapText="1"/>
    </xf>
    <xf numFmtId="0" fontId="47" fillId="25" borderId="58" xfId="0" applyFont="1" applyFill="1" applyBorder="1" applyAlignment="1">
      <alignment horizontal="left" vertical="top" wrapText="1"/>
    </xf>
    <xf numFmtId="0" fontId="47" fillId="25" borderId="65" xfId="0" applyFont="1" applyFill="1" applyBorder="1" applyAlignment="1">
      <alignment horizontal="left" vertical="top" wrapText="1"/>
    </xf>
    <xf numFmtId="49" fontId="7" fillId="0" borderId="42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49" fontId="7" fillId="0" borderId="36" xfId="0" applyNumberFormat="1" applyFont="1" applyBorder="1" applyAlignment="1">
      <alignment horizontal="center" vertical="top" wrapText="1"/>
    </xf>
    <xf numFmtId="188" fontId="2" fillId="0" borderId="5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top" wrapText="1"/>
    </xf>
    <xf numFmtId="0" fontId="1" fillId="0" borderId="69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top" wrapText="1"/>
    </xf>
    <xf numFmtId="188" fontId="1" fillId="24" borderId="24" xfId="0" applyNumberFormat="1" applyFont="1" applyFill="1" applyBorder="1" applyAlignment="1">
      <alignment horizontal="center" vertical="top" wrapText="1"/>
    </xf>
    <xf numFmtId="188" fontId="1" fillId="24" borderId="46" xfId="0" applyNumberFormat="1" applyFont="1" applyFill="1" applyBorder="1" applyAlignment="1">
      <alignment horizontal="center" vertical="top" wrapText="1"/>
    </xf>
    <xf numFmtId="188" fontId="1" fillId="24" borderId="17" xfId="0" applyNumberFormat="1" applyFont="1" applyFill="1" applyBorder="1" applyAlignment="1">
      <alignment horizontal="center" vertical="top" wrapText="1"/>
    </xf>
    <xf numFmtId="188" fontId="7" fillId="0" borderId="25" xfId="0" applyNumberFormat="1" applyFont="1" applyFill="1" applyBorder="1" applyAlignment="1">
      <alignment horizontal="center" vertical="top" wrapText="1"/>
    </xf>
    <xf numFmtId="188" fontId="7" fillId="0" borderId="50" xfId="0" applyNumberFormat="1" applyFont="1" applyFill="1" applyBorder="1" applyAlignment="1">
      <alignment horizontal="center" vertical="top" wrapText="1"/>
    </xf>
    <xf numFmtId="188" fontId="7" fillId="0" borderId="18" xfId="0" applyNumberFormat="1" applyFont="1" applyFill="1" applyBorder="1" applyAlignment="1">
      <alignment horizontal="center" vertical="top" wrapText="1"/>
    </xf>
    <xf numFmtId="188" fontId="1" fillId="24" borderId="26" xfId="0" applyNumberFormat="1" applyFont="1" applyFill="1" applyBorder="1" applyAlignment="1">
      <alignment horizontal="center" vertical="top" wrapText="1"/>
    </xf>
    <xf numFmtId="188" fontId="1" fillId="24" borderId="32" xfId="0" applyNumberFormat="1" applyFont="1" applyFill="1" applyBorder="1" applyAlignment="1">
      <alignment horizontal="center" vertical="top" wrapText="1"/>
    </xf>
    <xf numFmtId="188" fontId="1" fillId="24" borderId="19" xfId="0" applyNumberFormat="1" applyFont="1" applyFill="1" applyBorder="1" applyAlignment="1">
      <alignment horizontal="center" vertical="top" wrapText="1"/>
    </xf>
    <xf numFmtId="188" fontId="7" fillId="0" borderId="26" xfId="0" applyNumberFormat="1" applyFont="1" applyBorder="1" applyAlignment="1">
      <alignment horizontal="center" vertical="top" wrapText="1"/>
    </xf>
    <xf numFmtId="188" fontId="7" fillId="0" borderId="32" xfId="0" applyNumberFormat="1" applyFont="1" applyBorder="1" applyAlignment="1">
      <alignment horizontal="center" vertical="top" wrapText="1"/>
    </xf>
    <xf numFmtId="188" fontId="7" fillId="0" borderId="19" xfId="0" applyNumberFormat="1" applyFont="1" applyBorder="1" applyAlignment="1">
      <alignment horizontal="center" vertical="top" wrapText="1"/>
    </xf>
    <xf numFmtId="0" fontId="7" fillId="0" borderId="25" xfId="0" applyFont="1" applyFill="1" applyBorder="1" applyAlignment="1">
      <alignment horizontal="left" vertical="top" wrapText="1"/>
    </xf>
    <xf numFmtId="0" fontId="1" fillId="0" borderId="50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49" fontId="7" fillId="0" borderId="53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12" xfId="0" applyNumberFormat="1" applyFont="1" applyFill="1" applyBorder="1" applyAlignment="1">
      <alignment horizontal="center" vertical="top"/>
    </xf>
    <xf numFmtId="49" fontId="1" fillId="0" borderId="42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36" xfId="0" applyNumberFormat="1" applyFont="1" applyFill="1" applyBorder="1" applyAlignment="1">
      <alignment horizontal="center" vertical="top"/>
    </xf>
    <xf numFmtId="0" fontId="2" fillId="4" borderId="80" xfId="0" applyFont="1" applyFill="1" applyBorder="1" applyAlignment="1">
      <alignment horizontal="left" vertical="top" wrapText="1"/>
    </xf>
    <xf numFmtId="0" fontId="2" fillId="4" borderId="78" xfId="0" applyFont="1" applyFill="1" applyBorder="1" applyAlignment="1">
      <alignment horizontal="left" vertical="top" wrapText="1"/>
    </xf>
    <xf numFmtId="0" fontId="2" fillId="4" borderId="79" xfId="0" applyFont="1" applyFill="1" applyBorder="1" applyAlignment="1">
      <alignment horizontal="left" vertical="top" wrapText="1"/>
    </xf>
    <xf numFmtId="49" fontId="2" fillId="25" borderId="93" xfId="0" applyNumberFormat="1" applyFont="1" applyFill="1" applyBorder="1" applyAlignment="1">
      <alignment horizontal="left" vertical="top" wrapText="1"/>
    </xf>
    <xf numFmtId="49" fontId="2" fillId="25" borderId="40" xfId="0" applyNumberFormat="1" applyFont="1" applyFill="1" applyBorder="1" applyAlignment="1">
      <alignment horizontal="left" vertical="top" wrapText="1"/>
    </xf>
    <xf numFmtId="49" fontId="2" fillId="25" borderId="13" xfId="0" applyNumberFormat="1" applyFont="1" applyFill="1" applyBorder="1" applyAlignment="1">
      <alignment horizontal="left" vertical="top" wrapText="1"/>
    </xf>
    <xf numFmtId="49" fontId="7" fillId="0" borderId="53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24" xfId="0" applyNumberFormat="1" applyFont="1" applyFill="1" applyBorder="1" applyAlignment="1">
      <alignment horizontal="center" vertical="top"/>
    </xf>
    <xf numFmtId="49" fontId="7" fillId="0" borderId="83" xfId="0" applyNumberFormat="1" applyFont="1" applyFill="1" applyBorder="1" applyAlignment="1">
      <alignment horizontal="center" vertical="top"/>
    </xf>
    <xf numFmtId="0" fontId="2" fillId="0" borderId="43" xfId="0" applyFont="1" applyFill="1" applyBorder="1" applyAlignment="1">
      <alignment horizontal="left" vertical="top" wrapText="1"/>
    </xf>
    <xf numFmtId="0" fontId="2" fillId="0" borderId="58" xfId="0" applyFont="1" applyFill="1" applyBorder="1" applyAlignment="1">
      <alignment horizontal="left" vertical="top" wrapText="1"/>
    </xf>
    <xf numFmtId="0" fontId="2" fillId="0" borderId="88" xfId="0" applyFont="1" applyFill="1" applyBorder="1" applyAlignment="1">
      <alignment horizontal="left" vertical="top" wrapText="1"/>
    </xf>
    <xf numFmtId="49" fontId="3" fillId="0" borderId="58" xfId="0" applyNumberFormat="1" applyFont="1" applyFill="1" applyBorder="1" applyAlignment="1">
      <alignment horizontal="left" vertical="top" wrapText="1"/>
    </xf>
    <xf numFmtId="49" fontId="3" fillId="0" borderId="65" xfId="0" applyNumberFormat="1" applyFont="1" applyFill="1" applyBorder="1" applyAlignment="1">
      <alignment horizontal="left" vertical="top" wrapText="1"/>
    </xf>
    <xf numFmtId="49" fontId="7" fillId="0" borderId="39" xfId="0" applyNumberFormat="1" applyFont="1" applyFill="1" applyBorder="1" applyAlignment="1">
      <alignment horizontal="center" vertical="top"/>
    </xf>
    <xf numFmtId="49" fontId="7" fillId="0" borderId="34" xfId="0" applyNumberFormat="1" applyFont="1" applyFill="1" applyBorder="1" applyAlignment="1">
      <alignment horizontal="center" vertical="top"/>
    </xf>
    <xf numFmtId="49" fontId="1" fillId="4" borderId="39" xfId="0" applyNumberFormat="1" applyFont="1" applyFill="1" applyBorder="1" applyAlignment="1">
      <alignment horizontal="center" vertical="top"/>
    </xf>
    <xf numFmtId="49" fontId="1" fillId="8" borderId="16" xfId="0" applyNumberFormat="1" applyFont="1" applyFill="1" applyBorder="1" applyAlignment="1">
      <alignment horizontal="center" vertical="top"/>
    </xf>
    <xf numFmtId="49" fontId="1" fillId="8" borderId="89" xfId="0" applyNumberFormat="1" applyFont="1" applyFill="1" applyBorder="1" applyAlignment="1">
      <alignment horizontal="center" vertical="top"/>
    </xf>
    <xf numFmtId="49" fontId="3" fillId="0" borderId="47" xfId="0" applyNumberFormat="1" applyFont="1" applyFill="1" applyBorder="1" applyAlignment="1">
      <alignment horizontal="center" vertical="top"/>
    </xf>
    <xf numFmtId="0" fontId="7" fillId="0" borderId="91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49" fontId="1" fillId="0" borderId="42" xfId="0" applyNumberFormat="1" applyFont="1" applyBorder="1" applyAlignment="1">
      <alignment horizontal="center" vertical="top"/>
    </xf>
    <xf numFmtId="49" fontId="1" fillId="0" borderId="36" xfId="0" applyNumberFormat="1" applyFont="1" applyBorder="1" applyAlignment="1">
      <alignment horizontal="center" vertical="top"/>
    </xf>
    <xf numFmtId="0" fontId="0" fillId="0" borderId="57" xfId="0" applyFont="1" applyBorder="1" applyAlignment="1">
      <alignment horizontal="center" vertical="center" textRotation="90"/>
    </xf>
    <xf numFmtId="0" fontId="0" fillId="0" borderId="37" xfId="0" applyFont="1" applyBorder="1" applyAlignment="1">
      <alignment horizontal="center" vertical="center" textRotation="90"/>
    </xf>
    <xf numFmtId="49" fontId="1" fillId="8" borderId="41" xfId="0" applyNumberFormat="1" applyFont="1" applyFill="1" applyBorder="1" applyAlignment="1">
      <alignment horizontal="center" vertical="top"/>
    </xf>
    <xf numFmtId="49" fontId="1" fillId="8" borderId="89" xfId="0" applyNumberFormat="1" applyFont="1" applyFill="1" applyBorder="1" applyAlignment="1">
      <alignment horizontal="center" vertical="top"/>
    </xf>
    <xf numFmtId="49" fontId="1" fillId="8" borderId="41" xfId="0" applyNumberFormat="1" applyFont="1" applyFill="1" applyBorder="1" applyAlignment="1">
      <alignment horizontal="center" vertical="top"/>
    </xf>
    <xf numFmtId="49" fontId="1" fillId="8" borderId="49" xfId="0" applyNumberFormat="1" applyFont="1" applyFill="1" applyBorder="1" applyAlignment="1">
      <alignment horizontal="center" vertical="top"/>
    </xf>
    <xf numFmtId="0" fontId="8" fillId="0" borderId="84" xfId="0" applyFont="1" applyFill="1" applyBorder="1" applyAlignment="1">
      <alignment horizontal="center" vertical="center" textRotation="90" wrapText="1"/>
    </xf>
    <xf numFmtId="0" fontId="8" fillId="0" borderId="65" xfId="0" applyFont="1" applyFill="1" applyBorder="1" applyAlignment="1">
      <alignment horizontal="center" vertical="center" textRotation="90" wrapText="1"/>
    </xf>
    <xf numFmtId="49" fontId="1" fillId="0" borderId="93" xfId="0" applyNumberFormat="1" applyFont="1" applyBorder="1" applyAlignment="1">
      <alignment horizontal="center" vertical="top"/>
    </xf>
    <xf numFmtId="49" fontId="1" fillId="0" borderId="40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3" fillId="0" borderId="44" xfId="0" applyNumberFormat="1" applyFont="1" applyFill="1" applyBorder="1" applyAlignment="1">
      <alignment horizontal="center" vertical="top"/>
    </xf>
    <xf numFmtId="49" fontId="1" fillId="4" borderId="30" xfId="0" applyNumberFormat="1" applyFont="1" applyFill="1" applyBorder="1" applyAlignment="1">
      <alignment horizontal="center" vertical="top"/>
    </xf>
    <xf numFmtId="49" fontId="1" fillId="0" borderId="45" xfId="0" applyNumberFormat="1" applyFont="1" applyFill="1" applyBorder="1" applyAlignment="1">
      <alignment horizontal="center" vertical="top"/>
    </xf>
    <xf numFmtId="49" fontId="1" fillId="0" borderId="48" xfId="0" applyNumberFormat="1" applyFont="1" applyFill="1" applyBorder="1" applyAlignment="1">
      <alignment horizontal="center" vertical="top"/>
    </xf>
    <xf numFmtId="49" fontId="1" fillId="0" borderId="30" xfId="0" applyNumberFormat="1" applyFont="1" applyFill="1" applyBorder="1" applyAlignment="1">
      <alignment horizontal="center" vertical="top"/>
    </xf>
    <xf numFmtId="49" fontId="7" fillId="0" borderId="39" xfId="0" applyNumberFormat="1" applyFont="1" applyFill="1" applyBorder="1" applyAlignment="1">
      <alignment horizontal="center" vertical="top"/>
    </xf>
    <xf numFmtId="0" fontId="8" fillId="0" borderId="55" xfId="0" applyFont="1" applyBorder="1" applyAlignment="1">
      <alignment horizontal="center" vertical="center" textRotation="90" wrapText="1"/>
    </xf>
    <xf numFmtId="0" fontId="8" fillId="0" borderId="76" xfId="0" applyFont="1" applyBorder="1" applyAlignment="1">
      <alignment horizontal="center" vertical="center" textRotation="90" wrapText="1"/>
    </xf>
    <xf numFmtId="188" fontId="7" fillId="0" borderId="25" xfId="0" applyNumberFormat="1" applyFont="1" applyBorder="1" applyAlignment="1">
      <alignment horizontal="center" vertical="top" wrapText="1"/>
    </xf>
    <xf numFmtId="188" fontId="7" fillId="0" borderId="50" xfId="0" applyNumberFormat="1" applyFont="1" applyBorder="1" applyAlignment="1">
      <alignment horizontal="center" vertical="top" wrapText="1"/>
    </xf>
    <xf numFmtId="188" fontId="7" fillId="0" borderId="18" xfId="0" applyNumberFormat="1" applyFont="1" applyBorder="1" applyAlignment="1">
      <alignment horizontal="center" vertical="top" wrapText="1"/>
    </xf>
    <xf numFmtId="0" fontId="1" fillId="24" borderId="24" xfId="0" applyFont="1" applyFill="1" applyBorder="1" applyAlignment="1">
      <alignment horizontal="right" vertical="top" wrapText="1"/>
    </xf>
    <xf numFmtId="0" fontId="1" fillId="24" borderId="46" xfId="0" applyFont="1" applyFill="1" applyBorder="1" applyAlignment="1">
      <alignment horizontal="right" vertical="top" wrapText="1"/>
    </xf>
    <xf numFmtId="0" fontId="1" fillId="24" borderId="17" xfId="0" applyFont="1" applyFill="1" applyBorder="1" applyAlignment="1">
      <alignment horizontal="right" vertical="top" wrapText="1"/>
    </xf>
    <xf numFmtId="49" fontId="1" fillId="0" borderId="40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8" fillId="0" borderId="85" xfId="0" applyFont="1" applyBorder="1" applyAlignment="1">
      <alignment horizontal="center" vertical="center" textRotation="90" wrapText="1"/>
    </xf>
    <xf numFmtId="0" fontId="8" fillId="0" borderId="63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8" fillId="0" borderId="41" xfId="0" applyFont="1" applyBorder="1" applyAlignment="1">
      <alignment horizontal="center" vertical="center" textRotation="90" wrapText="1"/>
    </xf>
    <xf numFmtId="0" fontId="8" fillId="0" borderId="49" xfId="0" applyFont="1" applyBorder="1" applyAlignment="1">
      <alignment horizontal="center" vertical="center" textRotation="90" wrapText="1"/>
    </xf>
    <xf numFmtId="0" fontId="8" fillId="0" borderId="89" xfId="0" applyFont="1" applyBorder="1" applyAlignment="1">
      <alignment horizontal="center" vertical="center" textRotation="90" wrapText="1"/>
    </xf>
    <xf numFmtId="0" fontId="8" fillId="0" borderId="42" xfId="0" applyFont="1" applyBorder="1" applyAlignment="1">
      <alignment horizontal="center" vertical="center" textRotation="90" wrapText="1"/>
    </xf>
    <xf numFmtId="0" fontId="8" fillId="0" borderId="30" xfId="0" applyFont="1" applyBorder="1" applyAlignment="1">
      <alignment horizontal="center" vertical="center" textRotation="90" wrapText="1"/>
    </xf>
    <xf numFmtId="0" fontId="8" fillId="0" borderId="36" xfId="0" applyFont="1" applyBorder="1" applyAlignment="1">
      <alignment horizontal="center" vertical="center" textRotation="90" wrapText="1"/>
    </xf>
    <xf numFmtId="0" fontId="3" fillId="0" borderId="5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62" xfId="0" applyFont="1" applyBorder="1" applyAlignment="1">
      <alignment horizontal="center" vertical="center" textRotation="90" wrapText="1"/>
    </xf>
    <xf numFmtId="0" fontId="11" fillId="24" borderId="26" xfId="0" applyFont="1" applyFill="1" applyBorder="1" applyAlignment="1">
      <alignment horizontal="left" vertical="top" wrapText="1"/>
    </xf>
    <xf numFmtId="0" fontId="11" fillId="24" borderId="32" xfId="0" applyFont="1" applyFill="1" applyBorder="1" applyAlignment="1">
      <alignment horizontal="left" vertical="top" wrapText="1"/>
    </xf>
    <xf numFmtId="0" fontId="11" fillId="24" borderId="19" xfId="0" applyFont="1" applyFill="1" applyBorder="1" applyAlignment="1">
      <alignment horizontal="left" vertical="top" wrapText="1"/>
    </xf>
    <xf numFmtId="0" fontId="8" fillId="0" borderId="20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62" xfId="0" applyFont="1" applyBorder="1" applyAlignment="1">
      <alignment horizontal="center" vertical="center" textRotation="90" wrapText="1"/>
    </xf>
    <xf numFmtId="0" fontId="8" fillId="0" borderId="56" xfId="0" applyFont="1" applyFill="1" applyBorder="1" applyAlignment="1">
      <alignment horizontal="center" vertical="center" textRotation="90" wrapText="1"/>
    </xf>
    <xf numFmtId="0" fontId="8" fillId="0" borderId="13" xfId="0" applyFont="1" applyFill="1" applyBorder="1" applyAlignment="1">
      <alignment horizontal="center" vertical="center" textRotation="90" wrapText="1"/>
    </xf>
    <xf numFmtId="0" fontId="8" fillId="0" borderId="45" xfId="0" applyFont="1" applyBorder="1" applyAlignment="1">
      <alignment horizontal="center" vertical="center" textRotation="90" wrapText="1"/>
    </xf>
    <xf numFmtId="0" fontId="8" fillId="0" borderId="31" xfId="0" applyFont="1" applyBorder="1" applyAlignment="1">
      <alignment horizontal="center" vertical="center" textRotation="90" wrapText="1"/>
    </xf>
    <xf numFmtId="0" fontId="8" fillId="0" borderId="87" xfId="0" applyFont="1" applyBorder="1" applyAlignment="1">
      <alignment horizontal="center" vertical="center" textRotation="90" wrapText="1"/>
    </xf>
    <xf numFmtId="0" fontId="8" fillId="0" borderId="54" xfId="0" applyNumberFormat="1" applyFont="1" applyBorder="1" applyAlignment="1">
      <alignment horizontal="center" vertical="center" textRotation="90" wrapText="1"/>
    </xf>
    <xf numFmtId="0" fontId="8" fillId="0" borderId="58" xfId="0" applyNumberFormat="1" applyFont="1" applyBorder="1" applyAlignment="1">
      <alignment horizontal="center" vertical="center" textRotation="90" wrapText="1"/>
    </xf>
    <xf numFmtId="0" fontId="8" fillId="0" borderId="65" xfId="0" applyNumberFormat="1" applyFont="1" applyBorder="1" applyAlignment="1">
      <alignment horizontal="center" vertical="center" textRotation="90" wrapText="1"/>
    </xf>
    <xf numFmtId="0" fontId="8" fillId="0" borderId="53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49" fontId="2" fillId="4" borderId="80" xfId="0" applyNumberFormat="1" applyFont="1" applyFill="1" applyBorder="1" applyAlignment="1">
      <alignment horizontal="left" vertical="top"/>
    </xf>
    <xf numFmtId="49" fontId="2" fillId="4" borderId="78" xfId="0" applyNumberFormat="1" applyFont="1" applyFill="1" applyBorder="1" applyAlignment="1">
      <alignment horizontal="left" vertical="top"/>
    </xf>
    <xf numFmtId="49" fontId="2" fillId="4" borderId="79" xfId="0" applyNumberFormat="1" applyFont="1" applyFill="1" applyBorder="1" applyAlignment="1">
      <alignment horizontal="left" vertical="top"/>
    </xf>
    <xf numFmtId="0" fontId="1" fillId="0" borderId="45" xfId="0" applyFont="1" applyBorder="1" applyAlignment="1">
      <alignment horizontal="center" vertical="center" wrapText="1"/>
    </xf>
    <xf numFmtId="49" fontId="11" fillId="3" borderId="24" xfId="0" applyNumberFormat="1" applyFont="1" applyFill="1" applyBorder="1" applyAlignment="1">
      <alignment horizontal="left" vertical="top" wrapText="1"/>
    </xf>
    <xf numFmtId="49" fontId="11" fillId="3" borderId="46" xfId="0" applyNumberFormat="1" applyFont="1" applyFill="1" applyBorder="1" applyAlignment="1">
      <alignment horizontal="left" vertical="top" wrapText="1"/>
    </xf>
    <xf numFmtId="49" fontId="11" fillId="3" borderId="17" xfId="0" applyNumberFormat="1" applyFont="1" applyFill="1" applyBorder="1" applyAlignment="1">
      <alignment horizontal="left" vertical="top" wrapText="1"/>
    </xf>
    <xf numFmtId="49" fontId="2" fillId="8" borderId="48" xfId="0" applyNumberFormat="1" applyFont="1" applyFill="1" applyBorder="1" applyAlignment="1">
      <alignment horizontal="left" vertical="top"/>
    </xf>
    <xf numFmtId="49" fontId="2" fillId="8" borderId="50" xfId="0" applyNumberFormat="1" applyFont="1" applyFill="1" applyBorder="1" applyAlignment="1">
      <alignment horizontal="left" vertical="top"/>
    </xf>
    <xf numFmtId="49" fontId="2" fillId="8" borderId="18" xfId="0" applyNumberFormat="1" applyFont="1" applyFill="1" applyBorder="1" applyAlignment="1">
      <alignment horizontal="left" vertical="top"/>
    </xf>
    <xf numFmtId="49" fontId="1" fillId="4" borderId="42" xfId="0" applyNumberFormat="1" applyFont="1" applyFill="1" applyBorder="1" applyAlignment="1">
      <alignment horizontal="center" vertical="top"/>
    </xf>
    <xf numFmtId="49" fontId="1" fillId="4" borderId="36" xfId="0" applyNumberFormat="1" applyFont="1" applyFill="1" applyBorder="1" applyAlignment="1">
      <alignment horizontal="center" vertical="top"/>
    </xf>
    <xf numFmtId="49" fontId="1" fillId="8" borderId="75" xfId="0" applyNumberFormat="1" applyFont="1" applyFill="1" applyBorder="1" applyAlignment="1">
      <alignment horizontal="center" vertical="top"/>
    </xf>
    <xf numFmtId="49" fontId="1" fillId="4" borderId="53" xfId="0" applyNumberFormat="1" applyFont="1" applyFill="1" applyBorder="1" applyAlignment="1">
      <alignment horizontal="center" vertical="top"/>
    </xf>
    <xf numFmtId="49" fontId="1" fillId="4" borderId="12" xfId="0" applyNumberFormat="1" applyFont="1" applyFill="1" applyBorder="1" applyAlignment="1">
      <alignment horizontal="center" vertical="top"/>
    </xf>
    <xf numFmtId="0" fontId="49" fillId="25" borderId="93" xfId="0" applyFont="1" applyFill="1" applyBorder="1" applyAlignment="1">
      <alignment horizontal="left" vertical="top" wrapText="1"/>
    </xf>
    <xf numFmtId="0" fontId="49" fillId="25" borderId="40" xfId="0" applyFont="1" applyFill="1" applyBorder="1" applyAlignment="1">
      <alignment horizontal="left" vertical="top" wrapText="1"/>
    </xf>
    <xf numFmtId="0" fontId="49" fillId="25" borderId="13" xfId="0" applyFont="1" applyFill="1" applyBorder="1" applyAlignment="1">
      <alignment horizontal="left" vertical="top" wrapText="1"/>
    </xf>
    <xf numFmtId="0" fontId="7" fillId="0" borderId="91" xfId="0" applyFont="1" applyFill="1" applyBorder="1" applyAlignment="1">
      <alignment horizontal="center" vertical="center" textRotation="90" wrapText="1"/>
    </xf>
    <xf numFmtId="0" fontId="7" fillId="0" borderId="37" xfId="0" applyFont="1" applyFill="1" applyBorder="1" applyAlignment="1">
      <alignment horizontal="center" vertical="center" textRotation="90" wrapText="1"/>
    </xf>
    <xf numFmtId="0" fontId="1" fillId="16" borderId="37" xfId="0" applyFont="1" applyFill="1" applyBorder="1" applyAlignment="1">
      <alignment horizontal="right" vertical="top" wrapText="1"/>
    </xf>
    <xf numFmtId="0" fontId="1" fillId="16" borderId="82" xfId="0" applyFont="1" applyFill="1" applyBorder="1" applyAlignment="1">
      <alignment horizontal="right" vertical="top" wrapText="1"/>
    </xf>
    <xf numFmtId="0" fontId="1" fillId="16" borderId="64" xfId="0" applyFont="1" applyFill="1" applyBorder="1" applyAlignment="1">
      <alignment horizontal="right" vertical="top" wrapText="1"/>
    </xf>
    <xf numFmtId="49" fontId="1" fillId="24" borderId="80" xfId="0" applyNumberFormat="1" applyFont="1" applyFill="1" applyBorder="1" applyAlignment="1">
      <alignment horizontal="right" vertical="top"/>
    </xf>
    <xf numFmtId="49" fontId="1" fillId="24" borderId="78" xfId="0" applyNumberFormat="1" applyFont="1" applyFill="1" applyBorder="1" applyAlignment="1">
      <alignment horizontal="right" vertical="top"/>
    </xf>
    <xf numFmtId="49" fontId="1" fillId="24" borderId="79" xfId="0" applyNumberFormat="1" applyFont="1" applyFill="1" applyBorder="1" applyAlignment="1">
      <alignment horizontal="right" vertical="top"/>
    </xf>
    <xf numFmtId="0" fontId="7" fillId="0" borderId="26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50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center" wrapText="1"/>
    </xf>
    <xf numFmtId="0" fontId="1" fillId="24" borderId="26" xfId="0" applyFont="1" applyFill="1" applyBorder="1" applyAlignment="1">
      <alignment horizontal="right" vertical="top" wrapText="1"/>
    </xf>
    <xf numFmtId="0" fontId="1" fillId="24" borderId="32" xfId="0" applyFont="1" applyFill="1" applyBorder="1" applyAlignment="1">
      <alignment horizontal="right" vertical="top" wrapText="1"/>
    </xf>
    <xf numFmtId="0" fontId="1" fillId="24" borderId="19" xfId="0" applyFont="1" applyFill="1" applyBorder="1" applyAlignment="1">
      <alignment horizontal="right" vertical="top" wrapText="1"/>
    </xf>
    <xf numFmtId="188" fontId="2" fillId="0" borderId="77" xfId="0" applyNumberFormat="1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188" fontId="2" fillId="16" borderId="37" xfId="0" applyNumberFormat="1" applyFont="1" applyFill="1" applyBorder="1" applyAlignment="1">
      <alignment horizontal="center" vertical="top" wrapText="1"/>
    </xf>
    <xf numFmtId="188" fontId="2" fillId="16" borderId="82" xfId="0" applyNumberFormat="1" applyFont="1" applyFill="1" applyBorder="1" applyAlignment="1">
      <alignment horizontal="center" vertical="top" wrapText="1"/>
    </xf>
    <xf numFmtId="188" fontId="2" fillId="16" borderId="64" xfId="0" applyNumberFormat="1" applyFont="1" applyFill="1" applyBorder="1" applyAlignment="1">
      <alignment horizontal="center" vertical="top" wrapText="1"/>
    </xf>
    <xf numFmtId="0" fontId="7" fillId="0" borderId="49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49" fontId="1" fillId="4" borderId="80" xfId="0" applyNumberFormat="1" applyFont="1" applyFill="1" applyBorder="1" applyAlignment="1">
      <alignment horizontal="right" vertical="top"/>
    </xf>
    <xf numFmtId="49" fontId="1" fillId="4" borderId="78" xfId="0" applyNumberFormat="1" applyFont="1" applyFill="1" applyBorder="1" applyAlignment="1">
      <alignment horizontal="right" vertical="top"/>
    </xf>
    <xf numFmtId="49" fontId="1" fillId="4" borderId="0" xfId="0" applyNumberFormat="1" applyFont="1" applyFill="1" applyBorder="1" applyAlignment="1">
      <alignment horizontal="center" vertical="top" wrapText="1"/>
    </xf>
    <xf numFmtId="49" fontId="1" fillId="4" borderId="82" xfId="0" applyNumberFormat="1" applyFont="1" applyFill="1" applyBorder="1" applyAlignment="1">
      <alignment horizontal="center" vertical="top" wrapText="1"/>
    </xf>
    <xf numFmtId="0" fontId="7" fillId="0" borderId="49" xfId="0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 horizontal="left" vertical="top" wrapText="1"/>
    </xf>
    <xf numFmtId="0" fontId="7" fillId="0" borderId="44" xfId="0" applyFont="1" applyFill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49" fontId="7" fillId="0" borderId="39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 wrapText="1"/>
    </xf>
    <xf numFmtId="49" fontId="7" fillId="0" borderId="36" xfId="0" applyNumberFormat="1" applyFont="1" applyFill="1" applyBorder="1" applyAlignment="1">
      <alignment horizontal="center" vertical="top" wrapText="1"/>
    </xf>
    <xf numFmtId="49" fontId="1" fillId="8" borderId="72" xfId="0" applyNumberFormat="1" applyFont="1" applyFill="1" applyBorder="1" applyAlignment="1">
      <alignment horizontal="center" vertical="top"/>
    </xf>
    <xf numFmtId="49" fontId="1" fillId="8" borderId="73" xfId="0" applyNumberFormat="1" applyFont="1" applyFill="1" applyBorder="1" applyAlignment="1">
      <alignment horizontal="center" vertical="top"/>
    </xf>
    <xf numFmtId="49" fontId="1" fillId="8" borderId="74" xfId="0" applyNumberFormat="1" applyFont="1" applyFill="1" applyBorder="1" applyAlignment="1">
      <alignment horizontal="center" vertical="top"/>
    </xf>
    <xf numFmtId="0" fontId="2" fillId="4" borderId="82" xfId="0" applyFont="1" applyFill="1" applyBorder="1" applyAlignment="1">
      <alignment horizontal="left" vertical="top" wrapText="1"/>
    </xf>
    <xf numFmtId="0" fontId="2" fillId="0" borderId="82" xfId="0" applyFont="1" applyBorder="1" applyAlignment="1">
      <alignment horizontal="right" vertical="top" wrapText="1"/>
    </xf>
    <xf numFmtId="49" fontId="7" fillId="0" borderId="53" xfId="0" applyNumberFormat="1" applyFont="1" applyFill="1" applyBorder="1" applyAlignment="1">
      <alignment horizontal="center" vertical="top"/>
    </xf>
    <xf numFmtId="49" fontId="7" fillId="0" borderId="12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wrapText="1"/>
    </xf>
    <xf numFmtId="0" fontId="2" fillId="25" borderId="91" xfId="0" applyFont="1" applyFill="1" applyBorder="1" applyAlignment="1">
      <alignment horizontal="center" vertical="center" wrapText="1"/>
    </xf>
    <xf numFmtId="0" fontId="2" fillId="25" borderId="57" xfId="0" applyFont="1" applyFill="1" applyBorder="1" applyAlignment="1">
      <alignment horizontal="center" vertical="center" wrapText="1"/>
    </xf>
    <xf numFmtId="0" fontId="2" fillId="25" borderId="37" xfId="0" applyFont="1" applyFill="1" applyBorder="1" applyAlignment="1">
      <alignment horizontal="center" vertical="center" wrapText="1"/>
    </xf>
    <xf numFmtId="0" fontId="2" fillId="25" borderId="20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" fillId="25" borderId="62" xfId="0" applyFont="1" applyFill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19" fillId="0" borderId="30" xfId="50" applyFont="1" applyBorder="1" applyAlignment="1">
      <alignment horizontal="center" vertical="center" wrapText="1"/>
      <protection/>
    </xf>
    <xf numFmtId="0" fontId="0" fillId="0" borderId="30" xfId="0" applyFont="1" applyBorder="1" applyAlignment="1">
      <alignment horizontal="center" vertical="center" wrapText="1"/>
    </xf>
    <xf numFmtId="0" fontId="19" fillId="0" borderId="33" xfId="50" applyFont="1" applyBorder="1" applyAlignment="1">
      <alignment horizontal="center" vertical="center" wrapText="1"/>
      <protection/>
    </xf>
    <xf numFmtId="0" fontId="0" fillId="0" borderId="33" xfId="0" applyFont="1" applyBorder="1" applyAlignment="1">
      <alignment horizontal="center" vertical="center" wrapText="1"/>
    </xf>
    <xf numFmtId="0" fontId="25" fillId="0" borderId="34" xfId="50" applyFont="1" applyBorder="1" applyAlignment="1">
      <alignment horizontal="center" vertical="center" wrapText="1"/>
      <protection/>
    </xf>
    <xf numFmtId="0" fontId="26" fillId="0" borderId="3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9" fillId="0" borderId="34" xfId="50" applyFont="1" applyBorder="1" applyAlignment="1">
      <alignment horizontal="center" vertical="center" wrapText="1"/>
      <protection/>
    </xf>
    <xf numFmtId="0" fontId="19" fillId="0" borderId="39" xfId="50" applyFont="1" applyBorder="1" applyAlignment="1">
      <alignment horizontal="center" vertical="center" wrapText="1"/>
      <protection/>
    </xf>
    <xf numFmtId="49" fontId="10" fillId="0" borderId="17" xfId="0" applyNumberFormat="1" applyFont="1" applyFill="1" applyBorder="1" applyAlignment="1">
      <alignment horizontal="center" vertical="top"/>
    </xf>
    <xf numFmtId="49" fontId="10" fillId="0" borderId="23" xfId="0" applyNumberFormat="1" applyFont="1" applyFill="1" applyBorder="1" applyAlignment="1">
      <alignment horizontal="center" vertical="top"/>
    </xf>
    <xf numFmtId="49" fontId="10" fillId="0" borderId="19" xfId="0" applyNumberFormat="1" applyFont="1" applyFill="1" applyBorder="1" applyAlignment="1">
      <alignment horizontal="center" vertical="top"/>
    </xf>
    <xf numFmtId="49" fontId="3" fillId="0" borderId="68" xfId="0" applyNumberFormat="1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49" fontId="3" fillId="0" borderId="64" xfId="0" applyNumberFormat="1" applyFont="1" applyBorder="1" applyAlignment="1">
      <alignment horizontal="center" vertical="top"/>
    </xf>
    <xf numFmtId="0" fontId="7" fillId="0" borderId="55" xfId="0" applyFont="1" applyFill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62" xfId="0" applyNumberFormat="1" applyFont="1" applyBorder="1" applyAlignment="1">
      <alignment horizontal="center" vertical="center" textRotation="90" wrapText="1"/>
    </xf>
    <xf numFmtId="49" fontId="3" fillId="0" borderId="68" xfId="0" applyNumberFormat="1" applyFont="1" applyFill="1" applyBorder="1" applyAlignment="1">
      <alignment horizontal="center" vertical="top"/>
    </xf>
    <xf numFmtId="49" fontId="3" fillId="0" borderId="23" xfId="0" applyNumberFormat="1" applyFont="1" applyFill="1" applyBorder="1" applyAlignment="1">
      <alignment horizontal="center" vertical="top"/>
    </xf>
    <xf numFmtId="49" fontId="3" fillId="0" borderId="64" xfId="0" applyNumberFormat="1" applyFont="1" applyFill="1" applyBorder="1" applyAlignment="1">
      <alignment horizontal="center" vertical="top"/>
    </xf>
    <xf numFmtId="49" fontId="3" fillId="0" borderId="68" xfId="0" applyNumberFormat="1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49" fontId="3" fillId="0" borderId="64" xfId="0" applyNumberFormat="1" applyFont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 vertical="top"/>
    </xf>
    <xf numFmtId="49" fontId="3" fillId="0" borderId="81" xfId="0" applyNumberFormat="1" applyFont="1" applyFill="1" applyBorder="1" applyAlignment="1">
      <alignment horizontal="center" vertical="top"/>
    </xf>
    <xf numFmtId="0" fontId="7" fillId="0" borderId="75" xfId="0" applyFont="1" applyFill="1" applyBorder="1" applyAlignment="1">
      <alignment horizontal="center" vertical="center" textRotation="90" wrapText="1"/>
    </xf>
    <xf numFmtId="0" fontId="7" fillId="0" borderId="67" xfId="0" applyFont="1" applyFill="1" applyBorder="1" applyAlignment="1">
      <alignment horizontal="center" vertical="center" textRotation="90" wrapText="1"/>
    </xf>
    <xf numFmtId="0" fontId="7" fillId="0" borderId="76" xfId="0" applyFont="1" applyFill="1" applyBorder="1" applyAlignment="1">
      <alignment horizontal="center" vertical="center" textRotation="90" wrapText="1"/>
    </xf>
    <xf numFmtId="49" fontId="10" fillId="0" borderId="54" xfId="0" applyNumberFormat="1" applyFont="1" applyFill="1" applyBorder="1" applyAlignment="1">
      <alignment horizontal="center" vertical="top"/>
    </xf>
    <xf numFmtId="49" fontId="10" fillId="0" borderId="58" xfId="0" applyNumberFormat="1" applyFont="1" applyFill="1" applyBorder="1" applyAlignment="1">
      <alignment horizontal="center" vertical="top"/>
    </xf>
    <xf numFmtId="49" fontId="10" fillId="0" borderId="65" xfId="0" applyNumberFormat="1" applyFont="1" applyFill="1" applyBorder="1" applyAlignment="1">
      <alignment horizontal="center" vertical="top"/>
    </xf>
    <xf numFmtId="0" fontId="0" fillId="0" borderId="58" xfId="0" applyFont="1" applyBorder="1" applyAlignment="1">
      <alignment horizontal="left" vertical="top" wrapText="1"/>
    </xf>
    <xf numFmtId="0" fontId="0" fillId="0" borderId="65" xfId="0" applyFont="1" applyBorder="1" applyAlignment="1">
      <alignment horizontal="left" vertical="top" wrapText="1"/>
    </xf>
    <xf numFmtId="49" fontId="10" fillId="0" borderId="68" xfId="0" applyNumberFormat="1" applyFont="1" applyBorder="1" applyAlignment="1">
      <alignment horizontal="center" vertical="top"/>
    </xf>
    <xf numFmtId="49" fontId="10" fillId="0" borderId="23" xfId="0" applyNumberFormat="1" applyFont="1" applyBorder="1" applyAlignment="1">
      <alignment horizontal="center" vertical="top"/>
    </xf>
    <xf numFmtId="49" fontId="10" fillId="0" borderId="64" xfId="0" applyNumberFormat="1" applyFont="1" applyBorder="1" applyAlignment="1">
      <alignment horizontal="center" vertical="top"/>
    </xf>
    <xf numFmtId="0" fontId="7" fillId="0" borderId="75" xfId="0" applyFont="1" applyFill="1" applyBorder="1" applyAlignment="1">
      <alignment horizontal="center" vertical="top" wrapText="1"/>
    </xf>
    <xf numFmtId="0" fontId="7" fillId="0" borderId="67" xfId="0" applyFont="1" applyFill="1" applyBorder="1" applyAlignment="1">
      <alignment horizontal="center" vertical="top" wrapText="1"/>
    </xf>
    <xf numFmtId="0" fontId="7" fillId="0" borderId="76" xfId="0" applyFont="1" applyFill="1" applyBorder="1" applyAlignment="1">
      <alignment horizontal="center" vertical="top" wrapText="1"/>
    </xf>
    <xf numFmtId="0" fontId="27" fillId="24" borderId="26" xfId="0" applyFont="1" applyFill="1" applyBorder="1" applyAlignment="1">
      <alignment horizontal="left" vertical="top" wrapText="1"/>
    </xf>
    <xf numFmtId="0" fontId="27" fillId="24" borderId="32" xfId="0" applyFont="1" applyFill="1" applyBorder="1" applyAlignment="1">
      <alignment horizontal="left" vertical="top" wrapText="1"/>
    </xf>
    <xf numFmtId="0" fontId="27" fillId="24" borderId="19" xfId="0" applyFont="1" applyFill="1" applyBorder="1" applyAlignment="1">
      <alignment horizontal="left" vertical="top" wrapText="1"/>
    </xf>
    <xf numFmtId="49" fontId="3" fillId="0" borderId="17" xfId="0" applyNumberFormat="1" applyFont="1" applyFill="1" applyBorder="1" applyAlignment="1">
      <alignment horizontal="center" vertical="top"/>
    </xf>
    <xf numFmtId="49" fontId="3" fillId="0" borderId="19" xfId="0" applyNumberFormat="1" applyFont="1" applyFill="1" applyBorder="1" applyAlignment="1">
      <alignment horizontal="center" vertical="top"/>
    </xf>
    <xf numFmtId="49" fontId="1" fillId="0" borderId="39" xfId="0" applyNumberFormat="1" applyFont="1" applyFill="1" applyBorder="1" applyAlignment="1">
      <alignment horizontal="center" vertical="top"/>
    </xf>
    <xf numFmtId="49" fontId="3" fillId="0" borderId="54" xfId="0" applyNumberFormat="1" applyFont="1" applyFill="1" applyBorder="1" applyAlignment="1">
      <alignment horizontal="left" vertical="top" wrapText="1"/>
    </xf>
    <xf numFmtId="49" fontId="7" fillId="0" borderId="75" xfId="0" applyNumberFormat="1" applyFont="1" applyFill="1" applyBorder="1" applyAlignment="1">
      <alignment horizontal="center" vertical="top"/>
    </xf>
    <xf numFmtId="49" fontId="7" fillId="0" borderId="67" xfId="0" applyNumberFormat="1" applyFont="1" applyFill="1" applyBorder="1" applyAlignment="1">
      <alignment horizontal="center" vertical="top"/>
    </xf>
    <xf numFmtId="49" fontId="7" fillId="0" borderId="76" xfId="0" applyNumberFormat="1" applyFont="1" applyFill="1" applyBorder="1" applyAlignment="1">
      <alignment horizontal="center" vertical="top"/>
    </xf>
    <xf numFmtId="0" fontId="0" fillId="0" borderId="67" xfId="0" applyFont="1" applyBorder="1" applyAlignment="1">
      <alignment horizontal="center" vertical="center" textRotation="90"/>
    </xf>
    <xf numFmtId="0" fontId="0" fillId="0" borderId="76" xfId="0" applyFont="1" applyBorder="1" applyAlignment="1">
      <alignment horizontal="center" vertical="center" textRotation="90"/>
    </xf>
    <xf numFmtId="0" fontId="8" fillId="0" borderId="75" xfId="0" applyFont="1" applyFill="1" applyBorder="1" applyAlignment="1">
      <alignment vertical="center" textRotation="90" wrapText="1"/>
    </xf>
    <xf numFmtId="0" fontId="8" fillId="0" borderId="67" xfId="0" applyFont="1" applyFill="1" applyBorder="1" applyAlignment="1">
      <alignment vertical="center" textRotation="90" wrapText="1"/>
    </xf>
    <xf numFmtId="0" fontId="0" fillId="0" borderId="76" xfId="0" applyFont="1" applyBorder="1" applyAlignment="1">
      <alignment/>
    </xf>
    <xf numFmtId="0" fontId="47" fillId="0" borderId="54" xfId="0" applyFont="1" applyFill="1" applyBorder="1" applyAlignment="1">
      <alignment horizontal="left" vertical="top" wrapText="1"/>
    </xf>
    <xf numFmtId="0" fontId="47" fillId="0" borderId="58" xfId="0" applyFont="1" applyFill="1" applyBorder="1" applyAlignment="1">
      <alignment horizontal="left" vertical="top" wrapText="1"/>
    </xf>
    <xf numFmtId="0" fontId="47" fillId="0" borderId="65" xfId="0" applyFont="1" applyFill="1" applyBorder="1" applyAlignment="1">
      <alignment horizontal="left" vertical="top" wrapText="1"/>
    </xf>
    <xf numFmtId="0" fontId="7" fillId="0" borderId="75" xfId="0" applyFont="1" applyFill="1" applyBorder="1" applyAlignment="1">
      <alignment horizontal="center" vertical="top" wrapText="1"/>
    </xf>
    <xf numFmtId="0" fontId="7" fillId="0" borderId="67" xfId="0" applyFont="1" applyFill="1" applyBorder="1" applyAlignment="1">
      <alignment horizontal="center" vertical="top" wrapText="1"/>
    </xf>
    <xf numFmtId="0" fontId="7" fillId="0" borderId="76" xfId="0" applyFont="1" applyFill="1" applyBorder="1" applyAlignment="1">
      <alignment horizontal="center" vertical="top" wrapText="1"/>
    </xf>
    <xf numFmtId="49" fontId="3" fillId="0" borderId="68" xfId="0" applyNumberFormat="1" applyFont="1" applyFill="1" applyBorder="1" applyAlignment="1">
      <alignment horizontal="center" vertical="top"/>
    </xf>
    <xf numFmtId="49" fontId="3" fillId="0" borderId="23" xfId="0" applyNumberFormat="1" applyFont="1" applyFill="1" applyBorder="1" applyAlignment="1">
      <alignment horizontal="center" vertical="top"/>
    </xf>
    <xf numFmtId="49" fontId="3" fillId="0" borderId="64" xfId="0" applyNumberFormat="1" applyFont="1" applyFill="1" applyBorder="1" applyAlignment="1">
      <alignment horizontal="center" vertical="top"/>
    </xf>
    <xf numFmtId="49" fontId="1" fillId="8" borderId="55" xfId="0" applyNumberFormat="1" applyFont="1" applyFill="1" applyBorder="1" applyAlignment="1">
      <alignment horizontal="center" vertical="top"/>
    </xf>
    <xf numFmtId="49" fontId="1" fillId="4" borderId="34" xfId="0" applyNumberFormat="1" applyFont="1" applyFill="1" applyBorder="1" applyAlignment="1">
      <alignment horizontal="center" vertical="top"/>
    </xf>
    <xf numFmtId="49" fontId="1" fillId="0" borderId="42" xfId="0" applyNumberFormat="1" applyFont="1" applyBorder="1" applyAlignment="1">
      <alignment horizontal="center" vertical="top"/>
    </xf>
    <xf numFmtId="49" fontId="1" fillId="0" borderId="34" xfId="0" applyNumberFormat="1" applyFont="1" applyBorder="1" applyAlignment="1">
      <alignment horizontal="center" vertical="top"/>
    </xf>
    <xf numFmtId="49" fontId="1" fillId="0" borderId="36" xfId="0" applyNumberFormat="1" applyFont="1" applyBorder="1" applyAlignment="1">
      <alignment horizontal="center" vertical="top"/>
    </xf>
    <xf numFmtId="0" fontId="3" fillId="0" borderId="93" xfId="0" applyFont="1" applyFill="1" applyBorder="1" applyAlignment="1">
      <alignment horizontal="left" vertical="top" wrapText="1"/>
    </xf>
    <xf numFmtId="0" fontId="3" fillId="0" borderId="4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49" fontId="1" fillId="0" borderId="39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0" fontId="3" fillId="0" borderId="48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3" fillId="0" borderId="87" xfId="0" applyFont="1" applyFill="1" applyBorder="1" applyAlignment="1">
      <alignment horizontal="left" vertical="top" wrapText="1"/>
    </xf>
    <xf numFmtId="0" fontId="47" fillId="25" borderId="54" xfId="0" applyFont="1" applyFill="1" applyBorder="1" applyAlignment="1">
      <alignment vertical="top" wrapText="1"/>
    </xf>
    <xf numFmtId="0" fontId="47" fillId="25" borderId="58" xfId="0" applyFont="1" applyFill="1" applyBorder="1" applyAlignment="1">
      <alignment vertical="top" wrapText="1"/>
    </xf>
    <xf numFmtId="0" fontId="47" fillId="25" borderId="65" xfId="0" applyFont="1" applyFill="1" applyBorder="1" applyAlignment="1">
      <alignment vertical="top" wrapText="1"/>
    </xf>
    <xf numFmtId="49" fontId="3" fillId="0" borderId="92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49" fontId="3" fillId="0" borderId="82" xfId="0" applyNumberFormat="1" applyFont="1" applyBorder="1" applyAlignment="1">
      <alignment horizontal="center" vertical="top"/>
    </xf>
    <xf numFmtId="49" fontId="3" fillId="0" borderId="46" xfId="0" applyNumberFormat="1" applyFont="1" applyBorder="1" applyAlignment="1">
      <alignment horizontal="center" vertical="top"/>
    </xf>
    <xf numFmtId="49" fontId="3" fillId="0" borderId="90" xfId="0" applyNumberFormat="1" applyFont="1" applyBorder="1" applyAlignment="1">
      <alignment horizontal="center" vertical="top"/>
    </xf>
    <xf numFmtId="49" fontId="2" fillId="0" borderId="93" xfId="0" applyNumberFormat="1" applyFont="1" applyFill="1" applyBorder="1" applyAlignment="1">
      <alignment horizontal="left" vertical="top" wrapText="1"/>
    </xf>
    <xf numFmtId="49" fontId="2" fillId="0" borderId="40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7" fillId="0" borderId="41" xfId="0" applyNumberFormat="1" applyFont="1" applyFill="1" applyBorder="1" applyAlignment="1">
      <alignment horizontal="center" vertical="top"/>
    </xf>
    <xf numFmtId="49" fontId="7" fillId="0" borderId="89" xfId="0" applyNumberFormat="1" applyFont="1" applyFill="1" applyBorder="1" applyAlignment="1">
      <alignment horizontal="center" vertical="top"/>
    </xf>
    <xf numFmtId="49" fontId="3" fillId="0" borderId="54" xfId="0" applyNumberFormat="1" applyFont="1" applyFill="1" applyBorder="1" applyAlignment="1">
      <alignment horizontal="left" vertical="top" wrapText="1"/>
    </xf>
    <xf numFmtId="49" fontId="3" fillId="0" borderId="58" xfId="0" applyNumberFormat="1" applyFont="1" applyFill="1" applyBorder="1" applyAlignment="1">
      <alignment horizontal="left" vertical="top" wrapText="1"/>
    </xf>
    <xf numFmtId="49" fontId="3" fillId="0" borderId="65" xfId="0" applyNumberFormat="1" applyFont="1" applyFill="1" applyBorder="1" applyAlignment="1">
      <alignment horizontal="left" vertical="top" wrapText="1"/>
    </xf>
    <xf numFmtId="49" fontId="7" fillId="0" borderId="75" xfId="0" applyNumberFormat="1" applyFont="1" applyFill="1" applyBorder="1" applyAlignment="1">
      <alignment horizontal="center" vertical="center" textRotation="90"/>
    </xf>
    <xf numFmtId="49" fontId="7" fillId="0" borderId="67" xfId="0" applyNumberFormat="1" applyFont="1" applyFill="1" applyBorder="1" applyAlignment="1">
      <alignment horizontal="center" vertical="center" textRotation="90"/>
    </xf>
    <xf numFmtId="49" fontId="7" fillId="0" borderId="76" xfId="0" applyNumberFormat="1" applyFont="1" applyFill="1" applyBorder="1" applyAlignment="1">
      <alignment horizontal="center" vertical="center" textRotation="90"/>
    </xf>
    <xf numFmtId="49" fontId="3" fillId="0" borderId="17" xfId="0" applyNumberFormat="1" applyFont="1" applyFill="1" applyBorder="1" applyAlignment="1">
      <alignment horizontal="center" vertical="top"/>
    </xf>
    <xf numFmtId="49" fontId="3" fillId="0" borderId="81" xfId="0" applyNumberFormat="1" applyFont="1" applyFill="1" applyBorder="1" applyAlignment="1">
      <alignment horizontal="center" vertical="top"/>
    </xf>
    <xf numFmtId="0" fontId="0" fillId="0" borderId="78" xfId="0" applyFont="1" applyBorder="1" applyAlignment="1">
      <alignment vertical="top" wrapText="1"/>
    </xf>
    <xf numFmtId="0" fontId="3" fillId="0" borderId="93" xfId="0" applyFont="1" applyFill="1" applyBorder="1" applyAlignment="1">
      <alignment horizontal="left" vertical="top" wrapText="1"/>
    </xf>
    <xf numFmtId="0" fontId="3" fillId="0" borderId="4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49" fontId="1" fillId="0" borderId="53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7" fillId="0" borderId="69" xfId="0" applyNumberFormat="1" applyFont="1" applyFill="1" applyBorder="1" applyAlignment="1">
      <alignment horizontal="center" vertical="top"/>
    </xf>
    <xf numFmtId="49" fontId="7" fillId="0" borderId="66" xfId="0" applyNumberFormat="1" applyFont="1" applyFill="1" applyBorder="1" applyAlignment="1">
      <alignment horizontal="center" vertical="top"/>
    </xf>
    <xf numFmtId="49" fontId="7" fillId="0" borderId="86" xfId="0" applyNumberFormat="1" applyFont="1" applyFill="1" applyBorder="1" applyAlignment="1">
      <alignment horizontal="center" vertical="top"/>
    </xf>
    <xf numFmtId="0" fontId="7" fillId="0" borderId="75" xfId="0" applyFont="1" applyFill="1" applyBorder="1" applyAlignment="1">
      <alignment horizontal="center" vertical="top"/>
    </xf>
    <xf numFmtId="0" fontId="7" fillId="0" borderId="67" xfId="0" applyFont="1" applyFill="1" applyBorder="1" applyAlignment="1">
      <alignment horizontal="center" vertical="top"/>
    </xf>
    <xf numFmtId="0" fontId="7" fillId="0" borderId="76" xfId="0" applyFont="1" applyFill="1" applyBorder="1" applyAlignment="1">
      <alignment horizontal="center" vertical="top"/>
    </xf>
    <xf numFmtId="0" fontId="3" fillId="0" borderId="54" xfId="0" applyFont="1" applyFill="1" applyBorder="1" applyAlignment="1">
      <alignment horizontal="left" vertical="top" wrapText="1"/>
    </xf>
    <xf numFmtId="0" fontId="3" fillId="0" borderId="58" xfId="0" applyFont="1" applyFill="1" applyBorder="1" applyAlignment="1">
      <alignment horizontal="left" vertical="top" wrapText="1"/>
    </xf>
    <xf numFmtId="0" fontId="3" fillId="0" borderId="65" xfId="0" applyFont="1" applyFill="1" applyBorder="1" applyAlignment="1">
      <alignment horizontal="left" vertical="top" wrapText="1"/>
    </xf>
    <xf numFmtId="49" fontId="8" fillId="0" borderId="94" xfId="0" applyNumberFormat="1" applyFont="1" applyBorder="1" applyAlignment="1">
      <alignment horizontal="center" vertical="top"/>
    </xf>
    <xf numFmtId="49" fontId="8" fillId="0" borderId="66" xfId="0" applyNumberFormat="1" applyFont="1" applyBorder="1" applyAlignment="1">
      <alignment horizontal="center" vertical="top"/>
    </xf>
    <xf numFmtId="49" fontId="8" fillId="0" borderId="63" xfId="0" applyNumberFormat="1" applyFont="1" applyBorder="1" applyAlignment="1">
      <alignment horizontal="center" vertical="top"/>
    </xf>
    <xf numFmtId="188" fontId="7" fillId="0" borderId="75" xfId="0" applyNumberFormat="1" applyFont="1" applyFill="1" applyBorder="1" applyAlignment="1">
      <alignment horizontal="center" vertical="top"/>
    </xf>
    <xf numFmtId="188" fontId="7" fillId="0" borderId="67" xfId="0" applyNumberFormat="1" applyFont="1" applyFill="1" applyBorder="1" applyAlignment="1">
      <alignment horizontal="center" vertical="top"/>
    </xf>
    <xf numFmtId="188" fontId="7" fillId="0" borderId="76" xfId="0" applyNumberFormat="1" applyFont="1" applyFill="1" applyBorder="1" applyAlignment="1">
      <alignment horizontal="center" vertical="top"/>
    </xf>
    <xf numFmtId="49" fontId="3" fillId="0" borderId="54" xfId="0" applyNumberFormat="1" applyFont="1" applyFill="1" applyBorder="1" applyAlignment="1">
      <alignment horizontal="center" vertical="top"/>
    </xf>
    <xf numFmtId="49" fontId="3" fillId="0" borderId="58" xfId="0" applyNumberFormat="1" applyFont="1" applyFill="1" applyBorder="1" applyAlignment="1">
      <alignment horizontal="center" vertical="top"/>
    </xf>
    <xf numFmtId="49" fontId="3" fillId="0" borderId="65" xfId="0" applyNumberFormat="1" applyFont="1" applyFill="1" applyBorder="1" applyAlignment="1">
      <alignment horizontal="center" vertical="top"/>
    </xf>
    <xf numFmtId="49" fontId="7" fillId="0" borderId="63" xfId="0" applyNumberFormat="1" applyFont="1" applyFill="1" applyBorder="1" applyAlignment="1">
      <alignment horizontal="center" vertical="top"/>
    </xf>
    <xf numFmtId="0" fontId="49" fillId="0" borderId="93" xfId="0" applyFont="1" applyFill="1" applyBorder="1" applyAlignment="1">
      <alignment horizontal="left" vertical="top" wrapText="1"/>
    </xf>
    <xf numFmtId="0" fontId="49" fillId="0" borderId="40" xfId="0" applyFont="1" applyFill="1" applyBorder="1" applyAlignment="1">
      <alignment horizontal="left" vertical="top" wrapText="1"/>
    </xf>
    <xf numFmtId="0" fontId="49" fillId="0" borderId="13" xfId="0" applyFont="1" applyFill="1" applyBorder="1" applyAlignment="1">
      <alignment horizontal="left" vertical="top" wrapText="1"/>
    </xf>
    <xf numFmtId="188" fontId="7" fillId="0" borderId="75" xfId="0" applyNumberFormat="1" applyFont="1" applyFill="1" applyBorder="1" applyAlignment="1">
      <alignment horizontal="center" vertical="top" wrapText="1"/>
    </xf>
    <xf numFmtId="188" fontId="7" fillId="0" borderId="67" xfId="0" applyNumberFormat="1" applyFont="1" applyFill="1" applyBorder="1" applyAlignment="1">
      <alignment horizontal="center" vertical="top" wrapText="1"/>
    </xf>
    <xf numFmtId="188" fontId="7" fillId="0" borderId="76" xfId="0" applyNumberFormat="1" applyFont="1" applyFill="1" applyBorder="1" applyAlignment="1">
      <alignment horizontal="center" vertical="top" wrapText="1"/>
    </xf>
    <xf numFmtId="49" fontId="1" fillId="8" borderId="16" xfId="0" applyNumberFormat="1" applyFont="1" applyFill="1" applyBorder="1" applyAlignment="1">
      <alignment horizontal="center" vertical="top"/>
    </xf>
    <xf numFmtId="49" fontId="1" fillId="8" borderId="49" xfId="0" applyNumberFormat="1" applyFont="1" applyFill="1" applyBorder="1" applyAlignment="1">
      <alignment horizontal="center" vertical="top"/>
    </xf>
    <xf numFmtId="49" fontId="1" fillId="8" borderId="55" xfId="0" applyNumberFormat="1" applyFont="1" applyFill="1" applyBorder="1" applyAlignment="1">
      <alignment horizontal="center" vertical="top"/>
    </xf>
    <xf numFmtId="49" fontId="1" fillId="4" borderId="39" xfId="0" applyNumberFormat="1" applyFont="1" applyFill="1" applyBorder="1" applyAlignment="1">
      <alignment horizontal="center" vertical="top"/>
    </xf>
    <xf numFmtId="49" fontId="1" fillId="4" borderId="30" xfId="0" applyNumberFormat="1" applyFont="1" applyFill="1" applyBorder="1" applyAlignment="1">
      <alignment horizontal="center" vertical="top"/>
    </xf>
    <xf numFmtId="49" fontId="1" fillId="0" borderId="39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0" fontId="3" fillId="0" borderId="48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3" fillId="0" borderId="87" xfId="0" applyFont="1" applyFill="1" applyBorder="1" applyAlignment="1">
      <alignment horizontal="left" vertical="top" wrapText="1"/>
    </xf>
    <xf numFmtId="0" fontId="7" fillId="0" borderId="75" xfId="0" applyFont="1" applyFill="1" applyBorder="1" applyAlignment="1">
      <alignment horizontal="center" vertical="center" textRotation="90" wrapText="1"/>
    </xf>
    <xf numFmtId="0" fontId="7" fillId="0" borderId="67" xfId="0" applyFont="1" applyFill="1" applyBorder="1" applyAlignment="1">
      <alignment horizontal="center" vertical="center" textRotation="90" wrapText="1"/>
    </xf>
    <xf numFmtId="0" fontId="7" fillId="0" borderId="76" xfId="0" applyFont="1" applyFill="1" applyBorder="1" applyAlignment="1">
      <alignment horizontal="center" vertical="center" textRotation="90" wrapText="1"/>
    </xf>
    <xf numFmtId="49" fontId="10" fillId="0" borderId="54" xfId="0" applyNumberFormat="1" applyFont="1" applyBorder="1" applyAlignment="1">
      <alignment horizontal="center" vertical="top"/>
    </xf>
    <xf numFmtId="49" fontId="10" fillId="0" borderId="58" xfId="0" applyNumberFormat="1" applyFont="1" applyBorder="1" applyAlignment="1">
      <alignment horizontal="center" vertical="top"/>
    </xf>
    <xf numFmtId="49" fontId="10" fillId="0" borderId="65" xfId="0" applyNumberFormat="1" applyFont="1" applyBorder="1" applyAlignment="1">
      <alignment horizontal="center" vertical="top"/>
    </xf>
    <xf numFmtId="49" fontId="1" fillId="4" borderId="92" xfId="0" applyNumberFormat="1" applyFont="1" applyFill="1" applyBorder="1" applyAlignment="1">
      <alignment horizontal="center" vertical="top" wrapText="1"/>
    </xf>
    <xf numFmtId="49" fontId="1" fillId="4" borderId="50" xfId="0" applyNumberFormat="1" applyFont="1" applyFill="1" applyBorder="1" applyAlignment="1">
      <alignment horizontal="center" vertical="top" wrapText="1"/>
    </xf>
    <xf numFmtId="49" fontId="1" fillId="0" borderId="93" xfId="0" applyNumberFormat="1" applyFont="1" applyFill="1" applyBorder="1" applyAlignment="1">
      <alignment horizontal="center" vertical="top"/>
    </xf>
    <xf numFmtId="49" fontId="1" fillId="0" borderId="48" xfId="0" applyNumberFormat="1" applyFont="1" applyFill="1" applyBorder="1" applyAlignment="1">
      <alignment horizontal="center" vertical="top"/>
    </xf>
    <xf numFmtId="0" fontId="2" fillId="0" borderId="47" xfId="0" applyFont="1" applyFill="1" applyBorder="1" applyAlignment="1">
      <alignment horizontal="left" vertical="top" wrapText="1"/>
    </xf>
    <xf numFmtId="49" fontId="7" fillId="0" borderId="42" xfId="0" applyNumberFormat="1" applyFont="1" applyFill="1" applyBorder="1" applyAlignment="1">
      <alignment horizontal="center" vertical="top" wrapText="1"/>
    </xf>
    <xf numFmtId="49" fontId="7" fillId="0" borderId="30" xfId="0" applyNumberFormat="1" applyFont="1" applyFill="1" applyBorder="1" applyAlignment="1">
      <alignment horizontal="center" vertical="top" wrapText="1"/>
    </xf>
    <xf numFmtId="49" fontId="10" fillId="0" borderId="64" xfId="0" applyNumberFormat="1" applyFont="1" applyFill="1" applyBorder="1" applyAlignment="1">
      <alignment horizontal="center" vertical="top"/>
    </xf>
    <xf numFmtId="49" fontId="10" fillId="0" borderId="68" xfId="0" applyNumberFormat="1" applyFont="1" applyFill="1" applyBorder="1" applyAlignment="1">
      <alignment horizontal="center" vertical="top"/>
    </xf>
    <xf numFmtId="188" fontId="1" fillId="24" borderId="24" xfId="0" applyNumberFormat="1" applyFont="1" applyFill="1" applyBorder="1" applyAlignment="1">
      <alignment horizontal="center" vertical="top" wrapText="1"/>
    </xf>
    <xf numFmtId="188" fontId="1" fillId="24" borderId="46" xfId="0" applyNumberFormat="1" applyFont="1" applyFill="1" applyBorder="1" applyAlignment="1">
      <alignment horizontal="center" vertical="top" wrapText="1"/>
    </xf>
    <xf numFmtId="188" fontId="1" fillId="24" borderId="17" xfId="0" applyNumberFormat="1" applyFont="1" applyFill="1" applyBorder="1" applyAlignment="1">
      <alignment horizontal="center" vertical="top" wrapText="1"/>
    </xf>
    <xf numFmtId="49" fontId="1" fillId="8" borderId="80" xfId="0" applyNumberFormat="1" applyFont="1" applyFill="1" applyBorder="1" applyAlignment="1">
      <alignment horizontal="right" vertical="top"/>
    </xf>
    <xf numFmtId="49" fontId="1" fillId="8" borderId="78" xfId="0" applyNumberFormat="1" applyFont="1" applyFill="1" applyBorder="1" applyAlignment="1">
      <alignment horizontal="right" vertical="top"/>
    </xf>
    <xf numFmtId="49" fontId="1" fillId="8" borderId="79" xfId="0" applyNumberFormat="1" applyFont="1" applyFill="1" applyBorder="1" applyAlignment="1">
      <alignment horizontal="right" vertical="top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Followed Hyperlink" xfId="43"/>
    <cellStyle name="Geras" xfId="44"/>
    <cellStyle name="Hyperlink" xfId="45"/>
    <cellStyle name="Įspėjimo tekstas" xfId="46"/>
    <cellStyle name="Išvestis" xfId="47"/>
    <cellStyle name="Įvestis" xfId="48"/>
    <cellStyle name="Neutralus" xfId="49"/>
    <cellStyle name="Normal_biudz uz 2001 atskaitomybe3" xfId="50"/>
    <cellStyle name="Paryškinimas 1" xfId="51"/>
    <cellStyle name="Paryškinimas 2" xfId="52"/>
    <cellStyle name="Paryškinimas 3" xfId="53"/>
    <cellStyle name="Paryškinimas 4" xfId="54"/>
    <cellStyle name="Paryškinimas 5" xfId="55"/>
    <cellStyle name="Paryškinimas 6" xfId="56"/>
    <cellStyle name="Pastaba" xfId="57"/>
    <cellStyle name="Pavadinimas" xfId="58"/>
    <cellStyle name="Percent" xfId="59"/>
    <cellStyle name="Skaičiavimas" xfId="60"/>
    <cellStyle name="Suma" xfId="61"/>
    <cellStyle name="Susietas langelis" xfId="62"/>
    <cellStyle name="Tikrinimo langelis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8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3" width="2.7109375" style="13" customWidth="1"/>
    <col min="4" max="4" width="60.7109375" style="13" customWidth="1"/>
    <col min="5" max="7" width="2.7109375" style="13" customWidth="1"/>
    <col min="8" max="12" width="7.7109375" style="13" customWidth="1"/>
    <col min="13" max="13" width="8.00390625" style="42" customWidth="1"/>
    <col min="14" max="16" width="7.7109375" style="42" customWidth="1"/>
    <col min="17" max="22" width="7.7109375" style="13" customWidth="1"/>
    <col min="23" max="23" width="9.140625" style="13" customWidth="1"/>
    <col min="24" max="24" width="7.140625" style="13" customWidth="1"/>
    <col min="25" max="16384" width="9.140625" style="13" customWidth="1"/>
  </cols>
  <sheetData>
    <row r="1" ht="12.75">
      <c r="V1" s="301" t="s">
        <v>207</v>
      </c>
    </row>
    <row r="2" spans="1:22" ht="27" customHeight="1">
      <c r="A2" s="817" t="s">
        <v>208</v>
      </c>
      <c r="B2" s="818"/>
      <c r="C2" s="818"/>
      <c r="D2" s="818"/>
      <c r="E2" s="818"/>
      <c r="F2" s="818"/>
      <c r="G2" s="818"/>
      <c r="H2" s="818"/>
      <c r="I2" s="818"/>
      <c r="J2" s="818"/>
      <c r="K2" s="818"/>
      <c r="L2" s="818"/>
      <c r="M2" s="818"/>
      <c r="N2" s="818"/>
      <c r="O2" s="818"/>
      <c r="P2" s="818"/>
      <c r="Q2" s="818"/>
      <c r="R2" s="818"/>
      <c r="S2" s="818"/>
      <c r="T2" s="818"/>
      <c r="U2" s="818"/>
      <c r="V2" s="818"/>
    </row>
    <row r="3" spans="1:22" ht="15" customHeight="1">
      <c r="A3" s="818" t="s">
        <v>146</v>
      </c>
      <c r="B3" s="818"/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818"/>
      <c r="O3" s="818"/>
      <c r="P3" s="818"/>
      <c r="Q3" s="818"/>
      <c r="R3" s="818"/>
      <c r="S3" s="818"/>
      <c r="T3" s="818"/>
      <c r="U3" s="818"/>
      <c r="V3" s="818"/>
    </row>
    <row r="4" spans="1:22" ht="15" customHeight="1" thickBo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910" t="s">
        <v>35</v>
      </c>
      <c r="V4" s="910"/>
    </row>
    <row r="5" spans="1:22" s="4" customFormat="1" ht="36.75" customHeight="1">
      <c r="A5" s="819" t="s">
        <v>0</v>
      </c>
      <c r="B5" s="822" t="s">
        <v>1</v>
      </c>
      <c r="C5" s="822" t="s">
        <v>2</v>
      </c>
      <c r="D5" s="825" t="s">
        <v>42</v>
      </c>
      <c r="E5" s="846" t="s">
        <v>58</v>
      </c>
      <c r="F5" s="840" t="s">
        <v>251</v>
      </c>
      <c r="G5" s="843" t="s">
        <v>3</v>
      </c>
      <c r="H5" s="835" t="s">
        <v>4</v>
      </c>
      <c r="I5" s="736" t="s">
        <v>262</v>
      </c>
      <c r="J5" s="737"/>
      <c r="K5" s="737"/>
      <c r="L5" s="738"/>
      <c r="M5" s="736" t="s">
        <v>138</v>
      </c>
      <c r="N5" s="737"/>
      <c r="O5" s="737"/>
      <c r="P5" s="738"/>
      <c r="Q5" s="740" t="s">
        <v>93</v>
      </c>
      <c r="R5" s="737"/>
      <c r="S5" s="737"/>
      <c r="T5" s="852"/>
      <c r="U5" s="829" t="s">
        <v>139</v>
      </c>
      <c r="V5" s="829" t="s">
        <v>140</v>
      </c>
    </row>
    <row r="6" spans="1:22" s="4" customFormat="1" ht="15" customHeight="1">
      <c r="A6" s="820"/>
      <c r="B6" s="823"/>
      <c r="C6" s="823"/>
      <c r="D6" s="826"/>
      <c r="E6" s="847"/>
      <c r="F6" s="841"/>
      <c r="G6" s="844"/>
      <c r="H6" s="836"/>
      <c r="I6" s="805" t="s">
        <v>5</v>
      </c>
      <c r="J6" s="828" t="s">
        <v>6</v>
      </c>
      <c r="K6" s="828"/>
      <c r="L6" s="794" t="s">
        <v>94</v>
      </c>
      <c r="M6" s="805" t="s">
        <v>5</v>
      </c>
      <c r="N6" s="828" t="s">
        <v>6</v>
      </c>
      <c r="O6" s="828"/>
      <c r="P6" s="794" t="s">
        <v>94</v>
      </c>
      <c r="Q6" s="815" t="s">
        <v>5</v>
      </c>
      <c r="R6" s="828" t="s">
        <v>6</v>
      </c>
      <c r="S6" s="828"/>
      <c r="T6" s="838" t="s">
        <v>94</v>
      </c>
      <c r="U6" s="830"/>
      <c r="V6" s="830"/>
    </row>
    <row r="7" spans="1:22" s="4" customFormat="1" ht="88.5" customHeight="1" thickBot="1">
      <c r="A7" s="821"/>
      <c r="B7" s="824"/>
      <c r="C7" s="824"/>
      <c r="D7" s="827"/>
      <c r="E7" s="848"/>
      <c r="F7" s="842"/>
      <c r="G7" s="845"/>
      <c r="H7" s="837"/>
      <c r="I7" s="806"/>
      <c r="J7" s="76" t="s">
        <v>5</v>
      </c>
      <c r="K7" s="77" t="s">
        <v>95</v>
      </c>
      <c r="L7" s="795"/>
      <c r="M7" s="806"/>
      <c r="N7" s="76" t="s">
        <v>5</v>
      </c>
      <c r="O7" s="77" t="s">
        <v>95</v>
      </c>
      <c r="P7" s="795"/>
      <c r="Q7" s="816"/>
      <c r="R7" s="76" t="s">
        <v>5</v>
      </c>
      <c r="S7" s="77" t="s">
        <v>95</v>
      </c>
      <c r="T7" s="839"/>
      <c r="U7" s="831"/>
      <c r="V7" s="831"/>
    </row>
    <row r="8" spans="1:22" ht="15.75" customHeight="1">
      <c r="A8" s="853" t="s">
        <v>45</v>
      </c>
      <c r="B8" s="854"/>
      <c r="C8" s="854"/>
      <c r="D8" s="854"/>
      <c r="E8" s="854"/>
      <c r="F8" s="854"/>
      <c r="G8" s="854"/>
      <c r="H8" s="854"/>
      <c r="I8" s="854"/>
      <c r="J8" s="854"/>
      <c r="K8" s="854"/>
      <c r="L8" s="854"/>
      <c r="M8" s="854"/>
      <c r="N8" s="854"/>
      <c r="O8" s="854"/>
      <c r="P8" s="854"/>
      <c r="Q8" s="854"/>
      <c r="R8" s="854"/>
      <c r="S8" s="854"/>
      <c r="T8" s="854"/>
      <c r="U8" s="854"/>
      <c r="V8" s="855"/>
    </row>
    <row r="9" spans="1:22" ht="15.75" customHeight="1">
      <c r="A9" s="832" t="s">
        <v>52</v>
      </c>
      <c r="B9" s="833"/>
      <c r="C9" s="833"/>
      <c r="D9" s="833"/>
      <c r="E9" s="833"/>
      <c r="F9" s="833"/>
      <c r="G9" s="833"/>
      <c r="H9" s="833"/>
      <c r="I9" s="833"/>
      <c r="J9" s="833"/>
      <c r="K9" s="833"/>
      <c r="L9" s="833"/>
      <c r="M9" s="833"/>
      <c r="N9" s="833"/>
      <c r="O9" s="833"/>
      <c r="P9" s="833"/>
      <c r="Q9" s="833"/>
      <c r="R9" s="833"/>
      <c r="S9" s="833"/>
      <c r="T9" s="833"/>
      <c r="U9" s="833"/>
      <c r="V9" s="834"/>
    </row>
    <row r="10" spans="1:22" ht="15.75" customHeight="1" thickBot="1">
      <c r="A10" s="22" t="s">
        <v>7</v>
      </c>
      <c r="B10" s="856" t="s">
        <v>126</v>
      </c>
      <c r="C10" s="857"/>
      <c r="D10" s="857"/>
      <c r="E10" s="857"/>
      <c r="F10" s="857"/>
      <c r="G10" s="857"/>
      <c r="H10" s="857"/>
      <c r="I10" s="857"/>
      <c r="J10" s="857"/>
      <c r="K10" s="857"/>
      <c r="L10" s="857"/>
      <c r="M10" s="857"/>
      <c r="N10" s="857"/>
      <c r="O10" s="857"/>
      <c r="P10" s="857"/>
      <c r="Q10" s="857"/>
      <c r="R10" s="857"/>
      <c r="S10" s="857"/>
      <c r="T10" s="857"/>
      <c r="U10" s="857"/>
      <c r="V10" s="858"/>
    </row>
    <row r="11" spans="1:22" ht="15.75" customHeight="1" thickBot="1">
      <c r="A11" s="20" t="s">
        <v>7</v>
      </c>
      <c r="B11" s="1" t="s">
        <v>7</v>
      </c>
      <c r="C11" s="849" t="s">
        <v>127</v>
      </c>
      <c r="D11" s="850"/>
      <c r="E11" s="850"/>
      <c r="F11" s="850"/>
      <c r="G11" s="850"/>
      <c r="H11" s="850"/>
      <c r="I11" s="850"/>
      <c r="J11" s="850"/>
      <c r="K11" s="850"/>
      <c r="L11" s="850"/>
      <c r="M11" s="850"/>
      <c r="N11" s="850"/>
      <c r="O11" s="850"/>
      <c r="P11" s="850"/>
      <c r="Q11" s="850"/>
      <c r="R11" s="850"/>
      <c r="S11" s="850"/>
      <c r="T11" s="850"/>
      <c r="U11" s="850"/>
      <c r="V11" s="851"/>
    </row>
    <row r="12" spans="1:22" ht="15.75" customHeight="1">
      <c r="A12" s="792" t="s">
        <v>7</v>
      </c>
      <c r="B12" s="699" t="s">
        <v>7</v>
      </c>
      <c r="C12" s="801" t="s">
        <v>7</v>
      </c>
      <c r="D12" s="231" t="s">
        <v>128</v>
      </c>
      <c r="E12" s="679"/>
      <c r="F12" s="716" t="s">
        <v>15</v>
      </c>
      <c r="G12" s="724" t="s">
        <v>116</v>
      </c>
      <c r="H12" s="25" t="s">
        <v>10</v>
      </c>
      <c r="I12" s="115">
        <f>J12+L12</f>
        <v>632</v>
      </c>
      <c r="J12" s="116">
        <v>632</v>
      </c>
      <c r="K12" s="116"/>
      <c r="L12" s="117"/>
      <c r="M12" s="115">
        <f>N12+P12</f>
        <v>918.5999999999999</v>
      </c>
      <c r="N12" s="116">
        <f>350+38.7+89.7+440.2</f>
        <v>918.5999999999999</v>
      </c>
      <c r="O12" s="116"/>
      <c r="P12" s="117"/>
      <c r="Q12" s="407">
        <f>R12+T12</f>
        <v>589.7</v>
      </c>
      <c r="R12" s="524">
        <f>190+18+89.7+217.8+11+45</f>
        <v>571.5</v>
      </c>
      <c r="S12" s="432"/>
      <c r="T12" s="456">
        <v>18.2</v>
      </c>
      <c r="U12" s="118">
        <v>1080.5</v>
      </c>
      <c r="V12" s="119">
        <v>747.6</v>
      </c>
    </row>
    <row r="13" spans="1:22" ht="15.75" customHeight="1">
      <c r="A13" s="781"/>
      <c r="B13" s="780"/>
      <c r="C13" s="802"/>
      <c r="D13" s="229" t="s">
        <v>182</v>
      </c>
      <c r="E13" s="680"/>
      <c r="F13" s="804"/>
      <c r="G13" s="783"/>
      <c r="H13" s="82"/>
      <c r="I13" s="120">
        <f>J13+L13</f>
        <v>0</v>
      </c>
      <c r="J13" s="121"/>
      <c r="K13" s="121"/>
      <c r="L13" s="122"/>
      <c r="M13" s="120">
        <f>N13+P13</f>
        <v>0</v>
      </c>
      <c r="N13" s="121"/>
      <c r="O13" s="121"/>
      <c r="P13" s="122"/>
      <c r="Q13" s="410">
        <f>R13+T13</f>
        <v>0</v>
      </c>
      <c r="R13" s="457"/>
      <c r="S13" s="457"/>
      <c r="T13" s="458"/>
      <c r="U13" s="232"/>
      <c r="V13" s="151"/>
    </row>
    <row r="14" spans="1:22" ht="15.75" customHeight="1">
      <c r="A14" s="781"/>
      <c r="B14" s="780"/>
      <c r="C14" s="802"/>
      <c r="D14" s="229" t="s">
        <v>183</v>
      </c>
      <c r="E14" s="680"/>
      <c r="F14" s="804"/>
      <c r="G14" s="783"/>
      <c r="H14" s="33"/>
      <c r="I14" s="204"/>
      <c r="J14" s="205"/>
      <c r="K14" s="205"/>
      <c r="L14" s="207"/>
      <c r="M14" s="204"/>
      <c r="N14" s="205"/>
      <c r="O14" s="205"/>
      <c r="P14" s="207"/>
      <c r="Q14" s="414"/>
      <c r="R14" s="492"/>
      <c r="S14" s="492"/>
      <c r="T14" s="494"/>
      <c r="U14" s="123"/>
      <c r="V14" s="124"/>
    </row>
    <row r="15" spans="1:22" ht="15.75" customHeight="1">
      <c r="A15" s="781"/>
      <c r="B15" s="780"/>
      <c r="C15" s="802"/>
      <c r="D15" s="229" t="s">
        <v>184</v>
      </c>
      <c r="E15" s="680"/>
      <c r="F15" s="804"/>
      <c r="G15" s="783"/>
      <c r="H15" s="33"/>
      <c r="I15" s="204"/>
      <c r="J15" s="205"/>
      <c r="K15" s="205"/>
      <c r="L15" s="207"/>
      <c r="M15" s="204"/>
      <c r="N15" s="205"/>
      <c r="O15" s="205"/>
      <c r="P15" s="207"/>
      <c r="Q15" s="414"/>
      <c r="R15" s="492"/>
      <c r="S15" s="492"/>
      <c r="T15" s="494"/>
      <c r="U15" s="123"/>
      <c r="V15" s="124"/>
    </row>
    <row r="16" spans="1:22" ht="15.75" customHeight="1">
      <c r="A16" s="781"/>
      <c r="B16" s="780"/>
      <c r="C16" s="802"/>
      <c r="D16" s="229" t="s">
        <v>112</v>
      </c>
      <c r="E16" s="680"/>
      <c r="F16" s="804"/>
      <c r="G16" s="783"/>
      <c r="H16" s="32"/>
      <c r="I16" s="155"/>
      <c r="J16" s="149"/>
      <c r="K16" s="149"/>
      <c r="L16" s="150"/>
      <c r="M16" s="155"/>
      <c r="N16" s="149"/>
      <c r="O16" s="149"/>
      <c r="P16" s="150"/>
      <c r="Q16" s="418"/>
      <c r="R16" s="411"/>
      <c r="S16" s="411"/>
      <c r="T16" s="459"/>
      <c r="U16" s="233"/>
      <c r="V16" s="152"/>
    </row>
    <row r="17" spans="1:22" ht="15.75" customHeight="1" thickBot="1">
      <c r="A17" s="793"/>
      <c r="B17" s="800"/>
      <c r="C17" s="803"/>
      <c r="D17" s="230"/>
      <c r="E17" s="681"/>
      <c r="F17" s="804"/>
      <c r="G17" s="799"/>
      <c r="H17" s="396" t="s">
        <v>19</v>
      </c>
      <c r="I17" s="397">
        <f aca="true" t="shared" si="0" ref="I17:V17">SUM(I12:I16)</f>
        <v>632</v>
      </c>
      <c r="J17" s="398">
        <f t="shared" si="0"/>
        <v>632</v>
      </c>
      <c r="K17" s="398">
        <f t="shared" si="0"/>
        <v>0</v>
      </c>
      <c r="L17" s="399">
        <f t="shared" si="0"/>
        <v>0</v>
      </c>
      <c r="M17" s="397">
        <f t="shared" si="0"/>
        <v>918.5999999999999</v>
      </c>
      <c r="N17" s="398">
        <f t="shared" si="0"/>
        <v>918.5999999999999</v>
      </c>
      <c r="O17" s="398">
        <f t="shared" si="0"/>
        <v>0</v>
      </c>
      <c r="P17" s="399">
        <f t="shared" si="0"/>
        <v>0</v>
      </c>
      <c r="Q17" s="397">
        <f t="shared" si="0"/>
        <v>589.7</v>
      </c>
      <c r="R17" s="398">
        <f t="shared" si="0"/>
        <v>571.5</v>
      </c>
      <c r="S17" s="398">
        <f t="shared" si="0"/>
        <v>0</v>
      </c>
      <c r="T17" s="399">
        <f t="shared" si="0"/>
        <v>18.2</v>
      </c>
      <c r="U17" s="400">
        <f t="shared" si="0"/>
        <v>1080.5</v>
      </c>
      <c r="V17" s="400">
        <f t="shared" si="0"/>
        <v>747.6</v>
      </c>
    </row>
    <row r="18" spans="1:22" ht="15.75" customHeight="1">
      <c r="A18" s="621" t="s">
        <v>7</v>
      </c>
      <c r="B18" s="624" t="s">
        <v>7</v>
      </c>
      <c r="C18" s="796" t="s">
        <v>8</v>
      </c>
      <c r="D18" s="231" t="s">
        <v>129</v>
      </c>
      <c r="E18" s="510" t="s">
        <v>103</v>
      </c>
      <c r="F18" s="636" t="s">
        <v>12</v>
      </c>
      <c r="G18" s="671" t="s">
        <v>116</v>
      </c>
      <c r="H18" s="29" t="s">
        <v>10</v>
      </c>
      <c r="I18" s="115">
        <f>J18+L18</f>
        <v>6964.6</v>
      </c>
      <c r="J18" s="125">
        <v>6964.6</v>
      </c>
      <c r="K18" s="125"/>
      <c r="L18" s="126"/>
      <c r="M18" s="115">
        <f>N18+P18</f>
        <v>9819.5</v>
      </c>
      <c r="N18" s="127">
        <f>9392.5+246+181</f>
        <v>9819.5</v>
      </c>
      <c r="O18" s="128"/>
      <c r="P18" s="129"/>
      <c r="Q18" s="407">
        <f>R18+T18</f>
        <v>6121.3</v>
      </c>
      <c r="R18" s="524">
        <f>5826+195.3+145-45</f>
        <v>6121.3</v>
      </c>
      <c r="S18" s="408"/>
      <c r="T18" s="409"/>
      <c r="U18" s="130">
        <v>7027</v>
      </c>
      <c r="V18" s="131">
        <v>7027</v>
      </c>
    </row>
    <row r="19" spans="1:22" ht="39" customHeight="1">
      <c r="A19" s="622"/>
      <c r="B19" s="625"/>
      <c r="C19" s="797"/>
      <c r="D19" s="603" t="s">
        <v>186</v>
      </c>
      <c r="E19" s="511" t="s">
        <v>178</v>
      </c>
      <c r="F19" s="637"/>
      <c r="G19" s="672"/>
      <c r="H19" s="26" t="s">
        <v>117</v>
      </c>
      <c r="I19" s="120">
        <f>J19+L19</f>
        <v>3</v>
      </c>
      <c r="J19" s="149">
        <v>3</v>
      </c>
      <c r="K19" s="156"/>
      <c r="L19" s="157"/>
      <c r="M19" s="120">
        <f>N19+P19</f>
        <v>2.5</v>
      </c>
      <c r="N19" s="156">
        <v>2.5</v>
      </c>
      <c r="O19" s="156"/>
      <c r="P19" s="158"/>
      <c r="Q19" s="410">
        <f>R19+T19</f>
        <v>2.5</v>
      </c>
      <c r="R19" s="411">
        <v>2.5</v>
      </c>
      <c r="S19" s="412"/>
      <c r="T19" s="413"/>
      <c r="U19" s="196">
        <v>2</v>
      </c>
      <c r="V19" s="241">
        <v>2</v>
      </c>
    </row>
    <row r="20" spans="1:22" ht="15.75" customHeight="1">
      <c r="A20" s="622"/>
      <c r="B20" s="625"/>
      <c r="C20" s="797"/>
      <c r="D20" s="229" t="s">
        <v>187</v>
      </c>
      <c r="E20" s="512" t="s">
        <v>101</v>
      </c>
      <c r="F20" s="637"/>
      <c r="G20" s="672"/>
      <c r="H20" s="82" t="s">
        <v>53</v>
      </c>
      <c r="I20" s="120"/>
      <c r="J20" s="604"/>
      <c r="K20" s="174"/>
      <c r="L20" s="175"/>
      <c r="M20" s="120"/>
      <c r="N20" s="174"/>
      <c r="O20" s="174"/>
      <c r="P20" s="176"/>
      <c r="Q20" s="606">
        <f>R20+T20</f>
        <v>155</v>
      </c>
      <c r="R20" s="608">
        <v>155</v>
      </c>
      <c r="S20" s="440"/>
      <c r="T20" s="441"/>
      <c r="U20" s="605"/>
      <c r="V20" s="211"/>
    </row>
    <row r="21" spans="1:22" ht="27" customHeight="1">
      <c r="A21" s="622"/>
      <c r="B21" s="625"/>
      <c r="C21" s="797"/>
      <c r="D21" s="229" t="s">
        <v>188</v>
      </c>
      <c r="E21" s="512"/>
      <c r="F21" s="637"/>
      <c r="G21" s="672"/>
      <c r="H21" s="33"/>
      <c r="I21" s="204"/>
      <c r="J21" s="234"/>
      <c r="K21" s="235"/>
      <c r="L21" s="236"/>
      <c r="M21" s="204"/>
      <c r="N21" s="235"/>
      <c r="O21" s="235"/>
      <c r="P21" s="237"/>
      <c r="Q21" s="414"/>
      <c r="R21" s="415"/>
      <c r="S21" s="416"/>
      <c r="T21" s="417"/>
      <c r="U21" s="238"/>
      <c r="V21" s="239"/>
    </row>
    <row r="22" spans="1:22" ht="27" customHeight="1">
      <c r="A22" s="622"/>
      <c r="B22" s="625"/>
      <c r="C22" s="797"/>
      <c r="D22" s="229" t="s">
        <v>130</v>
      </c>
      <c r="E22" s="513"/>
      <c r="F22" s="637"/>
      <c r="G22" s="672"/>
      <c r="H22" s="33"/>
      <c r="I22" s="155"/>
      <c r="J22" s="132"/>
      <c r="K22" s="133"/>
      <c r="L22" s="134"/>
      <c r="M22" s="155"/>
      <c r="N22" s="133"/>
      <c r="O22" s="133"/>
      <c r="P22" s="135"/>
      <c r="Q22" s="418"/>
      <c r="R22" s="419"/>
      <c r="S22" s="420"/>
      <c r="T22" s="421"/>
      <c r="U22" s="136"/>
      <c r="V22" s="137"/>
    </row>
    <row r="23" spans="1:22" ht="15.75" customHeight="1" thickBot="1">
      <c r="A23" s="623"/>
      <c r="B23" s="626"/>
      <c r="C23" s="798"/>
      <c r="D23" s="240"/>
      <c r="E23" s="514"/>
      <c r="F23" s="638"/>
      <c r="G23" s="673"/>
      <c r="H23" s="401" t="s">
        <v>19</v>
      </c>
      <c r="I23" s="397">
        <f aca="true" t="shared" si="1" ref="I23:V23">SUM(I18:I22)</f>
        <v>6967.6</v>
      </c>
      <c r="J23" s="398">
        <f t="shared" si="1"/>
        <v>6967.6</v>
      </c>
      <c r="K23" s="398">
        <f t="shared" si="1"/>
        <v>0</v>
      </c>
      <c r="L23" s="399">
        <f t="shared" si="1"/>
        <v>0</v>
      </c>
      <c r="M23" s="397">
        <f t="shared" si="1"/>
        <v>9822</v>
      </c>
      <c r="N23" s="398">
        <f t="shared" si="1"/>
        <v>9822</v>
      </c>
      <c r="O23" s="398">
        <f t="shared" si="1"/>
        <v>0</v>
      </c>
      <c r="P23" s="399">
        <f t="shared" si="1"/>
        <v>0</v>
      </c>
      <c r="Q23" s="397">
        <f t="shared" si="1"/>
        <v>6278.8</v>
      </c>
      <c r="R23" s="398">
        <f t="shared" si="1"/>
        <v>6278.8</v>
      </c>
      <c r="S23" s="398">
        <f t="shared" si="1"/>
        <v>0</v>
      </c>
      <c r="T23" s="399">
        <f t="shared" si="1"/>
        <v>0</v>
      </c>
      <c r="U23" s="400">
        <f t="shared" si="1"/>
        <v>7029</v>
      </c>
      <c r="V23" s="400">
        <f t="shared" si="1"/>
        <v>7029</v>
      </c>
    </row>
    <row r="24" spans="1:22" ht="15.75" customHeight="1">
      <c r="A24" s="781" t="s">
        <v>7</v>
      </c>
      <c r="B24" s="780" t="s">
        <v>7</v>
      </c>
      <c r="C24" s="627" t="s">
        <v>9</v>
      </c>
      <c r="D24" s="250" t="s">
        <v>131</v>
      </c>
      <c r="E24" s="788"/>
      <c r="F24" s="757" t="s">
        <v>12</v>
      </c>
      <c r="G24" s="783" t="s">
        <v>116</v>
      </c>
      <c r="H24" s="247" t="s">
        <v>10</v>
      </c>
      <c r="I24" s="115">
        <f>J24+L24</f>
        <v>1540.5</v>
      </c>
      <c r="J24" s="125">
        <v>1540.5</v>
      </c>
      <c r="K24" s="125">
        <v>807.9</v>
      </c>
      <c r="L24" s="126"/>
      <c r="M24" s="115">
        <f>N24+P24</f>
        <v>1873.1999999999998</v>
      </c>
      <c r="N24" s="125">
        <f>674.4+25.3+1173.5</f>
        <v>1873.1999999999998</v>
      </c>
      <c r="O24" s="116">
        <f>0+5.4+801.4</f>
        <v>806.8</v>
      </c>
      <c r="P24" s="138"/>
      <c r="Q24" s="407">
        <f>R24+T24</f>
        <v>1440.1000000000001</v>
      </c>
      <c r="R24" s="408">
        <f>325.3+23.6+1091.2</f>
        <v>1440.1000000000001</v>
      </c>
      <c r="S24" s="408">
        <f>0+5.1+761.4</f>
        <v>766.5</v>
      </c>
      <c r="T24" s="409"/>
      <c r="U24" s="139">
        <f>674.4+25.3+1173.5</f>
        <v>1873.1999999999998</v>
      </c>
      <c r="V24" s="139">
        <f>674.4+25.3+1173.5</f>
        <v>1873.1999999999998</v>
      </c>
    </row>
    <row r="25" spans="1:22" ht="15.75" customHeight="1">
      <c r="A25" s="697"/>
      <c r="B25" s="700"/>
      <c r="C25" s="628"/>
      <c r="D25" s="251" t="s">
        <v>185</v>
      </c>
      <c r="E25" s="788"/>
      <c r="F25" s="758"/>
      <c r="G25" s="686"/>
      <c r="H25" s="248" t="s">
        <v>117</v>
      </c>
      <c r="I25" s="120">
        <f>J25+L25</f>
        <v>57.400000000000006</v>
      </c>
      <c r="J25" s="121">
        <f>9+16.2</f>
        <v>25.2</v>
      </c>
      <c r="K25" s="121">
        <v>6.9</v>
      </c>
      <c r="L25" s="122">
        <v>32.2</v>
      </c>
      <c r="M25" s="140">
        <f>N25+P25</f>
        <v>57.4</v>
      </c>
      <c r="N25" s="141">
        <f>0+9+16.1</f>
        <v>25.1</v>
      </c>
      <c r="O25" s="141">
        <f>0+6.9+0</f>
        <v>6.9</v>
      </c>
      <c r="P25" s="142">
        <f>0+0+32.3</f>
        <v>32.3</v>
      </c>
      <c r="Q25" s="422">
        <f>R25+T25</f>
        <v>57.4</v>
      </c>
      <c r="R25" s="423">
        <f>0+9+16.1</f>
        <v>25.1</v>
      </c>
      <c r="S25" s="424">
        <f>0+6.9+0</f>
        <v>6.9</v>
      </c>
      <c r="T25" s="425">
        <f>0+0+32.3</f>
        <v>32.3</v>
      </c>
      <c r="U25" s="144">
        <f>0+9+48.4</f>
        <v>57.4</v>
      </c>
      <c r="V25" s="144">
        <f>0+9+48.4</f>
        <v>57.4</v>
      </c>
    </row>
    <row r="26" spans="1:22" ht="15.75" customHeight="1">
      <c r="A26" s="697"/>
      <c r="B26" s="700"/>
      <c r="C26" s="628"/>
      <c r="D26" s="251" t="s">
        <v>189</v>
      </c>
      <c r="E26" s="788"/>
      <c r="F26" s="758"/>
      <c r="G26" s="686"/>
      <c r="H26" s="248"/>
      <c r="I26" s="120">
        <f>J26+L26</f>
        <v>0</v>
      </c>
      <c r="J26" s="121"/>
      <c r="K26" s="121"/>
      <c r="L26" s="122"/>
      <c r="M26" s="140">
        <f>N26+P26</f>
        <v>0</v>
      </c>
      <c r="N26" s="141"/>
      <c r="O26" s="141"/>
      <c r="P26" s="142"/>
      <c r="Q26" s="422">
        <f>R26+T26</f>
        <v>0</v>
      </c>
      <c r="R26" s="423"/>
      <c r="S26" s="424"/>
      <c r="T26" s="425"/>
      <c r="U26" s="143"/>
      <c r="V26" s="144"/>
    </row>
    <row r="27" spans="1:22" ht="15.75" customHeight="1">
      <c r="A27" s="697"/>
      <c r="B27" s="700"/>
      <c r="C27" s="628"/>
      <c r="D27" s="251" t="s">
        <v>190</v>
      </c>
      <c r="E27" s="788"/>
      <c r="F27" s="778"/>
      <c r="G27" s="686"/>
      <c r="H27" s="43"/>
      <c r="I27" s="204"/>
      <c r="J27" s="205"/>
      <c r="K27" s="205"/>
      <c r="L27" s="207"/>
      <c r="M27" s="249"/>
      <c r="N27" s="242"/>
      <c r="O27" s="242"/>
      <c r="P27" s="206"/>
      <c r="Q27" s="426"/>
      <c r="R27" s="427"/>
      <c r="S27" s="427"/>
      <c r="T27" s="428"/>
      <c r="U27" s="243"/>
      <c r="V27" s="244"/>
    </row>
    <row r="28" spans="1:22" ht="15.75" customHeight="1">
      <c r="A28" s="697"/>
      <c r="B28" s="700"/>
      <c r="C28" s="628"/>
      <c r="D28" s="776" t="s">
        <v>191</v>
      </c>
      <c r="E28" s="788"/>
      <c r="F28" s="779" t="s">
        <v>9</v>
      </c>
      <c r="G28" s="686"/>
      <c r="H28" s="43"/>
      <c r="I28" s="155"/>
      <c r="J28" s="149"/>
      <c r="K28" s="149"/>
      <c r="L28" s="150"/>
      <c r="M28" s="228"/>
      <c r="N28" s="183"/>
      <c r="O28" s="183"/>
      <c r="P28" s="164"/>
      <c r="Q28" s="429"/>
      <c r="R28" s="430"/>
      <c r="S28" s="430"/>
      <c r="T28" s="431"/>
      <c r="U28" s="245"/>
      <c r="V28" s="246"/>
    </row>
    <row r="29" spans="1:22" ht="15.75" customHeight="1" thickBot="1">
      <c r="A29" s="782"/>
      <c r="B29" s="701"/>
      <c r="C29" s="629"/>
      <c r="D29" s="777"/>
      <c r="E29" s="789"/>
      <c r="F29" s="759"/>
      <c r="G29" s="725"/>
      <c r="H29" s="402" t="s">
        <v>19</v>
      </c>
      <c r="I29" s="397">
        <f aca="true" t="shared" si="2" ref="I29:V29">SUM(I24:I28)</f>
        <v>1597.9</v>
      </c>
      <c r="J29" s="398">
        <f t="shared" si="2"/>
        <v>1565.7</v>
      </c>
      <c r="K29" s="398">
        <f t="shared" si="2"/>
        <v>814.8</v>
      </c>
      <c r="L29" s="399">
        <f t="shared" si="2"/>
        <v>32.2</v>
      </c>
      <c r="M29" s="397">
        <f t="shared" si="2"/>
        <v>1930.6</v>
      </c>
      <c r="N29" s="398">
        <f t="shared" si="2"/>
        <v>1898.2999999999997</v>
      </c>
      <c r="O29" s="398">
        <f t="shared" si="2"/>
        <v>813.6999999999999</v>
      </c>
      <c r="P29" s="399">
        <f t="shared" si="2"/>
        <v>32.3</v>
      </c>
      <c r="Q29" s="397">
        <f t="shared" si="2"/>
        <v>1497.5000000000002</v>
      </c>
      <c r="R29" s="398">
        <f t="shared" si="2"/>
        <v>1465.2</v>
      </c>
      <c r="S29" s="398">
        <f t="shared" si="2"/>
        <v>773.4</v>
      </c>
      <c r="T29" s="399">
        <f t="shared" si="2"/>
        <v>32.3</v>
      </c>
      <c r="U29" s="400">
        <f t="shared" si="2"/>
        <v>1930.6</v>
      </c>
      <c r="V29" s="400">
        <f t="shared" si="2"/>
        <v>1930.6</v>
      </c>
    </row>
    <row r="30" spans="1:22" ht="15.75" customHeight="1">
      <c r="A30" s="781" t="s">
        <v>7</v>
      </c>
      <c r="B30" s="780" t="s">
        <v>7</v>
      </c>
      <c r="C30" s="760" t="s">
        <v>11</v>
      </c>
      <c r="D30" s="250" t="s">
        <v>142</v>
      </c>
      <c r="E30" s="516"/>
      <c r="F30" s="757" t="s">
        <v>15</v>
      </c>
      <c r="G30" s="712" t="s">
        <v>116</v>
      </c>
      <c r="H30" s="29" t="s">
        <v>10</v>
      </c>
      <c r="I30" s="115">
        <f>J30+L30</f>
        <v>4909.3</v>
      </c>
      <c r="J30" s="116">
        <v>4909.3</v>
      </c>
      <c r="K30" s="125"/>
      <c r="L30" s="126"/>
      <c r="M30" s="115">
        <f>N30+P30</f>
        <v>6606.200000000001</v>
      </c>
      <c r="N30" s="125">
        <f>3812.3+2793.9</f>
        <v>6606.200000000001</v>
      </c>
      <c r="O30" s="125"/>
      <c r="P30" s="138"/>
      <c r="Q30" s="407">
        <f>R30+T30</f>
        <v>4691.8</v>
      </c>
      <c r="R30" s="432">
        <f>2734.3+1957.5</f>
        <v>4691.8</v>
      </c>
      <c r="S30" s="408"/>
      <c r="T30" s="409"/>
      <c r="U30" s="139">
        <f>3947.9+2175</f>
        <v>6122.9</v>
      </c>
      <c r="V30" s="139">
        <f>4055.9+2175</f>
        <v>6230.9</v>
      </c>
    </row>
    <row r="31" spans="1:22" ht="15.75" customHeight="1">
      <c r="A31" s="697"/>
      <c r="B31" s="700"/>
      <c r="C31" s="761"/>
      <c r="D31" s="251" t="s">
        <v>192</v>
      </c>
      <c r="E31" s="516"/>
      <c r="F31" s="758"/>
      <c r="G31" s="686"/>
      <c r="H31" s="248"/>
      <c r="I31" s="120">
        <f>J31+L31</f>
        <v>0</v>
      </c>
      <c r="J31" s="145"/>
      <c r="K31" s="145"/>
      <c r="L31" s="146"/>
      <c r="M31" s="120">
        <f>N31+P31</f>
        <v>0</v>
      </c>
      <c r="N31" s="145"/>
      <c r="O31" s="147"/>
      <c r="P31" s="148"/>
      <c r="Q31" s="410">
        <f>R31+T31</f>
        <v>0</v>
      </c>
      <c r="R31" s="433"/>
      <c r="S31" s="433"/>
      <c r="T31" s="434"/>
      <c r="U31" s="144"/>
      <c r="V31" s="144"/>
    </row>
    <row r="32" spans="1:22" ht="27" customHeight="1">
      <c r="A32" s="697"/>
      <c r="B32" s="700"/>
      <c r="C32" s="761"/>
      <c r="D32" s="251" t="s">
        <v>132</v>
      </c>
      <c r="E32" s="516"/>
      <c r="F32" s="758"/>
      <c r="G32" s="686"/>
      <c r="H32" s="248"/>
      <c r="I32" s="120"/>
      <c r="J32" s="145"/>
      <c r="K32" s="145"/>
      <c r="L32" s="146"/>
      <c r="M32" s="120"/>
      <c r="N32" s="145"/>
      <c r="O32" s="147"/>
      <c r="P32" s="148"/>
      <c r="Q32" s="410"/>
      <c r="R32" s="433"/>
      <c r="S32" s="433"/>
      <c r="T32" s="434"/>
      <c r="U32" s="144"/>
      <c r="V32" s="144"/>
    </row>
    <row r="33" spans="1:22" ht="15.75" customHeight="1" thickBot="1">
      <c r="A33" s="782"/>
      <c r="B33" s="701"/>
      <c r="C33" s="762"/>
      <c r="D33" s="252"/>
      <c r="E33" s="518"/>
      <c r="F33" s="759"/>
      <c r="G33" s="687"/>
      <c r="H33" s="403" t="s">
        <v>19</v>
      </c>
      <c r="I33" s="397">
        <f aca="true" t="shared" si="3" ref="I33:V33">SUM(I30:I31)</f>
        <v>4909.3</v>
      </c>
      <c r="J33" s="398">
        <f t="shared" si="3"/>
        <v>4909.3</v>
      </c>
      <c r="K33" s="398">
        <f t="shared" si="3"/>
        <v>0</v>
      </c>
      <c r="L33" s="399">
        <f t="shared" si="3"/>
        <v>0</v>
      </c>
      <c r="M33" s="397">
        <f t="shared" si="3"/>
        <v>6606.200000000001</v>
      </c>
      <c r="N33" s="398">
        <f t="shared" si="3"/>
        <v>6606.200000000001</v>
      </c>
      <c r="O33" s="398">
        <f t="shared" si="3"/>
        <v>0</v>
      </c>
      <c r="P33" s="399">
        <f t="shared" si="3"/>
        <v>0</v>
      </c>
      <c r="Q33" s="397">
        <f t="shared" si="3"/>
        <v>4691.8</v>
      </c>
      <c r="R33" s="398">
        <f t="shared" si="3"/>
        <v>4691.8</v>
      </c>
      <c r="S33" s="398">
        <f t="shared" si="3"/>
        <v>0</v>
      </c>
      <c r="T33" s="399">
        <f t="shared" si="3"/>
        <v>0</v>
      </c>
      <c r="U33" s="400">
        <f t="shared" si="3"/>
        <v>6122.9</v>
      </c>
      <c r="V33" s="404">
        <f t="shared" si="3"/>
        <v>6230.9</v>
      </c>
    </row>
    <row r="34" spans="1:22" ht="15.75" customHeight="1">
      <c r="A34" s="621" t="s">
        <v>7</v>
      </c>
      <c r="B34" s="624" t="s">
        <v>7</v>
      </c>
      <c r="C34" s="627" t="s">
        <v>12</v>
      </c>
      <c r="D34" s="728" t="s">
        <v>113</v>
      </c>
      <c r="E34" s="721" t="s">
        <v>102</v>
      </c>
      <c r="F34" s="769" t="s">
        <v>9</v>
      </c>
      <c r="G34" s="671" t="s">
        <v>43</v>
      </c>
      <c r="H34" s="25" t="s">
        <v>10</v>
      </c>
      <c r="I34" s="115">
        <f>J34+L34</f>
        <v>693.6</v>
      </c>
      <c r="J34" s="125">
        <v>693.6</v>
      </c>
      <c r="K34" s="128"/>
      <c r="L34" s="177"/>
      <c r="M34" s="115">
        <f>N34+P34</f>
        <v>787.7</v>
      </c>
      <c r="N34" s="125">
        <v>787.7</v>
      </c>
      <c r="O34" s="128"/>
      <c r="P34" s="177"/>
      <c r="Q34" s="529">
        <f>R34+T34</f>
        <v>731.2</v>
      </c>
      <c r="R34" s="527">
        <f>624.2-274+381</f>
        <v>731.2</v>
      </c>
      <c r="S34" s="435"/>
      <c r="T34" s="436"/>
      <c r="U34" s="131">
        <v>350.2</v>
      </c>
      <c r="V34" s="131">
        <v>350.2</v>
      </c>
    </row>
    <row r="35" spans="1:22" ht="15.75" customHeight="1">
      <c r="A35" s="622"/>
      <c r="B35" s="625"/>
      <c r="C35" s="628"/>
      <c r="D35" s="729"/>
      <c r="E35" s="722"/>
      <c r="F35" s="732"/>
      <c r="G35" s="672"/>
      <c r="H35" s="33"/>
      <c r="I35" s="120">
        <f>J35+L35</f>
        <v>0</v>
      </c>
      <c r="J35" s="145"/>
      <c r="K35" s="147"/>
      <c r="L35" s="178"/>
      <c r="M35" s="120">
        <f>N35+P35</f>
        <v>0</v>
      </c>
      <c r="N35" s="145"/>
      <c r="O35" s="147"/>
      <c r="P35" s="178"/>
      <c r="Q35" s="410">
        <f>R35+T35</f>
        <v>0</v>
      </c>
      <c r="R35" s="433"/>
      <c r="S35" s="437"/>
      <c r="T35" s="438"/>
      <c r="U35" s="179"/>
      <c r="V35" s="179"/>
    </row>
    <row r="36" spans="1:22" ht="15.75" customHeight="1" thickBot="1">
      <c r="A36" s="623"/>
      <c r="B36" s="626"/>
      <c r="C36" s="629"/>
      <c r="D36" s="730"/>
      <c r="E36" s="723"/>
      <c r="F36" s="770"/>
      <c r="G36" s="673"/>
      <c r="H36" s="405" t="s">
        <v>19</v>
      </c>
      <c r="I36" s="397">
        <f aca="true" t="shared" si="4" ref="I36:V36">SUM(I34:I35)</f>
        <v>693.6</v>
      </c>
      <c r="J36" s="398">
        <f t="shared" si="4"/>
        <v>693.6</v>
      </c>
      <c r="K36" s="398">
        <f t="shared" si="4"/>
        <v>0</v>
      </c>
      <c r="L36" s="399">
        <f t="shared" si="4"/>
        <v>0</v>
      </c>
      <c r="M36" s="397">
        <f t="shared" si="4"/>
        <v>787.7</v>
      </c>
      <c r="N36" s="398">
        <f t="shared" si="4"/>
        <v>787.7</v>
      </c>
      <c r="O36" s="398">
        <f t="shared" si="4"/>
        <v>0</v>
      </c>
      <c r="P36" s="399">
        <f t="shared" si="4"/>
        <v>0</v>
      </c>
      <c r="Q36" s="397">
        <f t="shared" si="4"/>
        <v>731.2</v>
      </c>
      <c r="R36" s="398">
        <f t="shared" si="4"/>
        <v>731.2</v>
      </c>
      <c r="S36" s="398">
        <f t="shared" si="4"/>
        <v>0</v>
      </c>
      <c r="T36" s="399">
        <f t="shared" si="4"/>
        <v>0</v>
      </c>
      <c r="U36" s="400">
        <f t="shared" si="4"/>
        <v>350.2</v>
      </c>
      <c r="V36" s="404">
        <f t="shared" si="4"/>
        <v>350.2</v>
      </c>
    </row>
    <row r="37" spans="1:22" ht="15.75" customHeight="1">
      <c r="A37" s="790" t="s">
        <v>7</v>
      </c>
      <c r="B37" s="859" t="s">
        <v>7</v>
      </c>
      <c r="C37" s="786" t="s">
        <v>13</v>
      </c>
      <c r="D37" s="773" t="s">
        <v>121</v>
      </c>
      <c r="E37" s="519" t="s">
        <v>21</v>
      </c>
      <c r="F37" s="731" t="s">
        <v>13</v>
      </c>
      <c r="G37" s="726" t="s">
        <v>116</v>
      </c>
      <c r="H37" s="29" t="s">
        <v>10</v>
      </c>
      <c r="I37" s="115">
        <f>J37+L37</f>
        <v>250</v>
      </c>
      <c r="J37" s="125"/>
      <c r="K37" s="125"/>
      <c r="L37" s="126">
        <v>250</v>
      </c>
      <c r="M37" s="115">
        <f>N37+P37</f>
        <v>2323.9</v>
      </c>
      <c r="N37" s="116"/>
      <c r="O37" s="116"/>
      <c r="P37" s="170">
        <v>2323.9</v>
      </c>
      <c r="Q37" s="407">
        <f>R37+T37</f>
        <v>0</v>
      </c>
      <c r="R37" s="408"/>
      <c r="S37" s="408"/>
      <c r="T37" s="409"/>
      <c r="U37" s="211">
        <v>1441.8</v>
      </c>
      <c r="V37" s="211">
        <v>1236.7</v>
      </c>
    </row>
    <row r="38" spans="1:22" ht="15.75" customHeight="1">
      <c r="A38" s="622"/>
      <c r="B38" s="625"/>
      <c r="C38" s="628"/>
      <c r="D38" s="774"/>
      <c r="E38" s="520" t="s">
        <v>100</v>
      </c>
      <c r="F38" s="732"/>
      <c r="G38" s="672"/>
      <c r="H38" s="30"/>
      <c r="I38" s="140">
        <f>J38+L38</f>
        <v>0</v>
      </c>
      <c r="J38" s="210"/>
      <c r="K38" s="174"/>
      <c r="L38" s="175"/>
      <c r="M38" s="140">
        <f>N38+P38</f>
        <v>0</v>
      </c>
      <c r="N38" s="210"/>
      <c r="O38" s="174"/>
      <c r="P38" s="176"/>
      <c r="Q38" s="422">
        <f>R38+T38</f>
        <v>0</v>
      </c>
      <c r="R38" s="439"/>
      <c r="S38" s="440"/>
      <c r="T38" s="441"/>
      <c r="U38" s="211"/>
      <c r="V38" s="211"/>
    </row>
    <row r="39" spans="1:22" ht="15.75" customHeight="1" thickBot="1">
      <c r="A39" s="791"/>
      <c r="B39" s="860"/>
      <c r="C39" s="787"/>
      <c r="D39" s="775"/>
      <c r="E39" s="521"/>
      <c r="F39" s="733"/>
      <c r="G39" s="727"/>
      <c r="H39" s="406" t="s">
        <v>19</v>
      </c>
      <c r="I39" s="397">
        <f aca="true" t="shared" si="5" ref="I39:V39">SUM(I37:I38)</f>
        <v>250</v>
      </c>
      <c r="J39" s="398">
        <f t="shared" si="5"/>
        <v>0</v>
      </c>
      <c r="K39" s="398">
        <f t="shared" si="5"/>
        <v>0</v>
      </c>
      <c r="L39" s="399">
        <f t="shared" si="5"/>
        <v>250</v>
      </c>
      <c r="M39" s="397">
        <f t="shared" si="5"/>
        <v>2323.9</v>
      </c>
      <c r="N39" s="398">
        <f t="shared" si="5"/>
        <v>0</v>
      </c>
      <c r="O39" s="398">
        <f t="shared" si="5"/>
        <v>0</v>
      </c>
      <c r="P39" s="399">
        <f t="shared" si="5"/>
        <v>2323.9</v>
      </c>
      <c r="Q39" s="397">
        <f t="shared" si="5"/>
        <v>0</v>
      </c>
      <c r="R39" s="398">
        <f t="shared" si="5"/>
        <v>0</v>
      </c>
      <c r="S39" s="398">
        <f t="shared" si="5"/>
        <v>0</v>
      </c>
      <c r="T39" s="399">
        <f t="shared" si="5"/>
        <v>0</v>
      </c>
      <c r="U39" s="400">
        <f t="shared" si="5"/>
        <v>1441.8</v>
      </c>
      <c r="V39" s="404">
        <f t="shared" si="5"/>
        <v>1236.7</v>
      </c>
    </row>
    <row r="40" spans="1:22" s="530" customFormat="1" ht="18.75" customHeight="1">
      <c r="A40" s="792" t="s">
        <v>7</v>
      </c>
      <c r="B40" s="699" t="s">
        <v>7</v>
      </c>
      <c r="C40" s="760" t="s">
        <v>14</v>
      </c>
      <c r="D40" s="766" t="s">
        <v>193</v>
      </c>
      <c r="E40" s="771"/>
      <c r="F40" s="716" t="s">
        <v>12</v>
      </c>
      <c r="G40" s="724" t="s">
        <v>60</v>
      </c>
      <c r="H40" s="29" t="s">
        <v>10</v>
      </c>
      <c r="I40" s="115">
        <f>J40+L40</f>
        <v>0</v>
      </c>
      <c r="J40" s="116"/>
      <c r="K40" s="116"/>
      <c r="L40" s="117"/>
      <c r="M40" s="115">
        <f>N40+P40</f>
        <v>10.3</v>
      </c>
      <c r="N40" s="116">
        <v>10.3</v>
      </c>
      <c r="O40" s="161"/>
      <c r="P40" s="170"/>
      <c r="Q40" s="407">
        <f>R40+T40</f>
        <v>10.3</v>
      </c>
      <c r="R40" s="432">
        <v>10.3</v>
      </c>
      <c r="S40" s="432"/>
      <c r="T40" s="456"/>
      <c r="U40" s="162">
        <v>5.9</v>
      </c>
      <c r="V40" s="119"/>
    </row>
    <row r="41" spans="1:22" s="530" customFormat="1" ht="18.75" customHeight="1">
      <c r="A41" s="697"/>
      <c r="B41" s="700"/>
      <c r="C41" s="761"/>
      <c r="D41" s="767"/>
      <c r="E41" s="680"/>
      <c r="F41" s="717"/>
      <c r="G41" s="686"/>
      <c r="H41" s="82" t="s">
        <v>48</v>
      </c>
      <c r="I41" s="120">
        <f>J41+L41</f>
        <v>0</v>
      </c>
      <c r="J41" s="121"/>
      <c r="K41" s="121"/>
      <c r="L41" s="122"/>
      <c r="M41" s="120">
        <f>N41+P41</f>
        <v>0</v>
      </c>
      <c r="N41" s="121"/>
      <c r="O41" s="167"/>
      <c r="P41" s="171"/>
      <c r="Q41" s="410">
        <f>R41+T41</f>
        <v>0</v>
      </c>
      <c r="R41" s="457"/>
      <c r="S41" s="457"/>
      <c r="T41" s="458"/>
      <c r="U41" s="142"/>
      <c r="V41" s="151"/>
    </row>
    <row r="42" spans="1:22" s="530" customFormat="1" ht="18.75" customHeight="1">
      <c r="A42" s="697"/>
      <c r="B42" s="700"/>
      <c r="C42" s="761"/>
      <c r="D42" s="767"/>
      <c r="E42" s="680"/>
      <c r="F42" s="717"/>
      <c r="G42" s="686"/>
      <c r="H42" s="82" t="s">
        <v>144</v>
      </c>
      <c r="I42" s="120">
        <f>J42+L42</f>
        <v>0</v>
      </c>
      <c r="J42" s="121"/>
      <c r="K42" s="121"/>
      <c r="L42" s="122"/>
      <c r="M42" s="120">
        <f>N42+P42</f>
        <v>601.5</v>
      </c>
      <c r="N42" s="121"/>
      <c r="O42" s="167"/>
      <c r="P42" s="171">
        <v>601.5</v>
      </c>
      <c r="Q42" s="410">
        <f>R42+T42</f>
        <v>601.5</v>
      </c>
      <c r="R42" s="457"/>
      <c r="S42" s="457"/>
      <c r="T42" s="458">
        <v>601.5</v>
      </c>
      <c r="U42" s="142"/>
      <c r="V42" s="151"/>
    </row>
    <row r="43" spans="1:22" s="530" customFormat="1" ht="18.75" customHeight="1" thickBot="1">
      <c r="A43" s="782"/>
      <c r="B43" s="701"/>
      <c r="C43" s="762"/>
      <c r="D43" s="768"/>
      <c r="E43" s="772"/>
      <c r="F43" s="718"/>
      <c r="G43" s="725"/>
      <c r="H43" s="442" t="s">
        <v>19</v>
      </c>
      <c r="I43" s="443">
        <f>SUM(I40:I42)</f>
        <v>0</v>
      </c>
      <c r="J43" s="398">
        <f aca="true" t="shared" si="6" ref="J43:V43">SUM(J40:J42)</f>
        <v>0</v>
      </c>
      <c r="K43" s="398">
        <f t="shared" si="6"/>
        <v>0</v>
      </c>
      <c r="L43" s="444">
        <f t="shared" si="6"/>
        <v>0</v>
      </c>
      <c r="M43" s="443">
        <f t="shared" si="6"/>
        <v>611.8</v>
      </c>
      <c r="N43" s="398">
        <f t="shared" si="6"/>
        <v>10.3</v>
      </c>
      <c r="O43" s="398">
        <f t="shared" si="6"/>
        <v>0</v>
      </c>
      <c r="P43" s="444">
        <f t="shared" si="6"/>
        <v>601.5</v>
      </c>
      <c r="Q43" s="443">
        <f t="shared" si="6"/>
        <v>611.8</v>
      </c>
      <c r="R43" s="398">
        <f t="shared" si="6"/>
        <v>10.3</v>
      </c>
      <c r="S43" s="398">
        <f t="shared" si="6"/>
        <v>0</v>
      </c>
      <c r="T43" s="444">
        <f t="shared" si="6"/>
        <v>601.5</v>
      </c>
      <c r="U43" s="397">
        <f t="shared" si="6"/>
        <v>5.9</v>
      </c>
      <c r="V43" s="404">
        <f t="shared" si="6"/>
        <v>0</v>
      </c>
    </row>
    <row r="44" spans="1:22" s="530" customFormat="1" ht="15.75" customHeight="1">
      <c r="A44" s="792" t="s">
        <v>7</v>
      </c>
      <c r="B44" s="699" t="s">
        <v>7</v>
      </c>
      <c r="C44" s="760" t="s">
        <v>15</v>
      </c>
      <c r="D44" s="709" t="s">
        <v>194</v>
      </c>
      <c r="E44" s="713" t="s">
        <v>137</v>
      </c>
      <c r="F44" s="716" t="s">
        <v>12</v>
      </c>
      <c r="G44" s="517" t="s">
        <v>60</v>
      </c>
      <c r="H44" s="29" t="s">
        <v>10</v>
      </c>
      <c r="I44" s="269">
        <f>J44+L44</f>
        <v>0</v>
      </c>
      <c r="J44" s="116"/>
      <c r="K44" s="116"/>
      <c r="L44" s="117"/>
      <c r="M44" s="115">
        <f>N44+P44</f>
        <v>2.3</v>
      </c>
      <c r="N44" s="116">
        <v>2.3</v>
      </c>
      <c r="O44" s="161"/>
      <c r="P44" s="165"/>
      <c r="Q44" s="407">
        <f>R44+T44</f>
        <v>5.3</v>
      </c>
      <c r="R44" s="432">
        <v>5.3</v>
      </c>
      <c r="S44" s="432"/>
      <c r="T44" s="456"/>
      <c r="U44" s="162"/>
      <c r="V44" s="119"/>
    </row>
    <row r="45" spans="1:22" s="530" customFormat="1" ht="15.75" customHeight="1">
      <c r="A45" s="697"/>
      <c r="B45" s="700"/>
      <c r="C45" s="761"/>
      <c r="D45" s="710"/>
      <c r="E45" s="714"/>
      <c r="F45" s="717"/>
      <c r="G45" s="515" t="s">
        <v>116</v>
      </c>
      <c r="H45" s="82" t="s">
        <v>10</v>
      </c>
      <c r="I45" s="142">
        <f>J45+L45</f>
        <v>0</v>
      </c>
      <c r="J45" s="149"/>
      <c r="K45" s="149"/>
      <c r="L45" s="150"/>
      <c r="M45" s="155">
        <f>N45+P45</f>
        <v>93.4</v>
      </c>
      <c r="N45" s="149">
        <v>93.4</v>
      </c>
      <c r="O45" s="163"/>
      <c r="P45" s="268"/>
      <c r="Q45" s="410">
        <f>R45+T45</f>
        <v>61.1</v>
      </c>
      <c r="R45" s="411">
        <v>61.1</v>
      </c>
      <c r="S45" s="411"/>
      <c r="T45" s="459"/>
      <c r="U45" s="164"/>
      <c r="V45" s="152"/>
    </row>
    <row r="46" spans="1:22" s="530" customFormat="1" ht="15.75" customHeight="1">
      <c r="A46" s="697"/>
      <c r="B46" s="700"/>
      <c r="C46" s="761"/>
      <c r="D46" s="710"/>
      <c r="E46" s="714"/>
      <c r="F46" s="717"/>
      <c r="G46" s="515" t="s">
        <v>60</v>
      </c>
      <c r="H46" s="82" t="s">
        <v>48</v>
      </c>
      <c r="I46" s="142">
        <f>J46+L46</f>
        <v>0</v>
      </c>
      <c r="J46" s="121"/>
      <c r="K46" s="121"/>
      <c r="L46" s="122"/>
      <c r="M46" s="120">
        <f>N46+P46</f>
        <v>43.7</v>
      </c>
      <c r="N46" s="121">
        <v>43.7</v>
      </c>
      <c r="O46" s="167"/>
      <c r="P46" s="168"/>
      <c r="Q46" s="410">
        <f>R46+T46</f>
        <v>43.7</v>
      </c>
      <c r="R46" s="457">
        <v>43.7</v>
      </c>
      <c r="S46" s="457"/>
      <c r="T46" s="458"/>
      <c r="U46" s="142"/>
      <c r="V46" s="151"/>
    </row>
    <row r="47" spans="1:22" s="530" customFormat="1" ht="15.75" customHeight="1" thickBot="1">
      <c r="A47" s="782"/>
      <c r="B47" s="701"/>
      <c r="C47" s="762"/>
      <c r="D47" s="711"/>
      <c r="E47" s="715"/>
      <c r="F47" s="718"/>
      <c r="G47" s="522"/>
      <c r="H47" s="402" t="s">
        <v>19</v>
      </c>
      <c r="I47" s="445">
        <f aca="true" t="shared" si="7" ref="I47:V47">SUM(I44:I46)</f>
        <v>0</v>
      </c>
      <c r="J47" s="446">
        <f t="shared" si="7"/>
        <v>0</v>
      </c>
      <c r="K47" s="446">
        <f t="shared" si="7"/>
        <v>0</v>
      </c>
      <c r="L47" s="447">
        <f t="shared" si="7"/>
        <v>0</v>
      </c>
      <c r="M47" s="448">
        <f t="shared" si="7"/>
        <v>139.4</v>
      </c>
      <c r="N47" s="446">
        <f>SUM(N44:N46)</f>
        <v>139.4</v>
      </c>
      <c r="O47" s="446">
        <f t="shared" si="7"/>
        <v>0</v>
      </c>
      <c r="P47" s="447">
        <f t="shared" si="7"/>
        <v>0</v>
      </c>
      <c r="Q47" s="448">
        <f t="shared" si="7"/>
        <v>110.10000000000001</v>
      </c>
      <c r="R47" s="446">
        <f t="shared" si="7"/>
        <v>110.10000000000001</v>
      </c>
      <c r="S47" s="446">
        <f t="shared" si="7"/>
        <v>0</v>
      </c>
      <c r="T47" s="447">
        <f t="shared" si="7"/>
        <v>0</v>
      </c>
      <c r="U47" s="400">
        <f t="shared" si="7"/>
        <v>0</v>
      </c>
      <c r="V47" s="404">
        <f t="shared" si="7"/>
        <v>0</v>
      </c>
    </row>
    <row r="48" spans="1:22" s="530" customFormat="1" ht="15.75" customHeight="1">
      <c r="A48" s="792" t="s">
        <v>7</v>
      </c>
      <c r="B48" s="699" t="s">
        <v>7</v>
      </c>
      <c r="C48" s="760" t="s">
        <v>133</v>
      </c>
      <c r="D48" s="691" t="s">
        <v>141</v>
      </c>
      <c r="E48" s="713"/>
      <c r="F48" s="716" t="s">
        <v>13</v>
      </c>
      <c r="G48" s="724"/>
      <c r="H48" s="279" t="s">
        <v>10</v>
      </c>
      <c r="I48" s="115">
        <f>J48+L48</f>
        <v>0</v>
      </c>
      <c r="J48" s="116"/>
      <c r="K48" s="116"/>
      <c r="L48" s="117"/>
      <c r="M48" s="269">
        <f>N48+P48</f>
        <v>15</v>
      </c>
      <c r="N48" s="116">
        <v>15</v>
      </c>
      <c r="O48" s="161"/>
      <c r="P48" s="275"/>
      <c r="Q48" s="460">
        <f>R48+T48</f>
        <v>0</v>
      </c>
      <c r="R48" s="432"/>
      <c r="S48" s="432"/>
      <c r="T48" s="456"/>
      <c r="U48" s="162"/>
      <c r="V48" s="119"/>
    </row>
    <row r="49" spans="1:22" s="530" customFormat="1" ht="15.75" customHeight="1">
      <c r="A49" s="697"/>
      <c r="B49" s="700"/>
      <c r="C49" s="761"/>
      <c r="D49" s="692"/>
      <c r="E49" s="714"/>
      <c r="F49" s="717"/>
      <c r="G49" s="686"/>
      <c r="H49" s="280"/>
      <c r="I49" s="140">
        <f>J49+L49</f>
        <v>0</v>
      </c>
      <c r="J49" s="121"/>
      <c r="K49" s="121"/>
      <c r="L49" s="122"/>
      <c r="M49" s="141">
        <f>N49+P49</f>
        <v>0</v>
      </c>
      <c r="N49" s="121"/>
      <c r="O49" s="167"/>
      <c r="P49" s="276"/>
      <c r="Q49" s="423">
        <f>R49+T49</f>
        <v>0</v>
      </c>
      <c r="R49" s="457"/>
      <c r="S49" s="457"/>
      <c r="T49" s="458"/>
      <c r="U49" s="142"/>
      <c r="V49" s="151"/>
    </row>
    <row r="50" spans="1:22" s="530" customFormat="1" ht="15.75" customHeight="1" thickBot="1">
      <c r="A50" s="782"/>
      <c r="B50" s="701"/>
      <c r="C50" s="762"/>
      <c r="D50" s="693"/>
      <c r="E50" s="715"/>
      <c r="F50" s="718"/>
      <c r="G50" s="725"/>
      <c r="H50" s="449" t="s">
        <v>19</v>
      </c>
      <c r="I50" s="450">
        <f aca="true" t="shared" si="8" ref="I50:V50">SUM(I48:I49)</f>
        <v>0</v>
      </c>
      <c r="J50" s="451">
        <f t="shared" si="8"/>
        <v>0</v>
      </c>
      <c r="K50" s="451">
        <f t="shared" si="8"/>
        <v>0</v>
      </c>
      <c r="L50" s="452">
        <f t="shared" si="8"/>
        <v>0</v>
      </c>
      <c r="M50" s="453">
        <f t="shared" si="8"/>
        <v>15</v>
      </c>
      <c r="N50" s="451">
        <f t="shared" si="8"/>
        <v>15</v>
      </c>
      <c r="O50" s="451">
        <f t="shared" si="8"/>
        <v>0</v>
      </c>
      <c r="P50" s="452">
        <f t="shared" si="8"/>
        <v>0</v>
      </c>
      <c r="Q50" s="453">
        <f t="shared" si="8"/>
        <v>0</v>
      </c>
      <c r="R50" s="451">
        <f t="shared" si="8"/>
        <v>0</v>
      </c>
      <c r="S50" s="451">
        <f t="shared" si="8"/>
        <v>0</v>
      </c>
      <c r="T50" s="452">
        <f t="shared" si="8"/>
        <v>0</v>
      </c>
      <c r="U50" s="454">
        <f t="shared" si="8"/>
        <v>0</v>
      </c>
      <c r="V50" s="455">
        <f t="shared" si="8"/>
        <v>0</v>
      </c>
    </row>
    <row r="51" spans="1:22" ht="15.75" customHeight="1" thickBot="1">
      <c r="A51" s="20" t="s">
        <v>7</v>
      </c>
      <c r="B51" s="15" t="s">
        <v>7</v>
      </c>
      <c r="C51" s="659" t="s">
        <v>18</v>
      </c>
      <c r="D51" s="660"/>
      <c r="E51" s="660"/>
      <c r="F51" s="660"/>
      <c r="G51" s="660"/>
      <c r="H51" s="660"/>
      <c r="I51" s="153">
        <f>SUM(I50,I47,I43,I39,I36,I33,I29,I23,I17)</f>
        <v>15050.400000000001</v>
      </c>
      <c r="J51" s="277">
        <f aca="true" t="shared" si="9" ref="J51:T51">SUM(J50,J47,J43,J39,J36,J33,J29,J23,J17)</f>
        <v>14768.2</v>
      </c>
      <c r="K51" s="277">
        <f t="shared" si="9"/>
        <v>814.8</v>
      </c>
      <c r="L51" s="278">
        <f t="shared" si="9"/>
        <v>282.2</v>
      </c>
      <c r="M51" s="274">
        <f t="shared" si="9"/>
        <v>23155.199999999997</v>
      </c>
      <c r="N51" s="277">
        <f t="shared" si="9"/>
        <v>20197.5</v>
      </c>
      <c r="O51" s="277">
        <f t="shared" si="9"/>
        <v>813.6999999999999</v>
      </c>
      <c r="P51" s="278">
        <f t="shared" si="9"/>
        <v>2957.7000000000003</v>
      </c>
      <c r="Q51" s="274">
        <f t="shared" si="9"/>
        <v>14510.900000000001</v>
      </c>
      <c r="R51" s="277">
        <f t="shared" si="9"/>
        <v>13858.900000000001</v>
      </c>
      <c r="S51" s="277">
        <f t="shared" si="9"/>
        <v>773.4</v>
      </c>
      <c r="T51" s="278">
        <f t="shared" si="9"/>
        <v>652</v>
      </c>
      <c r="U51" s="274">
        <f>SUM(U50,U47,U43,U39,U36,U33,U29,U23,U17)</f>
        <v>17960.9</v>
      </c>
      <c r="V51" s="190">
        <f>SUM(V50,V47,V43,V39,V36,V33,V29,V23,V17)</f>
        <v>17525</v>
      </c>
    </row>
    <row r="52" spans="1:22" ht="15.75" customHeight="1" thickBot="1">
      <c r="A52" s="20" t="s">
        <v>7</v>
      </c>
      <c r="B52" s="1" t="s">
        <v>8</v>
      </c>
      <c r="C52" s="763" t="s">
        <v>134</v>
      </c>
      <c r="D52" s="764"/>
      <c r="E52" s="764"/>
      <c r="F52" s="764"/>
      <c r="G52" s="764"/>
      <c r="H52" s="764"/>
      <c r="I52" s="909"/>
      <c r="J52" s="909"/>
      <c r="K52" s="909"/>
      <c r="L52" s="909"/>
      <c r="M52" s="909"/>
      <c r="N52" s="909"/>
      <c r="O52" s="909"/>
      <c r="P52" s="909"/>
      <c r="Q52" s="909"/>
      <c r="R52" s="909"/>
      <c r="S52" s="909"/>
      <c r="T52" s="909"/>
      <c r="U52" s="764"/>
      <c r="V52" s="765"/>
    </row>
    <row r="53" spans="1:22" s="4" customFormat="1" ht="39" customHeight="1">
      <c r="A53" s="906" t="s">
        <v>7</v>
      </c>
      <c r="B53" s="624" t="s">
        <v>8</v>
      </c>
      <c r="C53" s="627" t="s">
        <v>7</v>
      </c>
      <c r="D53" s="250" t="s">
        <v>195</v>
      </c>
      <c r="E53" s="721"/>
      <c r="F53" s="683" t="s">
        <v>12</v>
      </c>
      <c r="G53" s="671" t="s">
        <v>116</v>
      </c>
      <c r="H53" s="78" t="s">
        <v>10</v>
      </c>
      <c r="I53" s="115">
        <f>J53+L53</f>
        <v>758</v>
      </c>
      <c r="J53" s="125">
        <v>758</v>
      </c>
      <c r="K53" s="125"/>
      <c r="L53" s="138"/>
      <c r="M53" s="115">
        <f>N53+P53</f>
        <v>1009.5</v>
      </c>
      <c r="N53" s="257">
        <f>954.8+10+44.7</f>
        <v>1009.5</v>
      </c>
      <c r="O53" s="257"/>
      <c r="P53" s="258"/>
      <c r="Q53" s="407">
        <f>R53+T53</f>
        <v>638.2</v>
      </c>
      <c r="R53" s="408">
        <f>588+10+40.2</f>
        <v>638.2</v>
      </c>
      <c r="S53" s="408"/>
      <c r="T53" s="409"/>
      <c r="U53" s="259">
        <f>653.3+10+44.7</f>
        <v>708</v>
      </c>
      <c r="V53" s="260">
        <f>653.3+10+44.7</f>
        <v>708</v>
      </c>
    </row>
    <row r="54" spans="1:22" s="4" customFormat="1" ht="15.75" customHeight="1">
      <c r="A54" s="907"/>
      <c r="B54" s="625"/>
      <c r="C54" s="628"/>
      <c r="D54" s="251" t="s">
        <v>196</v>
      </c>
      <c r="E54" s="722"/>
      <c r="F54" s="684"/>
      <c r="G54" s="672"/>
      <c r="H54" s="114"/>
      <c r="I54" s="120">
        <f>J54+L54</f>
        <v>0</v>
      </c>
      <c r="J54" s="174"/>
      <c r="K54" s="174"/>
      <c r="L54" s="176"/>
      <c r="M54" s="120">
        <f>N54+P54</f>
        <v>0</v>
      </c>
      <c r="N54" s="174"/>
      <c r="O54" s="174"/>
      <c r="P54" s="176"/>
      <c r="Q54" s="410">
        <f>R54+T54</f>
        <v>0</v>
      </c>
      <c r="R54" s="440"/>
      <c r="S54" s="440"/>
      <c r="T54" s="441"/>
      <c r="U54" s="181"/>
      <c r="V54" s="182"/>
    </row>
    <row r="55" spans="1:22" s="4" customFormat="1" ht="15.75" customHeight="1">
      <c r="A55" s="907"/>
      <c r="B55" s="625"/>
      <c r="C55" s="628"/>
      <c r="D55" s="251" t="s">
        <v>197</v>
      </c>
      <c r="E55" s="722"/>
      <c r="F55" s="684"/>
      <c r="G55" s="672"/>
      <c r="H55" s="21"/>
      <c r="I55" s="204"/>
      <c r="J55" s="235"/>
      <c r="K55" s="235"/>
      <c r="L55" s="237"/>
      <c r="M55" s="204"/>
      <c r="N55" s="235"/>
      <c r="O55" s="235"/>
      <c r="P55" s="237"/>
      <c r="Q55" s="414"/>
      <c r="R55" s="416"/>
      <c r="S55" s="416"/>
      <c r="T55" s="417"/>
      <c r="U55" s="253"/>
      <c r="V55" s="254"/>
    </row>
    <row r="56" spans="1:22" s="4" customFormat="1" ht="15.75" customHeight="1">
      <c r="A56" s="907"/>
      <c r="B56" s="625"/>
      <c r="C56" s="628"/>
      <c r="D56" s="251" t="s">
        <v>198</v>
      </c>
      <c r="E56" s="722"/>
      <c r="F56" s="684"/>
      <c r="G56" s="672"/>
      <c r="H56" s="21"/>
      <c r="I56" s="204"/>
      <c r="J56" s="235"/>
      <c r="K56" s="235"/>
      <c r="L56" s="237"/>
      <c r="M56" s="204"/>
      <c r="N56" s="235"/>
      <c r="O56" s="235"/>
      <c r="P56" s="237"/>
      <c r="Q56" s="414"/>
      <c r="R56" s="416"/>
      <c r="S56" s="416"/>
      <c r="T56" s="417"/>
      <c r="U56" s="253"/>
      <c r="V56" s="254"/>
    </row>
    <row r="57" spans="1:22" s="4" customFormat="1" ht="15.75" customHeight="1">
      <c r="A57" s="907"/>
      <c r="B57" s="625"/>
      <c r="C57" s="628"/>
      <c r="D57" s="251" t="s">
        <v>199</v>
      </c>
      <c r="E57" s="722"/>
      <c r="F57" s="684"/>
      <c r="G57" s="672"/>
      <c r="H57" s="21"/>
      <c r="I57" s="204"/>
      <c r="J57" s="235"/>
      <c r="K57" s="235"/>
      <c r="L57" s="237"/>
      <c r="M57" s="204"/>
      <c r="N57" s="235"/>
      <c r="O57" s="235"/>
      <c r="P57" s="237"/>
      <c r="Q57" s="414"/>
      <c r="R57" s="416"/>
      <c r="S57" s="416"/>
      <c r="T57" s="417"/>
      <c r="U57" s="253"/>
      <c r="V57" s="254"/>
    </row>
    <row r="58" spans="1:22" s="4" customFormat="1" ht="39" customHeight="1">
      <c r="A58" s="907"/>
      <c r="B58" s="625"/>
      <c r="C58" s="628"/>
      <c r="D58" s="251" t="s">
        <v>200</v>
      </c>
      <c r="E58" s="722"/>
      <c r="F58" s="684"/>
      <c r="G58" s="672"/>
      <c r="H58" s="68"/>
      <c r="I58" s="155"/>
      <c r="J58" s="133"/>
      <c r="K58" s="133"/>
      <c r="L58" s="135"/>
      <c r="M58" s="155"/>
      <c r="N58" s="133"/>
      <c r="O58" s="133"/>
      <c r="P58" s="135"/>
      <c r="Q58" s="418"/>
      <c r="R58" s="420"/>
      <c r="S58" s="420"/>
      <c r="T58" s="421"/>
      <c r="U58" s="255"/>
      <c r="V58" s="256"/>
    </row>
    <row r="59" spans="1:22" s="4" customFormat="1" ht="15.75" customHeight="1" thickBot="1">
      <c r="A59" s="908"/>
      <c r="B59" s="626"/>
      <c r="C59" s="629"/>
      <c r="D59" s="270"/>
      <c r="E59" s="723"/>
      <c r="F59" s="685"/>
      <c r="G59" s="673"/>
      <c r="H59" s="461" t="s">
        <v>19</v>
      </c>
      <c r="I59" s="397">
        <f aca="true" t="shared" si="10" ref="I59:V59">SUM(I53:I58)</f>
        <v>758</v>
      </c>
      <c r="J59" s="398">
        <f t="shared" si="10"/>
        <v>758</v>
      </c>
      <c r="K59" s="398">
        <f t="shared" si="10"/>
        <v>0</v>
      </c>
      <c r="L59" s="399">
        <f t="shared" si="10"/>
        <v>0</v>
      </c>
      <c r="M59" s="397">
        <f t="shared" si="10"/>
        <v>1009.5</v>
      </c>
      <c r="N59" s="398">
        <f t="shared" si="10"/>
        <v>1009.5</v>
      </c>
      <c r="O59" s="398">
        <f t="shared" si="10"/>
        <v>0</v>
      </c>
      <c r="P59" s="399">
        <f t="shared" si="10"/>
        <v>0</v>
      </c>
      <c r="Q59" s="397">
        <f t="shared" si="10"/>
        <v>638.2</v>
      </c>
      <c r="R59" s="398">
        <f t="shared" si="10"/>
        <v>638.2</v>
      </c>
      <c r="S59" s="398">
        <f t="shared" si="10"/>
        <v>0</v>
      </c>
      <c r="T59" s="399">
        <f t="shared" si="10"/>
        <v>0</v>
      </c>
      <c r="U59" s="400">
        <f t="shared" si="10"/>
        <v>708</v>
      </c>
      <c r="V59" s="404">
        <f t="shared" si="10"/>
        <v>708</v>
      </c>
    </row>
    <row r="60" spans="1:22" ht="15.75" customHeight="1">
      <c r="A60" s="861" t="s">
        <v>7</v>
      </c>
      <c r="B60" s="862" t="s">
        <v>8</v>
      </c>
      <c r="C60" s="650" t="s">
        <v>8</v>
      </c>
      <c r="D60" s="694" t="s">
        <v>47</v>
      </c>
      <c r="E60" s="702" t="s">
        <v>21</v>
      </c>
      <c r="F60" s="719" t="s">
        <v>13</v>
      </c>
      <c r="G60" s="712" t="s">
        <v>60</v>
      </c>
      <c r="H60" s="25" t="s">
        <v>10</v>
      </c>
      <c r="I60" s="115">
        <f>J60+L60</f>
        <v>0</v>
      </c>
      <c r="J60" s="162"/>
      <c r="K60" s="170"/>
      <c r="L60" s="117"/>
      <c r="M60" s="115">
        <f>N60+P60</f>
        <v>0</v>
      </c>
      <c r="N60" s="166"/>
      <c r="O60" s="170"/>
      <c r="P60" s="117"/>
      <c r="Q60" s="407">
        <f>R60+T60</f>
        <v>0</v>
      </c>
      <c r="R60" s="469"/>
      <c r="S60" s="470"/>
      <c r="T60" s="456"/>
      <c r="U60" s="184"/>
      <c r="V60" s="185"/>
    </row>
    <row r="61" spans="1:22" ht="15.75" customHeight="1">
      <c r="A61" s="697"/>
      <c r="B61" s="700"/>
      <c r="C61" s="651"/>
      <c r="D61" s="695"/>
      <c r="E61" s="703"/>
      <c r="F61" s="717"/>
      <c r="G61" s="686"/>
      <c r="H61" s="26" t="s">
        <v>144</v>
      </c>
      <c r="I61" s="140">
        <f>J61+L61</f>
        <v>769.8</v>
      </c>
      <c r="J61" s="142"/>
      <c r="K61" s="171"/>
      <c r="L61" s="122">
        <v>769.8</v>
      </c>
      <c r="M61" s="140">
        <f>N61+P61</f>
        <v>1500</v>
      </c>
      <c r="N61" s="169"/>
      <c r="O61" s="171"/>
      <c r="P61" s="146">
        <v>1500</v>
      </c>
      <c r="Q61" s="422">
        <f>R61+T61</f>
        <v>1500</v>
      </c>
      <c r="R61" s="471"/>
      <c r="S61" s="472"/>
      <c r="T61" s="458">
        <v>1500</v>
      </c>
      <c r="U61" s="186"/>
      <c r="V61" s="187"/>
    </row>
    <row r="62" spans="1:22" ht="15.75" customHeight="1">
      <c r="A62" s="697"/>
      <c r="B62" s="700"/>
      <c r="C62" s="651"/>
      <c r="D62" s="695"/>
      <c r="E62" s="703"/>
      <c r="F62" s="717"/>
      <c r="G62" s="686"/>
      <c r="H62" s="27" t="s">
        <v>17</v>
      </c>
      <c r="I62" s="141">
        <f>J62+L62</f>
        <v>0</v>
      </c>
      <c r="J62" s="142"/>
      <c r="K62" s="171"/>
      <c r="L62" s="122"/>
      <c r="M62" s="141"/>
      <c r="N62" s="167"/>
      <c r="O62" s="121"/>
      <c r="P62" s="122"/>
      <c r="Q62" s="423">
        <f>R62+T62</f>
        <v>0</v>
      </c>
      <c r="R62" s="471"/>
      <c r="S62" s="472"/>
      <c r="T62" s="458"/>
      <c r="U62" s="186"/>
      <c r="V62" s="187"/>
    </row>
    <row r="63" spans="1:22" ht="15.75" customHeight="1" thickBot="1">
      <c r="A63" s="698"/>
      <c r="B63" s="863"/>
      <c r="C63" s="652"/>
      <c r="D63" s="696"/>
      <c r="E63" s="704"/>
      <c r="F63" s="720"/>
      <c r="G63" s="687"/>
      <c r="H63" s="462" t="s">
        <v>19</v>
      </c>
      <c r="I63" s="463">
        <f aca="true" t="shared" si="11" ref="I63:V63">SUM(I60:I62)</f>
        <v>769.8</v>
      </c>
      <c r="J63" s="464">
        <f t="shared" si="11"/>
        <v>0</v>
      </c>
      <c r="K63" s="465">
        <f t="shared" si="11"/>
        <v>0</v>
      </c>
      <c r="L63" s="466">
        <f t="shared" si="11"/>
        <v>769.8</v>
      </c>
      <c r="M63" s="463">
        <f t="shared" si="11"/>
        <v>1500</v>
      </c>
      <c r="N63" s="464">
        <f t="shared" si="11"/>
        <v>0</v>
      </c>
      <c r="O63" s="465">
        <f t="shared" si="11"/>
        <v>0</v>
      </c>
      <c r="P63" s="466">
        <f t="shared" si="11"/>
        <v>1500</v>
      </c>
      <c r="Q63" s="463">
        <f t="shared" si="11"/>
        <v>1500</v>
      </c>
      <c r="R63" s="464">
        <f t="shared" si="11"/>
        <v>0</v>
      </c>
      <c r="S63" s="465">
        <f t="shared" si="11"/>
        <v>0</v>
      </c>
      <c r="T63" s="466">
        <f t="shared" si="11"/>
        <v>1500</v>
      </c>
      <c r="U63" s="467">
        <f t="shared" si="11"/>
        <v>0</v>
      </c>
      <c r="V63" s="467">
        <f t="shared" si="11"/>
        <v>0</v>
      </c>
    </row>
    <row r="64" spans="1:22" ht="15.75" customHeight="1">
      <c r="A64" s="861" t="s">
        <v>7</v>
      </c>
      <c r="B64" s="862" t="s">
        <v>8</v>
      </c>
      <c r="C64" s="651" t="s">
        <v>9</v>
      </c>
      <c r="D64" s="674" t="s">
        <v>123</v>
      </c>
      <c r="E64" s="702"/>
      <c r="F64" s="717" t="s">
        <v>13</v>
      </c>
      <c r="G64" s="686" t="s">
        <v>60</v>
      </c>
      <c r="H64" s="29" t="s">
        <v>10</v>
      </c>
      <c r="I64" s="115">
        <f>J64+L64</f>
        <v>0</v>
      </c>
      <c r="J64" s="116"/>
      <c r="K64" s="116"/>
      <c r="L64" s="117"/>
      <c r="M64" s="115">
        <f>N64+P64</f>
        <v>0</v>
      </c>
      <c r="N64" s="116"/>
      <c r="O64" s="116"/>
      <c r="P64" s="117"/>
      <c r="Q64" s="407">
        <f>R64+T64</f>
        <v>0</v>
      </c>
      <c r="R64" s="432"/>
      <c r="S64" s="432"/>
      <c r="T64" s="456"/>
      <c r="U64" s="188"/>
      <c r="V64" s="119"/>
    </row>
    <row r="65" spans="1:22" ht="15.75" customHeight="1">
      <c r="A65" s="697"/>
      <c r="B65" s="700"/>
      <c r="C65" s="651"/>
      <c r="D65" s="674"/>
      <c r="E65" s="703"/>
      <c r="F65" s="717"/>
      <c r="G65" s="686"/>
      <c r="H65" s="82" t="s">
        <v>144</v>
      </c>
      <c r="I65" s="120">
        <f>J65+L65</f>
        <v>0</v>
      </c>
      <c r="J65" s="121"/>
      <c r="K65" s="121"/>
      <c r="L65" s="122"/>
      <c r="M65" s="120">
        <f>N65+P65</f>
        <v>100</v>
      </c>
      <c r="N65" s="121"/>
      <c r="O65" s="121"/>
      <c r="P65" s="122">
        <v>100</v>
      </c>
      <c r="Q65" s="410">
        <f>R65+T65</f>
        <v>0</v>
      </c>
      <c r="R65" s="457"/>
      <c r="S65" s="457"/>
      <c r="T65" s="458"/>
      <c r="U65" s="189"/>
      <c r="V65" s="151"/>
    </row>
    <row r="66" spans="1:22" ht="15.75" customHeight="1">
      <c r="A66" s="697"/>
      <c r="B66" s="700"/>
      <c r="C66" s="651"/>
      <c r="D66" s="674"/>
      <c r="E66" s="703"/>
      <c r="F66" s="717"/>
      <c r="G66" s="686"/>
      <c r="H66" s="32" t="s">
        <v>29</v>
      </c>
      <c r="I66" s="228">
        <f>J66+L66</f>
        <v>0</v>
      </c>
      <c r="J66" s="149"/>
      <c r="K66" s="149"/>
      <c r="L66" s="150"/>
      <c r="M66" s="228">
        <f>N66+P66</f>
        <v>0</v>
      </c>
      <c r="N66" s="149"/>
      <c r="O66" s="149"/>
      <c r="P66" s="150"/>
      <c r="Q66" s="429">
        <f>R66+T66</f>
        <v>0</v>
      </c>
      <c r="R66" s="411"/>
      <c r="S66" s="411"/>
      <c r="T66" s="459"/>
      <c r="U66" s="272"/>
      <c r="V66" s="152"/>
    </row>
    <row r="67" spans="1:22" ht="15.75" customHeight="1" thickBot="1">
      <c r="A67" s="698"/>
      <c r="B67" s="863"/>
      <c r="C67" s="652"/>
      <c r="D67" s="675"/>
      <c r="E67" s="704"/>
      <c r="F67" s="720"/>
      <c r="G67" s="687"/>
      <c r="H67" s="462" t="s">
        <v>19</v>
      </c>
      <c r="I67" s="468">
        <f>SUM(I64:I66)</f>
        <v>0</v>
      </c>
      <c r="J67" s="464">
        <f aca="true" t="shared" si="12" ref="J67:V67">SUM(J64:J66)</f>
        <v>0</v>
      </c>
      <c r="K67" s="464">
        <f t="shared" si="12"/>
        <v>0</v>
      </c>
      <c r="L67" s="444">
        <f t="shared" si="12"/>
        <v>0</v>
      </c>
      <c r="M67" s="468">
        <f t="shared" si="12"/>
        <v>100</v>
      </c>
      <c r="N67" s="464">
        <f t="shared" si="12"/>
        <v>0</v>
      </c>
      <c r="O67" s="464">
        <f t="shared" si="12"/>
        <v>0</v>
      </c>
      <c r="P67" s="444">
        <f t="shared" si="12"/>
        <v>100</v>
      </c>
      <c r="Q67" s="468">
        <f t="shared" si="12"/>
        <v>0</v>
      </c>
      <c r="R67" s="464">
        <f t="shared" si="12"/>
        <v>0</v>
      </c>
      <c r="S67" s="464">
        <f t="shared" si="12"/>
        <v>0</v>
      </c>
      <c r="T67" s="444">
        <f t="shared" si="12"/>
        <v>0</v>
      </c>
      <c r="U67" s="397">
        <f t="shared" si="12"/>
        <v>0</v>
      </c>
      <c r="V67" s="404">
        <f t="shared" si="12"/>
        <v>0</v>
      </c>
    </row>
    <row r="68" spans="1:22" ht="15.75" customHeight="1" thickBot="1">
      <c r="A68" s="20" t="s">
        <v>7</v>
      </c>
      <c r="B68" s="1" t="s">
        <v>8</v>
      </c>
      <c r="C68" s="17"/>
      <c r="D68" s="660" t="s">
        <v>18</v>
      </c>
      <c r="E68" s="660"/>
      <c r="F68" s="660"/>
      <c r="G68" s="660"/>
      <c r="H68" s="649"/>
      <c r="I68" s="153">
        <f>SUM(I59,I63,I67)</f>
        <v>1527.8</v>
      </c>
      <c r="J68" s="153">
        <f aca="true" t="shared" si="13" ref="J68:V68">SUM(J59,J63,J67)</f>
        <v>758</v>
      </c>
      <c r="K68" s="153">
        <f t="shared" si="13"/>
        <v>0</v>
      </c>
      <c r="L68" s="153">
        <f t="shared" si="13"/>
        <v>769.8</v>
      </c>
      <c r="M68" s="153">
        <f t="shared" si="13"/>
        <v>2609.5</v>
      </c>
      <c r="N68" s="153">
        <f t="shared" si="13"/>
        <v>1009.5</v>
      </c>
      <c r="O68" s="153">
        <f t="shared" si="13"/>
        <v>0</v>
      </c>
      <c r="P68" s="153">
        <f t="shared" si="13"/>
        <v>1600</v>
      </c>
      <c r="Q68" s="153">
        <f t="shared" si="13"/>
        <v>2138.2</v>
      </c>
      <c r="R68" s="153">
        <f t="shared" si="13"/>
        <v>638.2</v>
      </c>
      <c r="S68" s="153">
        <f t="shared" si="13"/>
        <v>0</v>
      </c>
      <c r="T68" s="153">
        <f t="shared" si="13"/>
        <v>1500</v>
      </c>
      <c r="U68" s="153">
        <f t="shared" si="13"/>
        <v>708</v>
      </c>
      <c r="V68" s="190">
        <f t="shared" si="13"/>
        <v>708</v>
      </c>
    </row>
    <row r="69" spans="1:22" ht="15.75" customHeight="1" thickBot="1">
      <c r="A69" s="23" t="s">
        <v>7</v>
      </c>
      <c r="B69" s="15" t="s">
        <v>9</v>
      </c>
      <c r="C69" s="688" t="s">
        <v>135</v>
      </c>
      <c r="D69" s="689"/>
      <c r="E69" s="689"/>
      <c r="F69" s="689"/>
      <c r="G69" s="689"/>
      <c r="H69" s="689"/>
      <c r="I69" s="689"/>
      <c r="J69" s="689"/>
      <c r="K69" s="689"/>
      <c r="L69" s="689"/>
      <c r="M69" s="689"/>
      <c r="N69" s="689"/>
      <c r="O69" s="689"/>
      <c r="P69" s="689"/>
      <c r="Q69" s="689"/>
      <c r="R69" s="689"/>
      <c r="S69" s="689"/>
      <c r="T69" s="689"/>
      <c r="U69" s="689"/>
      <c r="V69" s="690"/>
    </row>
    <row r="70" spans="1:22" ht="15.75" customHeight="1">
      <c r="A70" s="621" t="s">
        <v>7</v>
      </c>
      <c r="B70" s="624" t="s">
        <v>9</v>
      </c>
      <c r="C70" s="627" t="s">
        <v>7</v>
      </c>
      <c r="D70" s="634" t="s">
        <v>56</v>
      </c>
      <c r="E70" s="643"/>
      <c r="F70" s="636" t="s">
        <v>12</v>
      </c>
      <c r="G70" s="671" t="s">
        <v>116</v>
      </c>
      <c r="H70" s="29" t="s">
        <v>10</v>
      </c>
      <c r="I70" s="115">
        <f>J70+L70</f>
        <v>3081.4</v>
      </c>
      <c r="J70" s="125">
        <v>3081.4</v>
      </c>
      <c r="K70" s="125"/>
      <c r="L70" s="126"/>
      <c r="M70" s="115">
        <f>N70+P70</f>
        <v>3557.8</v>
      </c>
      <c r="N70" s="125">
        <v>3557.8</v>
      </c>
      <c r="O70" s="138"/>
      <c r="P70" s="138"/>
      <c r="Q70" s="407">
        <f>R70+T70</f>
        <v>2522.5</v>
      </c>
      <c r="R70" s="408">
        <f>2523.1-0.6</f>
        <v>2522.5</v>
      </c>
      <c r="S70" s="408"/>
      <c r="T70" s="409"/>
      <c r="U70" s="154">
        <v>3557.8</v>
      </c>
      <c r="V70" s="131">
        <v>3557.8</v>
      </c>
    </row>
    <row r="71" spans="1:22" ht="15.75" customHeight="1">
      <c r="A71" s="622"/>
      <c r="B71" s="625"/>
      <c r="C71" s="628"/>
      <c r="D71" s="632"/>
      <c r="E71" s="644"/>
      <c r="F71" s="637"/>
      <c r="G71" s="672"/>
      <c r="H71" s="68"/>
      <c r="I71" s="155">
        <f>J71+L71</f>
        <v>0</v>
      </c>
      <c r="J71" s="156"/>
      <c r="K71" s="156"/>
      <c r="L71" s="157"/>
      <c r="M71" s="155">
        <f>N71+P71</f>
        <v>0</v>
      </c>
      <c r="N71" s="156"/>
      <c r="O71" s="158"/>
      <c r="P71" s="158"/>
      <c r="Q71" s="418">
        <f>R71+T71</f>
        <v>0</v>
      </c>
      <c r="R71" s="412"/>
      <c r="S71" s="412"/>
      <c r="T71" s="413"/>
      <c r="U71" s="159"/>
      <c r="V71" s="152"/>
    </row>
    <row r="72" spans="1:22" ht="15.75" customHeight="1" thickBot="1">
      <c r="A72" s="623"/>
      <c r="B72" s="626"/>
      <c r="C72" s="629"/>
      <c r="D72" s="633"/>
      <c r="E72" s="645"/>
      <c r="F72" s="638"/>
      <c r="G72" s="673"/>
      <c r="H72" s="406" t="s">
        <v>19</v>
      </c>
      <c r="I72" s="397">
        <f aca="true" t="shared" si="14" ref="I72:V72">SUM(I70:I71)</f>
        <v>3081.4</v>
      </c>
      <c r="J72" s="398">
        <f t="shared" si="14"/>
        <v>3081.4</v>
      </c>
      <c r="K72" s="398">
        <f t="shared" si="14"/>
        <v>0</v>
      </c>
      <c r="L72" s="399">
        <f t="shared" si="14"/>
        <v>0</v>
      </c>
      <c r="M72" s="397">
        <f t="shared" si="14"/>
        <v>3557.8</v>
      </c>
      <c r="N72" s="398">
        <f t="shared" si="14"/>
        <v>3557.8</v>
      </c>
      <c r="O72" s="398">
        <f t="shared" si="14"/>
        <v>0</v>
      </c>
      <c r="P72" s="399">
        <f t="shared" si="14"/>
        <v>0</v>
      </c>
      <c r="Q72" s="397">
        <f t="shared" si="14"/>
        <v>2522.5</v>
      </c>
      <c r="R72" s="398">
        <f t="shared" si="14"/>
        <v>2522.5</v>
      </c>
      <c r="S72" s="398">
        <f t="shared" si="14"/>
        <v>0</v>
      </c>
      <c r="T72" s="399">
        <f t="shared" si="14"/>
        <v>0</v>
      </c>
      <c r="U72" s="400">
        <f t="shared" si="14"/>
        <v>3557.8</v>
      </c>
      <c r="V72" s="404">
        <f t="shared" si="14"/>
        <v>3557.8</v>
      </c>
    </row>
    <row r="73" spans="1:22" ht="15.75" customHeight="1">
      <c r="A73" s="621" t="s">
        <v>7</v>
      </c>
      <c r="B73" s="624" t="s">
        <v>9</v>
      </c>
      <c r="C73" s="627" t="s">
        <v>8</v>
      </c>
      <c r="D73" s="634" t="s">
        <v>80</v>
      </c>
      <c r="E73" s="867" t="s">
        <v>105</v>
      </c>
      <c r="F73" s="636" t="s">
        <v>13</v>
      </c>
      <c r="G73" s="671" t="s">
        <v>43</v>
      </c>
      <c r="H73" s="266" t="s">
        <v>10</v>
      </c>
      <c r="I73" s="267">
        <f>J73+L73</f>
        <v>0</v>
      </c>
      <c r="J73" s="125"/>
      <c r="K73" s="125"/>
      <c r="L73" s="126"/>
      <c r="M73" s="267">
        <f>N73+P73</f>
        <v>0</v>
      </c>
      <c r="N73" s="125"/>
      <c r="O73" s="125"/>
      <c r="P73" s="126"/>
      <c r="Q73" s="474">
        <f>R73+T73</f>
        <v>0</v>
      </c>
      <c r="R73" s="408"/>
      <c r="S73" s="408"/>
      <c r="T73" s="409"/>
      <c r="U73" s="212"/>
      <c r="V73" s="213"/>
    </row>
    <row r="74" spans="1:22" s="2" customFormat="1" ht="15.75" customHeight="1">
      <c r="A74" s="622"/>
      <c r="B74" s="625"/>
      <c r="C74" s="628"/>
      <c r="D74" s="632"/>
      <c r="E74" s="610"/>
      <c r="F74" s="637"/>
      <c r="G74" s="672"/>
      <c r="H74" s="261" t="s">
        <v>106</v>
      </c>
      <c r="I74" s="228">
        <f>J74+L74</f>
        <v>0</v>
      </c>
      <c r="J74" s="156"/>
      <c r="K74" s="156"/>
      <c r="L74" s="157"/>
      <c r="M74" s="228">
        <f>N74+P74</f>
        <v>222.9</v>
      </c>
      <c r="N74" s="271">
        <v>222.9</v>
      </c>
      <c r="O74" s="262"/>
      <c r="P74" s="263"/>
      <c r="Q74" s="429">
        <f>R74+T74</f>
        <v>222.9</v>
      </c>
      <c r="R74" s="412">
        <v>222.9</v>
      </c>
      <c r="S74" s="412"/>
      <c r="T74" s="413"/>
      <c r="U74" s="264">
        <v>255</v>
      </c>
      <c r="V74" s="265"/>
    </row>
    <row r="75" spans="1:22" s="2" customFormat="1" ht="15.75" customHeight="1" thickBot="1">
      <c r="A75" s="623"/>
      <c r="B75" s="626"/>
      <c r="C75" s="629"/>
      <c r="D75" s="633"/>
      <c r="E75" s="868"/>
      <c r="F75" s="638"/>
      <c r="G75" s="673"/>
      <c r="H75" s="473" t="s">
        <v>19</v>
      </c>
      <c r="I75" s="397">
        <f aca="true" t="shared" si="15" ref="I75:V75">SUM(I73:I74)</f>
        <v>0</v>
      </c>
      <c r="J75" s="398">
        <f t="shared" si="15"/>
        <v>0</v>
      </c>
      <c r="K75" s="398">
        <f t="shared" si="15"/>
        <v>0</v>
      </c>
      <c r="L75" s="399">
        <f t="shared" si="15"/>
        <v>0</v>
      </c>
      <c r="M75" s="397">
        <f t="shared" si="15"/>
        <v>222.9</v>
      </c>
      <c r="N75" s="398">
        <f t="shared" si="15"/>
        <v>222.9</v>
      </c>
      <c r="O75" s="398">
        <f t="shared" si="15"/>
        <v>0</v>
      </c>
      <c r="P75" s="399">
        <f t="shared" si="15"/>
        <v>0</v>
      </c>
      <c r="Q75" s="397">
        <f t="shared" si="15"/>
        <v>222.9</v>
      </c>
      <c r="R75" s="398">
        <f t="shared" si="15"/>
        <v>222.9</v>
      </c>
      <c r="S75" s="398">
        <f t="shared" si="15"/>
        <v>0</v>
      </c>
      <c r="T75" s="399">
        <f t="shared" si="15"/>
        <v>0</v>
      </c>
      <c r="U75" s="400">
        <f t="shared" si="15"/>
        <v>255</v>
      </c>
      <c r="V75" s="404">
        <f t="shared" si="15"/>
        <v>0</v>
      </c>
    </row>
    <row r="76" spans="1:22" ht="15.75" customHeight="1">
      <c r="A76" s="792" t="s">
        <v>7</v>
      </c>
      <c r="B76" s="699" t="s">
        <v>9</v>
      </c>
      <c r="C76" s="760" t="s">
        <v>9</v>
      </c>
      <c r="D76" s="612" t="s">
        <v>61</v>
      </c>
      <c r="E76" s="679"/>
      <c r="F76" s="719" t="s">
        <v>15</v>
      </c>
      <c r="G76" s="712" t="s">
        <v>116</v>
      </c>
      <c r="H76" s="29" t="s">
        <v>10</v>
      </c>
      <c r="I76" s="115">
        <f>J76+L76</f>
        <v>35</v>
      </c>
      <c r="J76" s="116">
        <v>35</v>
      </c>
      <c r="K76" s="116"/>
      <c r="L76" s="117"/>
      <c r="M76" s="115">
        <f>N76+P76</f>
        <v>62</v>
      </c>
      <c r="N76" s="160">
        <v>62</v>
      </c>
      <c r="O76" s="161"/>
      <c r="P76" s="165"/>
      <c r="Q76" s="407">
        <f>R76+T76</f>
        <v>31.700000000000003</v>
      </c>
      <c r="R76" s="432">
        <f>31.1+0.6</f>
        <v>31.700000000000003</v>
      </c>
      <c r="S76" s="432"/>
      <c r="T76" s="456"/>
      <c r="U76" s="164">
        <v>62</v>
      </c>
      <c r="V76" s="152">
        <v>62</v>
      </c>
    </row>
    <row r="77" spans="1:22" ht="15.75" customHeight="1">
      <c r="A77" s="697"/>
      <c r="B77" s="700"/>
      <c r="C77" s="761"/>
      <c r="D77" s="613"/>
      <c r="E77" s="680"/>
      <c r="F77" s="717"/>
      <c r="G77" s="686"/>
      <c r="H77" s="31"/>
      <c r="I77" s="120">
        <f>J77+L77</f>
        <v>0</v>
      </c>
      <c r="J77" s="121"/>
      <c r="K77" s="121"/>
      <c r="L77" s="122"/>
      <c r="M77" s="120">
        <f>N77+P77</f>
        <v>0</v>
      </c>
      <c r="N77" s="121"/>
      <c r="O77" s="167"/>
      <c r="P77" s="168"/>
      <c r="Q77" s="410">
        <f>R77+T77</f>
        <v>0</v>
      </c>
      <c r="R77" s="457"/>
      <c r="S77" s="457"/>
      <c r="T77" s="458"/>
      <c r="U77" s="142"/>
      <c r="V77" s="151"/>
    </row>
    <row r="78" spans="1:22" ht="15.75" customHeight="1" thickBot="1">
      <c r="A78" s="782"/>
      <c r="B78" s="701"/>
      <c r="C78" s="762"/>
      <c r="D78" s="614"/>
      <c r="E78" s="681"/>
      <c r="F78" s="720"/>
      <c r="G78" s="687"/>
      <c r="H78" s="402" t="s">
        <v>19</v>
      </c>
      <c r="I78" s="397">
        <f aca="true" t="shared" si="16" ref="I78:V78">SUM(I76:I77)</f>
        <v>35</v>
      </c>
      <c r="J78" s="398">
        <f t="shared" si="16"/>
        <v>35</v>
      </c>
      <c r="K78" s="398">
        <f t="shared" si="16"/>
        <v>0</v>
      </c>
      <c r="L78" s="399">
        <f t="shared" si="16"/>
        <v>0</v>
      </c>
      <c r="M78" s="397">
        <f t="shared" si="16"/>
        <v>62</v>
      </c>
      <c r="N78" s="398">
        <f t="shared" si="16"/>
        <v>62</v>
      </c>
      <c r="O78" s="398">
        <f t="shared" si="16"/>
        <v>0</v>
      </c>
      <c r="P78" s="399">
        <f t="shared" si="16"/>
        <v>0</v>
      </c>
      <c r="Q78" s="397">
        <f t="shared" si="16"/>
        <v>31.700000000000003</v>
      </c>
      <c r="R78" s="398">
        <f t="shared" si="16"/>
        <v>31.700000000000003</v>
      </c>
      <c r="S78" s="398">
        <f t="shared" si="16"/>
        <v>0</v>
      </c>
      <c r="T78" s="399">
        <f t="shared" si="16"/>
        <v>0</v>
      </c>
      <c r="U78" s="400">
        <f t="shared" si="16"/>
        <v>62</v>
      </c>
      <c r="V78" s="404">
        <f t="shared" si="16"/>
        <v>62</v>
      </c>
    </row>
    <row r="79" spans="1:22" s="2" customFormat="1" ht="15.75" customHeight="1" thickBot="1">
      <c r="A79" s="18" t="s">
        <v>7</v>
      </c>
      <c r="B79" s="64" t="s">
        <v>9</v>
      </c>
      <c r="C79" s="893" t="s">
        <v>18</v>
      </c>
      <c r="D79" s="894"/>
      <c r="E79" s="894"/>
      <c r="F79" s="894"/>
      <c r="G79" s="894"/>
      <c r="H79" s="894"/>
      <c r="I79" s="180">
        <f>SUM(I72,I75,I78)</f>
        <v>3116.4</v>
      </c>
      <c r="J79" s="180">
        <f aca="true" t="shared" si="17" ref="J79:V79">SUM(J72,J75,J78)</f>
        <v>3116.4</v>
      </c>
      <c r="K79" s="180">
        <f t="shared" si="17"/>
        <v>0</v>
      </c>
      <c r="L79" s="180">
        <f t="shared" si="17"/>
        <v>0</v>
      </c>
      <c r="M79" s="180">
        <f t="shared" si="17"/>
        <v>3842.7000000000003</v>
      </c>
      <c r="N79" s="180">
        <f t="shared" si="17"/>
        <v>3842.7000000000003</v>
      </c>
      <c r="O79" s="180">
        <f t="shared" si="17"/>
        <v>0</v>
      </c>
      <c r="P79" s="180">
        <f t="shared" si="17"/>
        <v>0</v>
      </c>
      <c r="Q79" s="180">
        <f t="shared" si="17"/>
        <v>2777.1</v>
      </c>
      <c r="R79" s="180">
        <f t="shared" si="17"/>
        <v>2777.1</v>
      </c>
      <c r="S79" s="180">
        <f t="shared" si="17"/>
        <v>0</v>
      </c>
      <c r="T79" s="180">
        <f t="shared" si="17"/>
        <v>0</v>
      </c>
      <c r="U79" s="180">
        <f t="shared" si="17"/>
        <v>3874.8</v>
      </c>
      <c r="V79" s="180">
        <f t="shared" si="17"/>
        <v>3619.8</v>
      </c>
    </row>
    <row r="80" spans="1:22" ht="15.75" customHeight="1" thickBot="1">
      <c r="A80" s="20" t="s">
        <v>7</v>
      </c>
      <c r="B80" s="1" t="s">
        <v>11</v>
      </c>
      <c r="C80" s="763" t="s">
        <v>99</v>
      </c>
      <c r="D80" s="764"/>
      <c r="E80" s="764"/>
      <c r="F80" s="764"/>
      <c r="G80" s="764"/>
      <c r="H80" s="764"/>
      <c r="I80" s="764"/>
      <c r="J80" s="764"/>
      <c r="K80" s="764"/>
      <c r="L80" s="764"/>
      <c r="M80" s="764"/>
      <c r="N80" s="764"/>
      <c r="O80" s="764"/>
      <c r="P80" s="764"/>
      <c r="Q80" s="764"/>
      <c r="R80" s="764"/>
      <c r="S80" s="764"/>
      <c r="T80" s="764"/>
      <c r="U80" s="764"/>
      <c r="V80" s="765"/>
    </row>
    <row r="81" spans="1:22" ht="15.75" customHeight="1">
      <c r="A81" s="621" t="s">
        <v>7</v>
      </c>
      <c r="B81" s="624" t="s">
        <v>11</v>
      </c>
      <c r="C81" s="627" t="s">
        <v>7</v>
      </c>
      <c r="D81" s="634" t="s">
        <v>25</v>
      </c>
      <c r="E81" s="643"/>
      <c r="F81" s="636" t="s">
        <v>12</v>
      </c>
      <c r="G81" s="639" t="s">
        <v>116</v>
      </c>
      <c r="H81" s="25" t="s">
        <v>10</v>
      </c>
      <c r="I81" s="115">
        <f>J81+L81</f>
        <v>273.9</v>
      </c>
      <c r="J81" s="125">
        <v>273.9</v>
      </c>
      <c r="K81" s="125"/>
      <c r="L81" s="126"/>
      <c r="M81" s="115">
        <f>N81+P81</f>
        <v>265.7</v>
      </c>
      <c r="N81" s="125">
        <v>229.4</v>
      </c>
      <c r="O81" s="125"/>
      <c r="P81" s="126">
        <v>36.3</v>
      </c>
      <c r="Q81" s="407">
        <f>R81+T81</f>
        <v>265.7</v>
      </c>
      <c r="R81" s="408">
        <f>19.2+246.5-36.3</f>
        <v>229.39999999999998</v>
      </c>
      <c r="S81" s="408"/>
      <c r="T81" s="409">
        <v>36.3</v>
      </c>
      <c r="U81" s="191">
        <v>242</v>
      </c>
      <c r="V81" s="131">
        <v>242</v>
      </c>
    </row>
    <row r="82" spans="1:22" ht="15.75" customHeight="1">
      <c r="A82" s="622"/>
      <c r="B82" s="625"/>
      <c r="C82" s="628"/>
      <c r="D82" s="632"/>
      <c r="E82" s="644"/>
      <c r="F82" s="637"/>
      <c r="G82" s="640"/>
      <c r="H82" s="33"/>
      <c r="I82" s="120">
        <f>J82+L82</f>
        <v>0</v>
      </c>
      <c r="J82" s="145"/>
      <c r="K82" s="145"/>
      <c r="L82" s="146"/>
      <c r="M82" s="120">
        <f>N82+P82</f>
        <v>0</v>
      </c>
      <c r="N82" s="145"/>
      <c r="O82" s="145"/>
      <c r="P82" s="146"/>
      <c r="Q82" s="410">
        <f>R82+T82</f>
        <v>0</v>
      </c>
      <c r="R82" s="433"/>
      <c r="S82" s="433"/>
      <c r="T82" s="434"/>
      <c r="U82" s="192"/>
      <c r="V82" s="179"/>
    </row>
    <row r="83" spans="1:22" ht="15.75" customHeight="1" thickBot="1">
      <c r="A83" s="623"/>
      <c r="B83" s="626"/>
      <c r="C83" s="629"/>
      <c r="D83" s="633"/>
      <c r="E83" s="645"/>
      <c r="F83" s="638"/>
      <c r="G83" s="635"/>
      <c r="H83" s="401" t="s">
        <v>19</v>
      </c>
      <c r="I83" s="397">
        <f aca="true" t="shared" si="18" ref="I83:V83">SUM(I81:I82)</f>
        <v>273.9</v>
      </c>
      <c r="J83" s="398">
        <f t="shared" si="18"/>
        <v>273.9</v>
      </c>
      <c r="K83" s="398">
        <f t="shared" si="18"/>
        <v>0</v>
      </c>
      <c r="L83" s="399">
        <f t="shared" si="18"/>
        <v>0</v>
      </c>
      <c r="M83" s="397">
        <f t="shared" si="18"/>
        <v>265.7</v>
      </c>
      <c r="N83" s="398">
        <f t="shared" si="18"/>
        <v>229.4</v>
      </c>
      <c r="O83" s="398">
        <f t="shared" si="18"/>
        <v>0</v>
      </c>
      <c r="P83" s="399">
        <f t="shared" si="18"/>
        <v>36.3</v>
      </c>
      <c r="Q83" s="397">
        <f t="shared" si="18"/>
        <v>265.7</v>
      </c>
      <c r="R83" s="398">
        <f t="shared" si="18"/>
        <v>229.39999999999998</v>
      </c>
      <c r="S83" s="398">
        <f t="shared" si="18"/>
        <v>0</v>
      </c>
      <c r="T83" s="399">
        <f t="shared" si="18"/>
        <v>36.3</v>
      </c>
      <c r="U83" s="400">
        <f t="shared" si="18"/>
        <v>242</v>
      </c>
      <c r="V83" s="404">
        <f t="shared" si="18"/>
        <v>242</v>
      </c>
    </row>
    <row r="84" spans="1:22" ht="15.75" customHeight="1">
      <c r="A84" s="621" t="s">
        <v>7</v>
      </c>
      <c r="B84" s="624" t="s">
        <v>11</v>
      </c>
      <c r="C84" s="627" t="s">
        <v>8</v>
      </c>
      <c r="D84" s="864" t="s">
        <v>136</v>
      </c>
      <c r="E84" s="705" t="s">
        <v>21</v>
      </c>
      <c r="F84" s="911" t="s">
        <v>12</v>
      </c>
      <c r="G84" s="656" t="s">
        <v>60</v>
      </c>
      <c r="H84" s="28" t="s">
        <v>10</v>
      </c>
      <c r="I84" s="115">
        <f>J84+L84</f>
        <v>0</v>
      </c>
      <c r="J84" s="193"/>
      <c r="K84" s="193"/>
      <c r="L84" s="194"/>
      <c r="M84" s="115">
        <f>N84+P84</f>
        <v>0</v>
      </c>
      <c r="N84" s="125"/>
      <c r="O84" s="128"/>
      <c r="P84" s="138"/>
      <c r="Q84" s="407">
        <f>R84+T84</f>
        <v>0</v>
      </c>
      <c r="R84" s="482"/>
      <c r="S84" s="482"/>
      <c r="T84" s="483"/>
      <c r="U84" s="119"/>
      <c r="V84" s="195"/>
    </row>
    <row r="85" spans="1:22" ht="15.75" customHeight="1">
      <c r="A85" s="622"/>
      <c r="B85" s="625"/>
      <c r="C85" s="628"/>
      <c r="D85" s="865"/>
      <c r="E85" s="706"/>
      <c r="F85" s="677"/>
      <c r="G85" s="657"/>
      <c r="H85" s="41" t="s">
        <v>144</v>
      </c>
      <c r="I85" s="120">
        <f>J85+L85</f>
        <v>0</v>
      </c>
      <c r="J85" s="121"/>
      <c r="K85" s="121"/>
      <c r="L85" s="122"/>
      <c r="M85" s="120">
        <f>N85+P85</f>
        <v>0</v>
      </c>
      <c r="N85" s="145"/>
      <c r="O85" s="147"/>
      <c r="P85" s="148"/>
      <c r="Q85" s="410">
        <f>R85+T85</f>
        <v>0</v>
      </c>
      <c r="R85" s="457"/>
      <c r="S85" s="457"/>
      <c r="T85" s="458"/>
      <c r="U85" s="151"/>
      <c r="V85" s="151"/>
    </row>
    <row r="86" spans="1:22" ht="15.75" customHeight="1">
      <c r="A86" s="622"/>
      <c r="B86" s="625"/>
      <c r="C86" s="628"/>
      <c r="D86" s="865"/>
      <c r="E86" s="706"/>
      <c r="F86" s="677"/>
      <c r="G86" s="657"/>
      <c r="H86" s="41" t="s">
        <v>53</v>
      </c>
      <c r="I86" s="140">
        <f>J86+L86</f>
        <v>4392.1</v>
      </c>
      <c r="J86" s="121"/>
      <c r="K86" s="121"/>
      <c r="L86" s="122">
        <v>4392.1</v>
      </c>
      <c r="M86" s="140">
        <f>N86+P86</f>
        <v>1200</v>
      </c>
      <c r="N86" s="145"/>
      <c r="O86" s="147"/>
      <c r="P86" s="148">
        <v>1200</v>
      </c>
      <c r="Q86" s="538">
        <f>R86+T86</f>
        <v>1000</v>
      </c>
      <c r="R86" s="457"/>
      <c r="S86" s="457"/>
      <c r="T86" s="537">
        <f>1200-200</f>
        <v>1000</v>
      </c>
      <c r="U86" s="151"/>
      <c r="V86" s="151"/>
    </row>
    <row r="87" spans="1:22" ht="15.75" customHeight="1" thickBot="1">
      <c r="A87" s="623"/>
      <c r="B87" s="626"/>
      <c r="C87" s="629"/>
      <c r="D87" s="866"/>
      <c r="E87" s="707"/>
      <c r="F87" s="912"/>
      <c r="G87" s="658"/>
      <c r="H87" s="475" t="s">
        <v>19</v>
      </c>
      <c r="I87" s="397">
        <f aca="true" t="shared" si="19" ref="I87:V87">SUM(I84:I86)</f>
        <v>4392.1</v>
      </c>
      <c r="J87" s="398">
        <f t="shared" si="19"/>
        <v>0</v>
      </c>
      <c r="K87" s="398">
        <f t="shared" si="19"/>
        <v>0</v>
      </c>
      <c r="L87" s="399">
        <f t="shared" si="19"/>
        <v>4392.1</v>
      </c>
      <c r="M87" s="397">
        <f t="shared" si="19"/>
        <v>1200</v>
      </c>
      <c r="N87" s="398">
        <f t="shared" si="19"/>
        <v>0</v>
      </c>
      <c r="O87" s="398">
        <f t="shared" si="19"/>
        <v>0</v>
      </c>
      <c r="P87" s="399">
        <f t="shared" si="19"/>
        <v>1200</v>
      </c>
      <c r="Q87" s="397">
        <f t="shared" si="19"/>
        <v>1000</v>
      </c>
      <c r="R87" s="398">
        <f t="shared" si="19"/>
        <v>0</v>
      </c>
      <c r="S87" s="398">
        <f t="shared" si="19"/>
        <v>0</v>
      </c>
      <c r="T87" s="399">
        <f t="shared" si="19"/>
        <v>1000</v>
      </c>
      <c r="U87" s="400">
        <f t="shared" si="19"/>
        <v>0</v>
      </c>
      <c r="V87" s="404">
        <f t="shared" si="19"/>
        <v>0</v>
      </c>
    </row>
    <row r="88" spans="1:22" s="4" customFormat="1" ht="15.75" customHeight="1">
      <c r="A88" s="697" t="s">
        <v>7</v>
      </c>
      <c r="B88" s="895" t="s">
        <v>11</v>
      </c>
      <c r="C88" s="813" t="s">
        <v>9</v>
      </c>
      <c r="D88" s="648" t="s">
        <v>203</v>
      </c>
      <c r="E88" s="784" t="s">
        <v>21</v>
      </c>
      <c r="F88" s="904"/>
      <c r="G88" s="657" t="s">
        <v>60</v>
      </c>
      <c r="H88" s="65" t="s">
        <v>10</v>
      </c>
      <c r="I88" s="120">
        <f>J88+L88</f>
        <v>0</v>
      </c>
      <c r="J88" s="145"/>
      <c r="K88" s="145"/>
      <c r="L88" s="148"/>
      <c r="M88" s="120">
        <f>N88+P88</f>
        <v>0</v>
      </c>
      <c r="N88" s="121"/>
      <c r="O88" s="121"/>
      <c r="P88" s="171"/>
      <c r="Q88" s="484">
        <f>R88+T88</f>
        <v>0</v>
      </c>
      <c r="R88" s="433"/>
      <c r="S88" s="433"/>
      <c r="T88" s="485"/>
      <c r="U88" s="192"/>
      <c r="V88" s="192"/>
    </row>
    <row r="89" spans="1:22" s="4" customFormat="1" ht="15.75" customHeight="1">
      <c r="A89" s="697"/>
      <c r="B89" s="895"/>
      <c r="C89" s="813"/>
      <c r="D89" s="641"/>
      <c r="E89" s="785"/>
      <c r="F89" s="904"/>
      <c r="G89" s="657"/>
      <c r="H89" s="112" t="s">
        <v>144</v>
      </c>
      <c r="I89" s="228">
        <f>J89+L89</f>
        <v>1489.5</v>
      </c>
      <c r="J89" s="156"/>
      <c r="K89" s="156"/>
      <c r="L89" s="158">
        <v>1489.5</v>
      </c>
      <c r="M89" s="228">
        <f>N89+P89</f>
        <v>0</v>
      </c>
      <c r="N89" s="149"/>
      <c r="O89" s="149"/>
      <c r="P89" s="172"/>
      <c r="Q89" s="486">
        <f>T89</f>
        <v>0</v>
      </c>
      <c r="R89" s="412"/>
      <c r="S89" s="412"/>
      <c r="T89" s="487"/>
      <c r="U89" s="196"/>
      <c r="V89" s="196"/>
    </row>
    <row r="90" spans="1:22" s="4" customFormat="1" ht="18.75" customHeight="1">
      <c r="A90" s="697"/>
      <c r="B90" s="895"/>
      <c r="C90" s="813"/>
      <c r="D90" s="641"/>
      <c r="E90" s="523"/>
      <c r="F90" s="904"/>
      <c r="G90" s="657"/>
      <c r="H90" s="65" t="s">
        <v>46</v>
      </c>
      <c r="I90" s="197">
        <f>J90+L90</f>
        <v>1556.2</v>
      </c>
      <c r="J90" s="145"/>
      <c r="K90" s="145"/>
      <c r="L90" s="171">
        <v>1556.2</v>
      </c>
      <c r="M90" s="140">
        <f>N90+P90</f>
        <v>1074.7</v>
      </c>
      <c r="N90" s="121"/>
      <c r="O90" s="121"/>
      <c r="P90" s="171">
        <v>1074.7</v>
      </c>
      <c r="Q90" s="484">
        <f>R90+T90</f>
        <v>1074.7</v>
      </c>
      <c r="R90" s="433"/>
      <c r="S90" s="433"/>
      <c r="T90" s="472">
        <v>1074.7</v>
      </c>
      <c r="U90" s="192">
        <v>571.5</v>
      </c>
      <c r="V90" s="192">
        <v>1</v>
      </c>
    </row>
    <row r="91" spans="1:22" s="4" customFormat="1" ht="15.75" customHeight="1">
      <c r="A91" s="697"/>
      <c r="B91" s="895"/>
      <c r="C91" s="813"/>
      <c r="D91" s="641"/>
      <c r="E91" s="609" t="s">
        <v>104</v>
      </c>
      <c r="F91" s="904"/>
      <c r="G91" s="657"/>
      <c r="H91" s="66" t="s">
        <v>48</v>
      </c>
      <c r="I91" s="198">
        <f>J91+L91</f>
        <v>13228.1</v>
      </c>
      <c r="J91" s="173"/>
      <c r="K91" s="173"/>
      <c r="L91" s="199">
        <v>13228.1</v>
      </c>
      <c r="M91" s="200">
        <f>N91+P91</f>
        <v>9135.2</v>
      </c>
      <c r="N91" s="201"/>
      <c r="O91" s="202"/>
      <c r="P91" s="199">
        <v>9135.2</v>
      </c>
      <c r="Q91" s="488">
        <f>R91+T91</f>
        <v>9135.2</v>
      </c>
      <c r="R91" s="489"/>
      <c r="S91" s="489"/>
      <c r="T91" s="490">
        <v>9135.2</v>
      </c>
      <c r="U91" s="203">
        <v>4857.5</v>
      </c>
      <c r="V91" s="203">
        <v>8.2</v>
      </c>
    </row>
    <row r="92" spans="1:22" s="4" customFormat="1" ht="15.75" customHeight="1">
      <c r="A92" s="697"/>
      <c r="B92" s="895"/>
      <c r="C92" s="813"/>
      <c r="D92" s="641"/>
      <c r="E92" s="610"/>
      <c r="F92" s="904"/>
      <c r="G92" s="657"/>
      <c r="H92" s="66" t="s">
        <v>29</v>
      </c>
      <c r="I92" s="198">
        <f>J92+L92</f>
        <v>0</v>
      </c>
      <c r="J92" s="173"/>
      <c r="K92" s="173"/>
      <c r="L92" s="199"/>
      <c r="M92" s="200">
        <f>N92+P92</f>
        <v>1325.5</v>
      </c>
      <c r="N92" s="201"/>
      <c r="O92" s="202"/>
      <c r="P92" s="199">
        <v>1325.5</v>
      </c>
      <c r="Q92" s="488">
        <f>R92+T92</f>
        <v>1325.5</v>
      </c>
      <c r="R92" s="489"/>
      <c r="S92" s="489"/>
      <c r="T92" s="490">
        <v>1325.5</v>
      </c>
      <c r="U92" s="203">
        <v>619.4</v>
      </c>
      <c r="V92" s="203">
        <v>1</v>
      </c>
    </row>
    <row r="93" spans="1:22" s="4" customFormat="1" ht="15.75" customHeight="1" thickBot="1">
      <c r="A93" s="698"/>
      <c r="B93" s="896"/>
      <c r="C93" s="814"/>
      <c r="D93" s="642"/>
      <c r="E93" s="611"/>
      <c r="F93" s="905"/>
      <c r="G93" s="708"/>
      <c r="H93" s="406" t="s">
        <v>19</v>
      </c>
      <c r="I93" s="476">
        <f aca="true" t="shared" si="20" ref="I93:V93">SUM(I88:I92)</f>
        <v>16273.8</v>
      </c>
      <c r="J93" s="477">
        <f t="shared" si="20"/>
        <v>0</v>
      </c>
      <c r="K93" s="477">
        <f t="shared" si="20"/>
        <v>0</v>
      </c>
      <c r="L93" s="478">
        <f t="shared" si="20"/>
        <v>16273.8</v>
      </c>
      <c r="M93" s="476">
        <f t="shared" si="20"/>
        <v>11535.400000000001</v>
      </c>
      <c r="N93" s="477">
        <f t="shared" si="20"/>
        <v>0</v>
      </c>
      <c r="O93" s="477">
        <f t="shared" si="20"/>
        <v>0</v>
      </c>
      <c r="P93" s="478">
        <f t="shared" si="20"/>
        <v>11535.400000000001</v>
      </c>
      <c r="Q93" s="476">
        <f t="shared" si="20"/>
        <v>11535.400000000001</v>
      </c>
      <c r="R93" s="477">
        <f t="shared" si="20"/>
        <v>0</v>
      </c>
      <c r="S93" s="477">
        <f t="shared" si="20"/>
        <v>0</v>
      </c>
      <c r="T93" s="478">
        <f t="shared" si="20"/>
        <v>11535.400000000001</v>
      </c>
      <c r="U93" s="479">
        <f t="shared" si="20"/>
        <v>6048.4</v>
      </c>
      <c r="V93" s="479">
        <f t="shared" si="20"/>
        <v>10.2</v>
      </c>
    </row>
    <row r="94" spans="1:22" ht="15.75" customHeight="1">
      <c r="A94" s="697" t="s">
        <v>7</v>
      </c>
      <c r="B94" s="700" t="s">
        <v>11</v>
      </c>
      <c r="C94" s="651" t="s">
        <v>11</v>
      </c>
      <c r="D94" s="674" t="s">
        <v>201</v>
      </c>
      <c r="E94" s="630" t="s">
        <v>21</v>
      </c>
      <c r="F94" s="903" t="s">
        <v>12</v>
      </c>
      <c r="G94" s="657" t="s">
        <v>60</v>
      </c>
      <c r="H94" s="32" t="s">
        <v>10</v>
      </c>
      <c r="I94" s="115">
        <f>J94+L94</f>
        <v>0</v>
      </c>
      <c r="J94" s="149"/>
      <c r="K94" s="149"/>
      <c r="L94" s="150"/>
      <c r="M94" s="115">
        <f>N94+P94</f>
        <v>0</v>
      </c>
      <c r="N94" s="149"/>
      <c r="O94" s="163"/>
      <c r="P94" s="172"/>
      <c r="Q94" s="407">
        <f>R94+T94</f>
        <v>0</v>
      </c>
      <c r="R94" s="411"/>
      <c r="S94" s="491"/>
      <c r="T94" s="459"/>
      <c r="U94" s="152"/>
      <c r="V94" s="119"/>
    </row>
    <row r="95" spans="1:22" ht="15.75" customHeight="1">
      <c r="A95" s="697"/>
      <c r="B95" s="700"/>
      <c r="C95" s="651"/>
      <c r="D95" s="674"/>
      <c r="E95" s="630"/>
      <c r="F95" s="677"/>
      <c r="G95" s="657"/>
      <c r="H95" s="82" t="s">
        <v>144</v>
      </c>
      <c r="I95" s="120">
        <f>J95+L95</f>
        <v>0</v>
      </c>
      <c r="J95" s="121"/>
      <c r="K95" s="142"/>
      <c r="L95" s="122"/>
      <c r="M95" s="120">
        <f>N95+P95</f>
        <v>0</v>
      </c>
      <c r="N95" s="171"/>
      <c r="O95" s="167"/>
      <c r="P95" s="171"/>
      <c r="Q95" s="410">
        <f>R95+T95</f>
        <v>0</v>
      </c>
      <c r="R95" s="457"/>
      <c r="S95" s="471"/>
      <c r="T95" s="458"/>
      <c r="U95" s="151">
        <v>234.6</v>
      </c>
      <c r="V95" s="151">
        <v>286.7</v>
      </c>
    </row>
    <row r="96" spans="1:22" ht="15.75" customHeight="1">
      <c r="A96" s="697"/>
      <c r="B96" s="700"/>
      <c r="C96" s="651"/>
      <c r="D96" s="674"/>
      <c r="E96" s="630"/>
      <c r="F96" s="677"/>
      <c r="G96" s="657"/>
      <c r="H96" s="84" t="s">
        <v>48</v>
      </c>
      <c r="I96" s="120">
        <f>J96+L96</f>
        <v>0</v>
      </c>
      <c r="J96" s="121"/>
      <c r="K96" s="142"/>
      <c r="L96" s="122"/>
      <c r="M96" s="120">
        <f>N96+P96</f>
        <v>1173</v>
      </c>
      <c r="N96" s="171"/>
      <c r="O96" s="167"/>
      <c r="P96" s="171">
        <v>1173</v>
      </c>
      <c r="Q96" s="410">
        <f>R96+T96</f>
        <v>1173</v>
      </c>
      <c r="R96" s="457"/>
      <c r="S96" s="471"/>
      <c r="T96" s="458">
        <v>1173</v>
      </c>
      <c r="U96" s="151">
        <v>2111.6</v>
      </c>
      <c r="V96" s="151">
        <v>1407.8</v>
      </c>
    </row>
    <row r="97" spans="1:22" ht="15.75" customHeight="1" thickBot="1">
      <c r="A97" s="698"/>
      <c r="B97" s="863"/>
      <c r="C97" s="652"/>
      <c r="D97" s="675"/>
      <c r="E97" s="620"/>
      <c r="F97" s="678"/>
      <c r="G97" s="658"/>
      <c r="H97" s="403" t="s">
        <v>19</v>
      </c>
      <c r="I97" s="468">
        <f aca="true" t="shared" si="21" ref="I97:V97">SUM(I94:I96)</f>
        <v>0</v>
      </c>
      <c r="J97" s="464">
        <f t="shared" si="21"/>
        <v>0</v>
      </c>
      <c r="K97" s="464">
        <f t="shared" si="21"/>
        <v>0</v>
      </c>
      <c r="L97" s="444">
        <f t="shared" si="21"/>
        <v>0</v>
      </c>
      <c r="M97" s="468">
        <f t="shared" si="21"/>
        <v>1173</v>
      </c>
      <c r="N97" s="464">
        <f t="shared" si="21"/>
        <v>0</v>
      </c>
      <c r="O97" s="464">
        <f t="shared" si="21"/>
        <v>0</v>
      </c>
      <c r="P97" s="444">
        <f t="shared" si="21"/>
        <v>1173</v>
      </c>
      <c r="Q97" s="468">
        <f t="shared" si="21"/>
        <v>1173</v>
      </c>
      <c r="R97" s="464">
        <f t="shared" si="21"/>
        <v>0</v>
      </c>
      <c r="S97" s="464">
        <f t="shared" si="21"/>
        <v>0</v>
      </c>
      <c r="T97" s="444">
        <f t="shared" si="21"/>
        <v>1173</v>
      </c>
      <c r="U97" s="404">
        <f t="shared" si="21"/>
        <v>2346.2</v>
      </c>
      <c r="V97" s="404">
        <f t="shared" si="21"/>
        <v>1694.5</v>
      </c>
    </row>
    <row r="98" spans="1:22" ht="15.75" customHeight="1">
      <c r="A98" s="861" t="s">
        <v>7</v>
      </c>
      <c r="B98" s="862" t="s">
        <v>11</v>
      </c>
      <c r="C98" s="650" t="s">
        <v>12</v>
      </c>
      <c r="D98" s="682" t="s">
        <v>202</v>
      </c>
      <c r="E98" s="631" t="s">
        <v>21</v>
      </c>
      <c r="F98" s="676" t="s">
        <v>13</v>
      </c>
      <c r="G98" s="656" t="s">
        <v>60</v>
      </c>
      <c r="H98" s="29" t="s">
        <v>10</v>
      </c>
      <c r="I98" s="115">
        <f>J98+L98</f>
        <v>0</v>
      </c>
      <c r="J98" s="149"/>
      <c r="K98" s="149"/>
      <c r="L98" s="150"/>
      <c r="M98" s="115">
        <f>N98+P98</f>
        <v>0</v>
      </c>
      <c r="N98" s="116"/>
      <c r="O98" s="161"/>
      <c r="P98" s="170"/>
      <c r="Q98" s="407">
        <f>R98+T98</f>
        <v>0</v>
      </c>
      <c r="R98" s="432"/>
      <c r="S98" s="470"/>
      <c r="T98" s="456"/>
      <c r="U98" s="119"/>
      <c r="V98" s="119"/>
    </row>
    <row r="99" spans="1:22" ht="15.75" customHeight="1">
      <c r="A99" s="697"/>
      <c r="B99" s="700"/>
      <c r="C99" s="651"/>
      <c r="D99" s="674"/>
      <c r="E99" s="630"/>
      <c r="F99" s="677"/>
      <c r="G99" s="657"/>
      <c r="H99" s="82" t="s">
        <v>48</v>
      </c>
      <c r="I99" s="120">
        <f>J99+L99</f>
        <v>0</v>
      </c>
      <c r="J99" s="121"/>
      <c r="K99" s="142"/>
      <c r="L99" s="122"/>
      <c r="M99" s="120">
        <f>N99+P99</f>
        <v>1041.8</v>
      </c>
      <c r="N99" s="171"/>
      <c r="O99" s="167"/>
      <c r="P99" s="171">
        <v>1041.8</v>
      </c>
      <c r="Q99" s="410">
        <f>R99+T99</f>
        <v>1041.8</v>
      </c>
      <c r="R99" s="457"/>
      <c r="S99" s="471"/>
      <c r="T99" s="458">
        <v>1041.8</v>
      </c>
      <c r="U99" s="151">
        <v>980.8</v>
      </c>
      <c r="V99" s="151"/>
    </row>
    <row r="100" spans="1:22" ht="15.75" customHeight="1">
      <c r="A100" s="697"/>
      <c r="B100" s="700"/>
      <c r="C100" s="651"/>
      <c r="D100" s="674"/>
      <c r="E100" s="630"/>
      <c r="F100" s="677"/>
      <c r="G100" s="657"/>
      <c r="H100" s="82" t="s">
        <v>46</v>
      </c>
      <c r="I100" s="120">
        <f>J100+L100</f>
        <v>0</v>
      </c>
      <c r="J100" s="121"/>
      <c r="K100" s="142"/>
      <c r="L100" s="122"/>
      <c r="M100" s="120">
        <f>P100</f>
        <v>122.6</v>
      </c>
      <c r="N100" s="171"/>
      <c r="O100" s="167"/>
      <c r="P100" s="142">
        <v>122.6</v>
      </c>
      <c r="Q100" s="410">
        <f>R100+T100</f>
        <v>122.6</v>
      </c>
      <c r="R100" s="457"/>
      <c r="S100" s="471"/>
      <c r="T100" s="458">
        <v>122.6</v>
      </c>
      <c r="U100" s="151">
        <v>115.4</v>
      </c>
      <c r="V100" s="151"/>
    </row>
    <row r="101" spans="1:22" ht="15.75" customHeight="1">
      <c r="A101" s="697"/>
      <c r="B101" s="700"/>
      <c r="C101" s="651"/>
      <c r="D101" s="674"/>
      <c r="E101" s="630"/>
      <c r="F101" s="677"/>
      <c r="G101" s="657"/>
      <c r="H101" s="31" t="s">
        <v>29</v>
      </c>
      <c r="I101" s="120">
        <f>J101+L101</f>
        <v>0</v>
      </c>
      <c r="J101" s="205"/>
      <c r="K101" s="206"/>
      <c r="L101" s="207"/>
      <c r="M101" s="120">
        <f>P101</f>
        <v>67.6</v>
      </c>
      <c r="N101" s="208"/>
      <c r="O101" s="209"/>
      <c r="P101" s="206">
        <v>67.6</v>
      </c>
      <c r="Q101" s="410">
        <f>R101+T101</f>
        <v>67.6</v>
      </c>
      <c r="R101" s="492"/>
      <c r="S101" s="493"/>
      <c r="T101" s="494">
        <v>67.6</v>
      </c>
      <c r="U101" s="124">
        <v>63.7</v>
      </c>
      <c r="V101" s="124"/>
    </row>
    <row r="102" spans="1:22" ht="15.75" customHeight="1" thickBot="1">
      <c r="A102" s="698"/>
      <c r="B102" s="863"/>
      <c r="C102" s="652"/>
      <c r="D102" s="675"/>
      <c r="E102" s="620"/>
      <c r="F102" s="678"/>
      <c r="G102" s="658"/>
      <c r="H102" s="402" t="s">
        <v>19</v>
      </c>
      <c r="I102" s="468">
        <f>SUM(I98:I101)</f>
        <v>0</v>
      </c>
      <c r="J102" s="463">
        <f aca="true" t="shared" si="22" ref="J102:V102">SUM(J98:J101)</f>
        <v>0</v>
      </c>
      <c r="K102" s="463">
        <f t="shared" si="22"/>
        <v>0</v>
      </c>
      <c r="L102" s="480">
        <f t="shared" si="22"/>
        <v>0</v>
      </c>
      <c r="M102" s="468">
        <f t="shared" si="22"/>
        <v>1231.9999999999998</v>
      </c>
      <c r="N102" s="464">
        <f t="shared" si="22"/>
        <v>0</v>
      </c>
      <c r="O102" s="464">
        <f t="shared" si="22"/>
        <v>0</v>
      </c>
      <c r="P102" s="480">
        <f t="shared" si="22"/>
        <v>1231.9999999999998</v>
      </c>
      <c r="Q102" s="468">
        <f t="shared" si="22"/>
        <v>1231.9999999999998</v>
      </c>
      <c r="R102" s="464">
        <f t="shared" si="22"/>
        <v>0</v>
      </c>
      <c r="S102" s="464">
        <f t="shared" si="22"/>
        <v>0</v>
      </c>
      <c r="T102" s="480">
        <f t="shared" si="22"/>
        <v>1231.9999999999998</v>
      </c>
      <c r="U102" s="481">
        <f t="shared" si="22"/>
        <v>1159.9</v>
      </c>
      <c r="V102" s="481">
        <f t="shared" si="22"/>
        <v>0</v>
      </c>
    </row>
    <row r="103" spans="1:22" ht="15.75" customHeight="1">
      <c r="A103" s="621" t="s">
        <v>7</v>
      </c>
      <c r="B103" s="624" t="s">
        <v>11</v>
      </c>
      <c r="C103" s="627" t="s">
        <v>13</v>
      </c>
      <c r="D103" s="648" t="s">
        <v>257</v>
      </c>
      <c r="E103" s="643"/>
      <c r="F103" s="636" t="s">
        <v>12</v>
      </c>
      <c r="G103" s="639" t="s">
        <v>60</v>
      </c>
      <c r="H103" s="25" t="s">
        <v>10</v>
      </c>
      <c r="I103" s="115">
        <f>J103+L103</f>
        <v>0</v>
      </c>
      <c r="J103" s="125"/>
      <c r="K103" s="125"/>
      <c r="L103" s="126"/>
      <c r="M103" s="115">
        <f>N103+P103</f>
        <v>0</v>
      </c>
      <c r="N103" s="125"/>
      <c r="O103" s="125"/>
      <c r="P103" s="126"/>
      <c r="Q103" s="407">
        <f>R103+T103</f>
        <v>0</v>
      </c>
      <c r="R103" s="408"/>
      <c r="S103" s="408"/>
      <c r="T103" s="409"/>
      <c r="U103" s="191">
        <v>324.1</v>
      </c>
      <c r="V103" s="131"/>
    </row>
    <row r="104" spans="1:22" ht="15.75" customHeight="1">
      <c r="A104" s="622"/>
      <c r="B104" s="625"/>
      <c r="C104" s="628"/>
      <c r="D104" s="641"/>
      <c r="E104" s="644"/>
      <c r="F104" s="637"/>
      <c r="G104" s="640"/>
      <c r="H104" s="33" t="s">
        <v>29</v>
      </c>
      <c r="I104" s="120">
        <f>J104+L104</f>
        <v>0</v>
      </c>
      <c r="J104" s="145"/>
      <c r="K104" s="145"/>
      <c r="L104" s="146"/>
      <c r="M104" s="120">
        <f>N104+P104</f>
        <v>0</v>
      </c>
      <c r="N104" s="145"/>
      <c r="O104" s="145"/>
      <c r="P104" s="146"/>
      <c r="Q104" s="410">
        <f>R104+T104</f>
        <v>70</v>
      </c>
      <c r="R104" s="433"/>
      <c r="S104" s="433"/>
      <c r="T104" s="434">
        <v>70</v>
      </c>
      <c r="U104" s="192"/>
      <c r="V104" s="179"/>
    </row>
    <row r="105" spans="1:22" ht="15.75" customHeight="1" thickBot="1">
      <c r="A105" s="623"/>
      <c r="B105" s="626"/>
      <c r="C105" s="629"/>
      <c r="D105" s="642"/>
      <c r="E105" s="645"/>
      <c r="F105" s="638"/>
      <c r="G105" s="635"/>
      <c r="H105" s="401" t="s">
        <v>19</v>
      </c>
      <c r="I105" s="397">
        <f aca="true" t="shared" si="23" ref="I105:V105">SUM(I103:I104)</f>
        <v>0</v>
      </c>
      <c r="J105" s="398">
        <f t="shared" si="23"/>
        <v>0</v>
      </c>
      <c r="K105" s="398">
        <f t="shared" si="23"/>
        <v>0</v>
      </c>
      <c r="L105" s="399">
        <f t="shared" si="23"/>
        <v>0</v>
      </c>
      <c r="M105" s="397">
        <f t="shared" si="23"/>
        <v>0</v>
      </c>
      <c r="N105" s="398">
        <f t="shared" si="23"/>
        <v>0</v>
      </c>
      <c r="O105" s="398">
        <f t="shared" si="23"/>
        <v>0</v>
      </c>
      <c r="P105" s="399">
        <f t="shared" si="23"/>
        <v>0</v>
      </c>
      <c r="Q105" s="397">
        <f t="shared" si="23"/>
        <v>70</v>
      </c>
      <c r="R105" s="398">
        <f t="shared" si="23"/>
        <v>0</v>
      </c>
      <c r="S105" s="398">
        <f t="shared" si="23"/>
        <v>0</v>
      </c>
      <c r="T105" s="399">
        <f t="shared" si="23"/>
        <v>70</v>
      </c>
      <c r="U105" s="400">
        <f t="shared" si="23"/>
        <v>324.1</v>
      </c>
      <c r="V105" s="404">
        <f t="shared" si="23"/>
        <v>0</v>
      </c>
    </row>
    <row r="106" spans="1:22" ht="15.75" customHeight="1">
      <c r="A106" s="621" t="s">
        <v>7</v>
      </c>
      <c r="B106" s="624" t="s">
        <v>11</v>
      </c>
      <c r="C106" s="615" t="s">
        <v>14</v>
      </c>
      <c r="D106" s="618" t="s">
        <v>259</v>
      </c>
      <c r="E106" s="662" t="s">
        <v>258</v>
      </c>
      <c r="F106" s="636" t="s">
        <v>12</v>
      </c>
      <c r="G106" s="639" t="s">
        <v>60</v>
      </c>
      <c r="H106" s="25" t="s">
        <v>10</v>
      </c>
      <c r="I106" s="115">
        <f>J106+L106</f>
        <v>0</v>
      </c>
      <c r="J106" s="125"/>
      <c r="K106" s="125"/>
      <c r="L106" s="126"/>
      <c r="M106" s="115">
        <f>N106+P106</f>
        <v>0</v>
      </c>
      <c r="N106" s="125"/>
      <c r="O106" s="125"/>
      <c r="P106" s="126"/>
      <c r="Q106" s="407">
        <f>R106+T106</f>
        <v>0</v>
      </c>
      <c r="R106" s="408"/>
      <c r="S106" s="408"/>
      <c r="T106" s="409"/>
      <c r="U106" s="191"/>
      <c r="V106" s="131"/>
    </row>
    <row r="107" spans="1:22" ht="15.75" customHeight="1">
      <c r="A107" s="622"/>
      <c r="B107" s="625"/>
      <c r="C107" s="616"/>
      <c r="D107" s="619"/>
      <c r="E107" s="663"/>
      <c r="F107" s="637"/>
      <c r="G107" s="640"/>
      <c r="H107" s="33"/>
      <c r="I107" s="120">
        <f>J107+L107</f>
        <v>0</v>
      </c>
      <c r="J107" s="145"/>
      <c r="K107" s="145"/>
      <c r="L107" s="146"/>
      <c r="M107" s="120">
        <f>N107+P107</f>
        <v>0</v>
      </c>
      <c r="N107" s="145"/>
      <c r="O107" s="145"/>
      <c r="P107" s="146"/>
      <c r="Q107" s="410">
        <f>R107+T107</f>
        <v>0</v>
      </c>
      <c r="R107" s="433"/>
      <c r="S107" s="433"/>
      <c r="T107" s="434"/>
      <c r="U107" s="192"/>
      <c r="V107" s="179"/>
    </row>
    <row r="108" spans="1:22" ht="15.75" customHeight="1" thickBot="1">
      <c r="A108" s="623"/>
      <c r="B108" s="626"/>
      <c r="C108" s="617"/>
      <c r="D108" s="661"/>
      <c r="E108" s="664"/>
      <c r="F108" s="638"/>
      <c r="G108" s="635"/>
      <c r="H108" s="401" t="s">
        <v>19</v>
      </c>
      <c r="I108" s="397">
        <f aca="true" t="shared" si="24" ref="I108:V108">SUM(I106:I107)</f>
        <v>0</v>
      </c>
      <c r="J108" s="398">
        <f t="shared" si="24"/>
        <v>0</v>
      </c>
      <c r="K108" s="398">
        <f t="shared" si="24"/>
        <v>0</v>
      </c>
      <c r="L108" s="399">
        <f t="shared" si="24"/>
        <v>0</v>
      </c>
      <c r="M108" s="397">
        <f t="shared" si="24"/>
        <v>0</v>
      </c>
      <c r="N108" s="398">
        <f t="shared" si="24"/>
        <v>0</v>
      </c>
      <c r="O108" s="398">
        <f t="shared" si="24"/>
        <v>0</v>
      </c>
      <c r="P108" s="399">
        <f t="shared" si="24"/>
        <v>0</v>
      </c>
      <c r="Q108" s="397">
        <f t="shared" si="24"/>
        <v>0</v>
      </c>
      <c r="R108" s="398">
        <f t="shared" si="24"/>
        <v>0</v>
      </c>
      <c r="S108" s="398">
        <f t="shared" si="24"/>
        <v>0</v>
      </c>
      <c r="T108" s="399">
        <f t="shared" si="24"/>
        <v>0</v>
      </c>
      <c r="U108" s="400">
        <f t="shared" si="24"/>
        <v>0</v>
      </c>
      <c r="V108" s="404">
        <f t="shared" si="24"/>
        <v>0</v>
      </c>
    </row>
    <row r="109" spans="1:22" ht="15.75" customHeight="1" thickBot="1">
      <c r="A109" s="20" t="s">
        <v>7</v>
      </c>
      <c r="B109" s="1" t="s">
        <v>11</v>
      </c>
      <c r="C109" s="659" t="s">
        <v>18</v>
      </c>
      <c r="D109" s="660"/>
      <c r="E109" s="660"/>
      <c r="F109" s="660"/>
      <c r="G109" s="660"/>
      <c r="H109" s="649"/>
      <c r="I109" s="190">
        <f aca="true" t="shared" si="25" ref="I109:T109">SUM(I108,I102,I97,I93,I87,I83)</f>
        <v>20939.800000000003</v>
      </c>
      <c r="J109" s="190">
        <f t="shared" si="25"/>
        <v>273.9</v>
      </c>
      <c r="K109" s="190">
        <f t="shared" si="25"/>
        <v>0</v>
      </c>
      <c r="L109" s="190">
        <f t="shared" si="25"/>
        <v>20665.9</v>
      </c>
      <c r="M109" s="190">
        <f t="shared" si="25"/>
        <v>15406.100000000002</v>
      </c>
      <c r="N109" s="190">
        <f t="shared" si="25"/>
        <v>229.4</v>
      </c>
      <c r="O109" s="190">
        <f t="shared" si="25"/>
        <v>0</v>
      </c>
      <c r="P109" s="190">
        <f t="shared" si="25"/>
        <v>15176.7</v>
      </c>
      <c r="Q109" s="190">
        <f t="shared" si="25"/>
        <v>15206.100000000002</v>
      </c>
      <c r="R109" s="190">
        <f t="shared" si="25"/>
        <v>229.39999999999998</v>
      </c>
      <c r="S109" s="190">
        <f t="shared" si="25"/>
        <v>0</v>
      </c>
      <c r="T109" s="190">
        <f t="shared" si="25"/>
        <v>14976.7</v>
      </c>
      <c r="U109" s="190">
        <f>SUM(U83,U87,U93,U97,U102,U108)</f>
        <v>9796.499999999998</v>
      </c>
      <c r="V109" s="190">
        <f>SUM(V83,V87,V93,V97,V102,V108)</f>
        <v>1946.7</v>
      </c>
    </row>
    <row r="110" spans="1:22" s="4" customFormat="1" ht="15.75" customHeight="1" thickBot="1">
      <c r="A110" s="18" t="s">
        <v>7</v>
      </c>
      <c r="B110" s="646" t="s">
        <v>20</v>
      </c>
      <c r="C110" s="646"/>
      <c r="D110" s="646"/>
      <c r="E110" s="646"/>
      <c r="F110" s="646"/>
      <c r="G110" s="646"/>
      <c r="H110" s="647"/>
      <c r="I110" s="214">
        <f aca="true" t="shared" si="26" ref="I110:V110">SUM(I51,I68,I79,I109)</f>
        <v>40634.40000000001</v>
      </c>
      <c r="J110" s="214">
        <f t="shared" si="26"/>
        <v>18916.500000000004</v>
      </c>
      <c r="K110" s="214">
        <f t="shared" si="26"/>
        <v>814.8</v>
      </c>
      <c r="L110" s="214">
        <f t="shared" si="26"/>
        <v>21717.9</v>
      </c>
      <c r="M110" s="214">
        <f t="shared" si="26"/>
        <v>45013.5</v>
      </c>
      <c r="N110" s="214">
        <f t="shared" si="26"/>
        <v>25279.100000000002</v>
      </c>
      <c r="O110" s="214">
        <f t="shared" si="26"/>
        <v>813.6999999999999</v>
      </c>
      <c r="P110" s="214">
        <f t="shared" si="26"/>
        <v>19734.4</v>
      </c>
      <c r="Q110" s="214">
        <f t="shared" si="26"/>
        <v>34632.3</v>
      </c>
      <c r="R110" s="214">
        <f t="shared" si="26"/>
        <v>17503.600000000002</v>
      </c>
      <c r="S110" s="214">
        <f t="shared" si="26"/>
        <v>773.4</v>
      </c>
      <c r="T110" s="214">
        <f t="shared" si="26"/>
        <v>17128.7</v>
      </c>
      <c r="U110" s="214">
        <f t="shared" si="26"/>
        <v>32340.199999999997</v>
      </c>
      <c r="V110" s="214">
        <f t="shared" si="26"/>
        <v>23799.5</v>
      </c>
    </row>
    <row r="111" spans="1:22" ht="15.75" customHeight="1" thickBot="1">
      <c r="A111" s="24" t="s">
        <v>14</v>
      </c>
      <c r="B111" s="872" t="s">
        <v>22</v>
      </c>
      <c r="C111" s="873"/>
      <c r="D111" s="873"/>
      <c r="E111" s="873"/>
      <c r="F111" s="873"/>
      <c r="G111" s="873"/>
      <c r="H111" s="874"/>
      <c r="I111" s="215">
        <f aca="true" t="shared" si="27" ref="I111:P111">I110</f>
        <v>40634.40000000001</v>
      </c>
      <c r="J111" s="215">
        <f t="shared" si="27"/>
        <v>18916.500000000004</v>
      </c>
      <c r="K111" s="215">
        <f t="shared" si="27"/>
        <v>814.8</v>
      </c>
      <c r="L111" s="215">
        <f t="shared" si="27"/>
        <v>21717.9</v>
      </c>
      <c r="M111" s="215">
        <f t="shared" si="27"/>
        <v>45013.5</v>
      </c>
      <c r="N111" s="215">
        <f t="shared" si="27"/>
        <v>25279.100000000002</v>
      </c>
      <c r="O111" s="215">
        <f t="shared" si="27"/>
        <v>813.6999999999999</v>
      </c>
      <c r="P111" s="215">
        <f t="shared" si="27"/>
        <v>19734.4</v>
      </c>
      <c r="Q111" s="215">
        <f aca="true" t="shared" si="28" ref="Q111:V111">Q110</f>
        <v>34632.3</v>
      </c>
      <c r="R111" s="215">
        <f t="shared" si="28"/>
        <v>17503.600000000002</v>
      </c>
      <c r="S111" s="215">
        <f t="shared" si="28"/>
        <v>773.4</v>
      </c>
      <c r="T111" s="215">
        <f t="shared" si="28"/>
        <v>17128.7</v>
      </c>
      <c r="U111" s="215">
        <f t="shared" si="28"/>
        <v>32340.199999999997</v>
      </c>
      <c r="V111" s="215">
        <f t="shared" si="28"/>
        <v>23799.5</v>
      </c>
    </row>
    <row r="112" spans="1:16" ht="15" customHeight="1">
      <c r="A112" s="600"/>
      <c r="B112" s="600"/>
      <c r="C112" s="600"/>
      <c r="D112" s="600"/>
      <c r="E112" s="600"/>
      <c r="F112" s="600"/>
      <c r="G112" s="600"/>
      <c r="H112" s="600"/>
      <c r="M112" s="74"/>
      <c r="N112" s="74"/>
      <c r="O112" s="13"/>
      <c r="P112" s="13"/>
    </row>
    <row r="113" spans="1:22" ht="15" customHeight="1">
      <c r="A113" s="881" t="s">
        <v>34</v>
      </c>
      <c r="B113" s="881"/>
      <c r="C113" s="881"/>
      <c r="D113" s="881"/>
      <c r="E113" s="881"/>
      <c r="F113" s="881"/>
      <c r="G113" s="881"/>
      <c r="H113" s="881"/>
      <c r="I113" s="881"/>
      <c r="J113" s="881"/>
      <c r="K113" s="881"/>
      <c r="L113" s="881"/>
      <c r="M113" s="881"/>
      <c r="N113" s="881"/>
      <c r="O113" s="881"/>
      <c r="P113" s="881"/>
      <c r="Q113" s="881"/>
      <c r="R113" s="881"/>
      <c r="S113" s="881"/>
      <c r="T113" s="881"/>
      <c r="U113" s="7"/>
      <c r="V113" s="7"/>
    </row>
    <row r="114" spans="1:22" ht="14.25" customHeight="1" thickBot="1">
      <c r="A114" s="5"/>
      <c r="B114" s="6"/>
      <c r="C114" s="6"/>
      <c r="D114" s="6"/>
      <c r="E114" s="12"/>
      <c r="F114" s="12"/>
      <c r="G114" s="6"/>
      <c r="H114" s="11"/>
      <c r="I114" s="739"/>
      <c r="J114" s="739"/>
      <c r="K114" s="739"/>
      <c r="L114" s="739"/>
      <c r="M114" s="7"/>
      <c r="N114" s="7"/>
      <c r="O114" s="8"/>
      <c r="P114" s="7"/>
      <c r="Q114" s="741"/>
      <c r="R114" s="741"/>
      <c r="S114" s="741"/>
      <c r="T114" s="741"/>
      <c r="U114" s="67"/>
      <c r="V114" s="42"/>
    </row>
    <row r="115" spans="1:22" ht="37.5" customHeight="1" thickBot="1">
      <c r="A115" s="653" t="s">
        <v>26</v>
      </c>
      <c r="B115" s="654"/>
      <c r="C115" s="654"/>
      <c r="D115" s="654"/>
      <c r="E115" s="654"/>
      <c r="F115" s="654"/>
      <c r="G115" s="654"/>
      <c r="H115" s="655"/>
      <c r="I115" s="736" t="s">
        <v>124</v>
      </c>
      <c r="J115" s="737"/>
      <c r="K115" s="737"/>
      <c r="L115" s="738"/>
      <c r="M115" s="736" t="s">
        <v>122</v>
      </c>
      <c r="N115" s="737"/>
      <c r="O115" s="737"/>
      <c r="P115" s="738"/>
      <c r="Q115" s="740" t="s">
        <v>93</v>
      </c>
      <c r="R115" s="737"/>
      <c r="S115" s="737"/>
      <c r="T115" s="738"/>
      <c r="U115" s="734"/>
      <c r="V115" s="735"/>
    </row>
    <row r="116" spans="1:22" ht="13.5" customHeight="1">
      <c r="A116" s="810" t="s">
        <v>30</v>
      </c>
      <c r="B116" s="811"/>
      <c r="C116" s="811"/>
      <c r="D116" s="811"/>
      <c r="E116" s="811"/>
      <c r="F116" s="811"/>
      <c r="G116" s="811"/>
      <c r="H116" s="812"/>
      <c r="I116" s="742">
        <f>SUM(I117:L121)</f>
        <v>21458.000000000004</v>
      </c>
      <c r="J116" s="743"/>
      <c r="K116" s="743"/>
      <c r="L116" s="744"/>
      <c r="M116" s="742">
        <f>SUM(M117:P121)</f>
        <v>29829.400000000005</v>
      </c>
      <c r="N116" s="743"/>
      <c r="O116" s="743"/>
      <c r="P116" s="744"/>
      <c r="Q116" s="742">
        <f>SUM(Q117:T121)</f>
        <v>19493.200000000004</v>
      </c>
      <c r="R116" s="743"/>
      <c r="S116" s="743"/>
      <c r="T116" s="744"/>
      <c r="U116" s="19"/>
      <c r="V116" s="19"/>
    </row>
    <row r="117" spans="1:23" ht="13.5" customHeight="1">
      <c r="A117" s="900" t="s">
        <v>31</v>
      </c>
      <c r="B117" s="901"/>
      <c r="C117" s="901"/>
      <c r="D117" s="901"/>
      <c r="E117" s="901"/>
      <c r="F117" s="901"/>
      <c r="G117" s="901"/>
      <c r="H117" s="902"/>
      <c r="I117" s="807">
        <f>SUMIF(H12:H111,"SB",I12:I111)</f>
        <v>19138.300000000003</v>
      </c>
      <c r="J117" s="808"/>
      <c r="K117" s="808"/>
      <c r="L117" s="809"/>
      <c r="M117" s="807">
        <f>SUMIF(H12:H111,"SB",M12:M19)</f>
        <v>27345.100000000002</v>
      </c>
      <c r="N117" s="808"/>
      <c r="O117" s="808"/>
      <c r="P117" s="809"/>
      <c r="Q117" s="807">
        <f>SUMIF(H12:H111,"sb",Q12:Q111)</f>
        <v>17108.9</v>
      </c>
      <c r="R117" s="808"/>
      <c r="S117" s="808"/>
      <c r="T117" s="809"/>
      <c r="U117" s="388"/>
      <c r="V117" s="89"/>
      <c r="W117" s="42"/>
    </row>
    <row r="118" spans="1:22" ht="13.5" customHeight="1">
      <c r="A118" s="890" t="s">
        <v>118</v>
      </c>
      <c r="B118" s="891"/>
      <c r="C118" s="891"/>
      <c r="D118" s="891"/>
      <c r="E118" s="891"/>
      <c r="F118" s="891"/>
      <c r="G118" s="891"/>
      <c r="H118" s="892"/>
      <c r="I118" s="807">
        <f>SUMIF(H12:H111,"SB(SP)",I12:I111)</f>
        <v>60.400000000000006</v>
      </c>
      <c r="J118" s="808"/>
      <c r="K118" s="808"/>
      <c r="L118" s="809"/>
      <c r="M118" s="751">
        <f>SUMIF(H12:H111,"SB(SP)",M12:M111)</f>
        <v>59.9</v>
      </c>
      <c r="N118" s="752"/>
      <c r="O118" s="752"/>
      <c r="P118" s="753"/>
      <c r="Q118" s="751">
        <f>SUMIF(H12:H111,"sb(sp)",Q12:Q111)</f>
        <v>59.9</v>
      </c>
      <c r="R118" s="752"/>
      <c r="S118" s="752"/>
      <c r="T118" s="753"/>
      <c r="U118" s="388"/>
      <c r="V118" s="89"/>
    </row>
    <row r="119" spans="1:22" ht="13.5" customHeight="1">
      <c r="A119" s="875" t="s">
        <v>107</v>
      </c>
      <c r="B119" s="876"/>
      <c r="C119" s="876"/>
      <c r="D119" s="876"/>
      <c r="E119" s="876"/>
      <c r="F119" s="876"/>
      <c r="G119" s="876"/>
      <c r="H119" s="877"/>
      <c r="I119" s="807">
        <f>SUMIF(H12:H111,"SB(F)",I12:I111)</f>
        <v>0</v>
      </c>
      <c r="J119" s="808"/>
      <c r="K119" s="808"/>
      <c r="L119" s="809"/>
      <c r="M119" s="807">
        <f>SUMIF(H12:H111,"SB(F)",M12:M111)</f>
        <v>222.9</v>
      </c>
      <c r="N119" s="808"/>
      <c r="O119" s="808"/>
      <c r="P119" s="809"/>
      <c r="Q119" s="807">
        <f>SUMIF(H12:H111,"SB(F)",Q12:Q111)</f>
        <v>222.9</v>
      </c>
      <c r="R119" s="808"/>
      <c r="S119" s="808"/>
      <c r="T119" s="809"/>
      <c r="U119" s="388"/>
      <c r="V119" s="89"/>
    </row>
    <row r="120" spans="1:22" ht="13.5" customHeight="1">
      <c r="A120" s="878" t="s">
        <v>143</v>
      </c>
      <c r="B120" s="879"/>
      <c r="C120" s="879"/>
      <c r="D120" s="879"/>
      <c r="E120" s="879"/>
      <c r="F120" s="879"/>
      <c r="G120" s="879"/>
      <c r="H120" s="880"/>
      <c r="I120" s="807">
        <f>SUMIF(H12:H111,"SB(P)",I12:I111)</f>
        <v>2259.3</v>
      </c>
      <c r="J120" s="808"/>
      <c r="K120" s="808"/>
      <c r="L120" s="809"/>
      <c r="M120" s="807">
        <f>SUMIF(H12:H111,"SB(P)",M12:M111)</f>
        <v>2201.5</v>
      </c>
      <c r="N120" s="808"/>
      <c r="O120" s="808"/>
      <c r="P120" s="809"/>
      <c r="Q120" s="807">
        <f>SUMIF(H12:H111,"SB(P)",Q12:Q111)</f>
        <v>2101.5</v>
      </c>
      <c r="R120" s="808"/>
      <c r="S120" s="808"/>
      <c r="T120" s="809"/>
      <c r="U120" s="388"/>
      <c r="V120" s="89"/>
    </row>
    <row r="121" spans="1:22" ht="13.5" customHeight="1">
      <c r="A121" s="897" t="s">
        <v>28</v>
      </c>
      <c r="B121" s="898"/>
      <c r="C121" s="898"/>
      <c r="D121" s="898"/>
      <c r="E121" s="898"/>
      <c r="F121" s="898"/>
      <c r="G121" s="898"/>
      <c r="H121" s="899"/>
      <c r="I121" s="668">
        <f>SUMIF(H12:H111,"PF",I12:I110)</f>
        <v>0</v>
      </c>
      <c r="J121" s="669"/>
      <c r="K121" s="669"/>
      <c r="L121" s="670"/>
      <c r="M121" s="668">
        <f>SUMIF(H12:H111,"PF",M12:M111)</f>
        <v>0</v>
      </c>
      <c r="N121" s="669"/>
      <c r="O121" s="669"/>
      <c r="P121" s="670"/>
      <c r="Q121" s="668">
        <f>SUMIF(H12:H111,"pf",Q12:Q111)</f>
        <v>0</v>
      </c>
      <c r="R121" s="669"/>
      <c r="S121" s="669"/>
      <c r="T121" s="670"/>
      <c r="U121" s="388"/>
      <c r="V121" s="89"/>
    </row>
    <row r="122" spans="1:22" ht="13.5" customHeight="1">
      <c r="A122" s="882" t="s">
        <v>32</v>
      </c>
      <c r="B122" s="883"/>
      <c r="C122" s="883"/>
      <c r="D122" s="883"/>
      <c r="E122" s="883"/>
      <c r="F122" s="883"/>
      <c r="G122" s="883"/>
      <c r="H122" s="884"/>
      <c r="I122" s="748">
        <f>SUM(I123:L126)</f>
        <v>19176.4</v>
      </c>
      <c r="J122" s="749"/>
      <c r="K122" s="749"/>
      <c r="L122" s="750"/>
      <c r="M122" s="748">
        <f>SUM(M123:P126)</f>
        <v>15184.1</v>
      </c>
      <c r="N122" s="749"/>
      <c r="O122" s="749"/>
      <c r="P122" s="750"/>
      <c r="Q122" s="748">
        <f>SUM(Q123:T126)</f>
        <v>15209.1</v>
      </c>
      <c r="R122" s="749"/>
      <c r="S122" s="749"/>
      <c r="T122" s="750"/>
      <c r="U122" s="19"/>
      <c r="V122" s="273"/>
    </row>
    <row r="123" spans="1:22" ht="13.5" customHeight="1">
      <c r="A123" s="878" t="s">
        <v>49</v>
      </c>
      <c r="B123" s="879"/>
      <c r="C123" s="879"/>
      <c r="D123" s="879"/>
      <c r="E123" s="879"/>
      <c r="F123" s="879"/>
      <c r="G123" s="879"/>
      <c r="H123" s="880"/>
      <c r="I123" s="807">
        <f>SUMIF(H12:H111,"LRVB",I12:I111)</f>
        <v>1556.2</v>
      </c>
      <c r="J123" s="808"/>
      <c r="K123" s="808"/>
      <c r="L123" s="809"/>
      <c r="M123" s="807">
        <f>SUMIF(H12:H111,"LRVB",M12:M111)</f>
        <v>1197.3</v>
      </c>
      <c r="N123" s="808"/>
      <c r="O123" s="808"/>
      <c r="P123" s="809"/>
      <c r="Q123" s="807">
        <f>SUMIF(H12:H111,"LRVB",Q12:Q111)</f>
        <v>1197.3</v>
      </c>
      <c r="R123" s="808"/>
      <c r="S123" s="808"/>
      <c r="T123" s="809"/>
      <c r="U123" s="388"/>
      <c r="V123" s="89"/>
    </row>
    <row r="124" spans="1:22" ht="13.5" customHeight="1">
      <c r="A124" s="875" t="s">
        <v>54</v>
      </c>
      <c r="B124" s="876"/>
      <c r="C124" s="876"/>
      <c r="D124" s="876"/>
      <c r="E124" s="876"/>
      <c r="F124" s="876"/>
      <c r="G124" s="876"/>
      <c r="H124" s="877"/>
      <c r="I124" s="751">
        <f>SUMIF(H12:H111,"KPP",I12:I111)</f>
        <v>4392.1</v>
      </c>
      <c r="J124" s="752"/>
      <c r="K124" s="752"/>
      <c r="L124" s="753"/>
      <c r="M124" s="751">
        <f>SUMIF(H12:H111,"KPP",M12:M111)</f>
        <v>1200</v>
      </c>
      <c r="N124" s="752"/>
      <c r="O124" s="752"/>
      <c r="P124" s="753"/>
      <c r="Q124" s="751">
        <f>SUMIF(H12:H111,"KPP",Q12:Q111)</f>
        <v>1155</v>
      </c>
      <c r="R124" s="752"/>
      <c r="S124" s="752"/>
      <c r="T124" s="753"/>
      <c r="U124" s="388"/>
      <c r="V124" s="89"/>
    </row>
    <row r="125" spans="1:22" ht="13.5" customHeight="1">
      <c r="A125" s="754" t="s">
        <v>50</v>
      </c>
      <c r="B125" s="755"/>
      <c r="C125" s="755"/>
      <c r="D125" s="755"/>
      <c r="E125" s="755"/>
      <c r="F125" s="755"/>
      <c r="G125" s="755"/>
      <c r="H125" s="756"/>
      <c r="I125" s="745">
        <f>SUMIF(H12:H111,"ES",I12:I111)</f>
        <v>13228.1</v>
      </c>
      <c r="J125" s="746"/>
      <c r="K125" s="746"/>
      <c r="L125" s="747"/>
      <c r="M125" s="745">
        <f>SUMIF(H12:H111,"ES",M12:M111)</f>
        <v>11393.7</v>
      </c>
      <c r="N125" s="746"/>
      <c r="O125" s="746"/>
      <c r="P125" s="747"/>
      <c r="Q125" s="745">
        <f>SUMIF(H12:H111,"ES",Q12:Q111)</f>
        <v>11393.7</v>
      </c>
      <c r="R125" s="746"/>
      <c r="S125" s="746"/>
      <c r="T125" s="747"/>
      <c r="U125" s="388"/>
      <c r="V125" s="89"/>
    </row>
    <row r="126" spans="1:22" ht="13.5" customHeight="1">
      <c r="A126" s="665" t="s">
        <v>145</v>
      </c>
      <c r="B126" s="666"/>
      <c r="C126" s="666"/>
      <c r="D126" s="666"/>
      <c r="E126" s="666"/>
      <c r="F126" s="666"/>
      <c r="G126" s="666"/>
      <c r="H126" s="667"/>
      <c r="I126" s="668">
        <f>SUMIF(H12:H111,"Kt",I12:I111)</f>
        <v>0</v>
      </c>
      <c r="J126" s="669"/>
      <c r="K126" s="669"/>
      <c r="L126" s="670"/>
      <c r="M126" s="668">
        <f>SUMIF(H12:H111,"Kt",M12:M111)</f>
        <v>1393.1</v>
      </c>
      <c r="N126" s="669"/>
      <c r="O126" s="669"/>
      <c r="P126" s="670"/>
      <c r="Q126" s="668">
        <f>SUMIF(H12:H111,"Kt",Q12:Q111)</f>
        <v>1463.1</v>
      </c>
      <c r="R126" s="669"/>
      <c r="S126" s="669"/>
      <c r="T126" s="670"/>
      <c r="U126" s="388"/>
      <c r="V126" s="89"/>
    </row>
    <row r="127" spans="1:22" ht="13.5" customHeight="1" thickBot="1">
      <c r="A127" s="869" t="s">
        <v>33</v>
      </c>
      <c r="B127" s="870"/>
      <c r="C127" s="870"/>
      <c r="D127" s="870"/>
      <c r="E127" s="870"/>
      <c r="F127" s="870"/>
      <c r="G127" s="870"/>
      <c r="H127" s="871"/>
      <c r="I127" s="887">
        <f>I122+I116</f>
        <v>40634.40000000001</v>
      </c>
      <c r="J127" s="888"/>
      <c r="K127" s="888"/>
      <c r="L127" s="889"/>
      <c r="M127" s="887">
        <f>M122+M116</f>
        <v>45013.50000000001</v>
      </c>
      <c r="N127" s="888"/>
      <c r="O127" s="888"/>
      <c r="P127" s="889"/>
      <c r="Q127" s="887">
        <f>Q122+Q116</f>
        <v>34702.3</v>
      </c>
      <c r="R127" s="888"/>
      <c r="S127" s="888"/>
      <c r="T127" s="889"/>
      <c r="U127" s="88"/>
      <c r="V127" s="88"/>
    </row>
    <row r="128" spans="9:20" ht="12.75">
      <c r="I128" s="885"/>
      <c r="J128" s="886"/>
      <c r="K128" s="886"/>
      <c r="L128" s="886"/>
      <c r="Q128" s="885"/>
      <c r="R128" s="886"/>
      <c r="S128" s="886"/>
      <c r="T128" s="886"/>
    </row>
  </sheetData>
  <sheetProtection/>
  <mergeCells count="244">
    <mergeCell ref="B60:B63"/>
    <mergeCell ref="E81:E83"/>
    <mergeCell ref="C60:C63"/>
    <mergeCell ref="D68:H68"/>
    <mergeCell ref="F76:F78"/>
    <mergeCell ref="G76:G78"/>
    <mergeCell ref="U4:V4"/>
    <mergeCell ref="F81:F83"/>
    <mergeCell ref="F84:F87"/>
    <mergeCell ref="D81:D83"/>
    <mergeCell ref="A44:A47"/>
    <mergeCell ref="C44:C47"/>
    <mergeCell ref="B48:B50"/>
    <mergeCell ref="A53:A59"/>
    <mergeCell ref="A48:A50"/>
    <mergeCell ref="C48:C50"/>
    <mergeCell ref="B44:B47"/>
    <mergeCell ref="B53:B59"/>
    <mergeCell ref="C52:V52"/>
    <mergeCell ref="E44:E47"/>
    <mergeCell ref="B64:B67"/>
    <mergeCell ref="A64:A67"/>
    <mergeCell ref="I119:L119"/>
    <mergeCell ref="A76:A78"/>
    <mergeCell ref="E70:E72"/>
    <mergeCell ref="A73:A75"/>
    <mergeCell ref="G84:G87"/>
    <mergeCell ref="C84:C87"/>
    <mergeCell ref="G70:G72"/>
    <mergeCell ref="F88:F93"/>
    <mergeCell ref="M121:P121"/>
    <mergeCell ref="M118:P118"/>
    <mergeCell ref="B88:B93"/>
    <mergeCell ref="D88:D93"/>
    <mergeCell ref="A121:H121"/>
    <mergeCell ref="A117:H117"/>
    <mergeCell ref="G94:G97"/>
    <mergeCell ref="F94:F97"/>
    <mergeCell ref="Q117:T117"/>
    <mergeCell ref="A81:A83"/>
    <mergeCell ref="Q128:T128"/>
    <mergeCell ref="M127:P127"/>
    <mergeCell ref="M125:P125"/>
    <mergeCell ref="I123:L123"/>
    <mergeCell ref="B94:B97"/>
    <mergeCell ref="D94:D97"/>
    <mergeCell ref="I121:L121"/>
    <mergeCell ref="A119:H119"/>
    <mergeCell ref="A120:H120"/>
    <mergeCell ref="Q118:T118"/>
    <mergeCell ref="A118:H118"/>
    <mergeCell ref="M119:P119"/>
    <mergeCell ref="I128:L128"/>
    <mergeCell ref="Q124:T124"/>
    <mergeCell ref="M122:P122"/>
    <mergeCell ref="M124:P124"/>
    <mergeCell ref="M123:P123"/>
    <mergeCell ref="I127:L127"/>
    <mergeCell ref="Q127:T127"/>
    <mergeCell ref="Q126:T126"/>
    <mergeCell ref="Q123:T123"/>
    <mergeCell ref="A127:H127"/>
    <mergeCell ref="B111:H111"/>
    <mergeCell ref="A124:H124"/>
    <mergeCell ref="A123:H123"/>
    <mergeCell ref="A113:T113"/>
    <mergeCell ref="I115:L115"/>
    <mergeCell ref="A122:H122"/>
    <mergeCell ref="I117:L117"/>
    <mergeCell ref="M120:P120"/>
    <mergeCell ref="Q120:T120"/>
    <mergeCell ref="A3:V3"/>
    <mergeCell ref="D84:D87"/>
    <mergeCell ref="A84:A87"/>
    <mergeCell ref="B84:B87"/>
    <mergeCell ref="C70:C72"/>
    <mergeCell ref="E73:E75"/>
    <mergeCell ref="E34:E36"/>
    <mergeCell ref="B70:B72"/>
    <mergeCell ref="A60:A63"/>
    <mergeCell ref="C79:H79"/>
    <mergeCell ref="Q119:T119"/>
    <mergeCell ref="C24:C29"/>
    <mergeCell ref="A40:A43"/>
    <mergeCell ref="B81:B83"/>
    <mergeCell ref="B34:B36"/>
    <mergeCell ref="A34:A36"/>
    <mergeCell ref="B37:B39"/>
    <mergeCell ref="A98:A102"/>
    <mergeCell ref="B98:B102"/>
    <mergeCell ref="E94:E97"/>
    <mergeCell ref="A18:A23"/>
    <mergeCell ref="A30:A33"/>
    <mergeCell ref="F5:F7"/>
    <mergeCell ref="G5:G7"/>
    <mergeCell ref="E5:E7"/>
    <mergeCell ref="C11:V11"/>
    <mergeCell ref="Q5:T5"/>
    <mergeCell ref="V5:V7"/>
    <mergeCell ref="A8:V8"/>
    <mergeCell ref="B10:V10"/>
    <mergeCell ref="A9:V9"/>
    <mergeCell ref="H5:H7"/>
    <mergeCell ref="N6:O6"/>
    <mergeCell ref="T6:T7"/>
    <mergeCell ref="A2:V2"/>
    <mergeCell ref="A5:A7"/>
    <mergeCell ref="B5:B7"/>
    <mergeCell ref="C5:C7"/>
    <mergeCell ref="D5:D7"/>
    <mergeCell ref="R6:S6"/>
    <mergeCell ref="M5:P5"/>
    <mergeCell ref="I5:L5"/>
    <mergeCell ref="J6:K6"/>
    <mergeCell ref="U5:U7"/>
    <mergeCell ref="M6:M7"/>
    <mergeCell ref="Q121:T121"/>
    <mergeCell ref="I120:L120"/>
    <mergeCell ref="A116:H116"/>
    <mergeCell ref="B30:B33"/>
    <mergeCell ref="A94:A97"/>
    <mergeCell ref="C88:C93"/>
    <mergeCell ref="Q6:Q7"/>
    <mergeCell ref="P6:P7"/>
    <mergeCell ref="I6:I7"/>
    <mergeCell ref="A12:A17"/>
    <mergeCell ref="L6:L7"/>
    <mergeCell ref="C18:C23"/>
    <mergeCell ref="G18:G23"/>
    <mergeCell ref="F18:F23"/>
    <mergeCell ref="G12:G17"/>
    <mergeCell ref="B12:B17"/>
    <mergeCell ref="C12:C17"/>
    <mergeCell ref="E12:E17"/>
    <mergeCell ref="F12:F17"/>
    <mergeCell ref="G24:G29"/>
    <mergeCell ref="A70:A72"/>
    <mergeCell ref="F40:F43"/>
    <mergeCell ref="C94:C97"/>
    <mergeCell ref="E88:E89"/>
    <mergeCell ref="C37:C39"/>
    <mergeCell ref="E24:E29"/>
    <mergeCell ref="A37:A39"/>
    <mergeCell ref="F73:F75"/>
    <mergeCell ref="C76:C78"/>
    <mergeCell ref="F24:F27"/>
    <mergeCell ref="F28:F29"/>
    <mergeCell ref="B24:B29"/>
    <mergeCell ref="A24:A29"/>
    <mergeCell ref="C30:C33"/>
    <mergeCell ref="C80:V80"/>
    <mergeCell ref="B18:B23"/>
    <mergeCell ref="C40:C43"/>
    <mergeCell ref="D40:D43"/>
    <mergeCell ref="B40:B43"/>
    <mergeCell ref="F34:F36"/>
    <mergeCell ref="E40:E43"/>
    <mergeCell ref="D37:D39"/>
    <mergeCell ref="D28:D29"/>
    <mergeCell ref="Q116:T116"/>
    <mergeCell ref="I116:L116"/>
    <mergeCell ref="G30:G33"/>
    <mergeCell ref="Q125:T125"/>
    <mergeCell ref="Q122:T122"/>
    <mergeCell ref="I122:L122"/>
    <mergeCell ref="I125:L125"/>
    <mergeCell ref="I124:L124"/>
    <mergeCell ref="A125:H125"/>
    <mergeCell ref="F30:F33"/>
    <mergeCell ref="U115:V115"/>
    <mergeCell ref="M115:P115"/>
    <mergeCell ref="I114:L114"/>
    <mergeCell ref="Q115:T115"/>
    <mergeCell ref="Q114:T114"/>
    <mergeCell ref="G34:G36"/>
    <mergeCell ref="E60:E63"/>
    <mergeCell ref="C53:C59"/>
    <mergeCell ref="C34:C36"/>
    <mergeCell ref="G48:G50"/>
    <mergeCell ref="G37:G39"/>
    <mergeCell ref="D34:D36"/>
    <mergeCell ref="C51:H51"/>
    <mergeCell ref="G40:G43"/>
    <mergeCell ref="F37:F39"/>
    <mergeCell ref="D44:D47"/>
    <mergeCell ref="G60:G63"/>
    <mergeCell ref="C64:C67"/>
    <mergeCell ref="E48:E50"/>
    <mergeCell ref="F44:F47"/>
    <mergeCell ref="G53:G59"/>
    <mergeCell ref="F48:F50"/>
    <mergeCell ref="F60:F63"/>
    <mergeCell ref="F64:F67"/>
    <mergeCell ref="E53:E59"/>
    <mergeCell ref="F53:F59"/>
    <mergeCell ref="G64:G67"/>
    <mergeCell ref="C69:V69"/>
    <mergeCell ref="D48:D50"/>
    <mergeCell ref="D60:D63"/>
    <mergeCell ref="E64:E67"/>
    <mergeCell ref="D64:D67"/>
    <mergeCell ref="C81:C83"/>
    <mergeCell ref="F98:F102"/>
    <mergeCell ref="D70:D72"/>
    <mergeCell ref="E76:E78"/>
    <mergeCell ref="D98:D102"/>
    <mergeCell ref="E84:E87"/>
    <mergeCell ref="A126:H126"/>
    <mergeCell ref="I126:L126"/>
    <mergeCell ref="M126:P126"/>
    <mergeCell ref="G73:G75"/>
    <mergeCell ref="A88:A93"/>
    <mergeCell ref="B76:B78"/>
    <mergeCell ref="G88:G93"/>
    <mergeCell ref="M116:P116"/>
    <mergeCell ref="I118:L118"/>
    <mergeCell ref="M117:P117"/>
    <mergeCell ref="B106:B108"/>
    <mergeCell ref="F106:F108"/>
    <mergeCell ref="G106:G108"/>
    <mergeCell ref="F70:F72"/>
    <mergeCell ref="D76:D78"/>
    <mergeCell ref="G81:G83"/>
    <mergeCell ref="C106:C108"/>
    <mergeCell ref="D106:D108"/>
    <mergeCell ref="E106:E108"/>
    <mergeCell ref="D73:D75"/>
    <mergeCell ref="E98:E102"/>
    <mergeCell ref="A103:A105"/>
    <mergeCell ref="B103:B105"/>
    <mergeCell ref="C103:C105"/>
    <mergeCell ref="E91:E93"/>
    <mergeCell ref="C73:C75"/>
    <mergeCell ref="B73:B75"/>
    <mergeCell ref="A115:H115"/>
    <mergeCell ref="G98:G102"/>
    <mergeCell ref="C109:H109"/>
    <mergeCell ref="C98:C102"/>
    <mergeCell ref="B110:H110"/>
    <mergeCell ref="D103:D105"/>
    <mergeCell ref="E103:E105"/>
    <mergeCell ref="F103:F105"/>
    <mergeCell ref="G103:G105"/>
    <mergeCell ref="A106:A108"/>
  </mergeCells>
  <printOptions horizontalCentered="1"/>
  <pageMargins left="0.15748031496062992" right="0.15748031496062992" top="0.1968503937007874" bottom="0.1968503937007874" header="0" footer="0"/>
  <pageSetup horizontalDpi="600" verticalDpi="600" orientation="landscape" paperSize="9" scale="75" r:id="rId1"/>
  <rowBreaks count="3" manualBreakCount="3">
    <brk id="39" max="21" man="1"/>
    <brk id="75" max="21" man="1"/>
    <brk id="112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3.7109375" style="13" customWidth="1"/>
    <col min="2" max="6" width="11.7109375" style="13" customWidth="1"/>
    <col min="7" max="16384" width="9.140625" style="13" customWidth="1"/>
  </cols>
  <sheetData>
    <row r="1" spans="1:6" ht="15.75">
      <c r="A1" s="227"/>
      <c r="B1" s="227"/>
      <c r="C1" s="227"/>
      <c r="D1" s="227"/>
      <c r="E1" s="80"/>
      <c r="F1" s="81"/>
    </row>
    <row r="2" spans="1:6" s="69" customFormat="1" ht="15.75" customHeight="1">
      <c r="A2" s="913" t="s">
        <v>87</v>
      </c>
      <c r="B2" s="913"/>
      <c r="C2" s="913"/>
      <c r="D2" s="913"/>
      <c r="E2" s="913"/>
      <c r="F2" s="913"/>
    </row>
    <row r="3" s="69" customFormat="1" ht="16.5" thickBot="1">
      <c r="F3" s="16" t="s">
        <v>35</v>
      </c>
    </row>
    <row r="4" spans="1:6" ht="14.25" customHeight="1">
      <c r="A4" s="914" t="s">
        <v>23</v>
      </c>
      <c r="B4" s="917" t="s">
        <v>263</v>
      </c>
      <c r="C4" s="914" t="s">
        <v>120</v>
      </c>
      <c r="D4" s="917" t="s">
        <v>264</v>
      </c>
      <c r="E4" s="917" t="s">
        <v>96</v>
      </c>
      <c r="F4" s="917" t="s">
        <v>125</v>
      </c>
    </row>
    <row r="5" spans="1:6" ht="9.75" customHeight="1">
      <c r="A5" s="915"/>
      <c r="B5" s="918"/>
      <c r="C5" s="920"/>
      <c r="D5" s="918"/>
      <c r="E5" s="918"/>
      <c r="F5" s="918"/>
    </row>
    <row r="6" spans="1:6" ht="12.75">
      <c r="A6" s="915"/>
      <c r="B6" s="918"/>
      <c r="C6" s="920"/>
      <c r="D6" s="918"/>
      <c r="E6" s="918"/>
      <c r="F6" s="918"/>
    </row>
    <row r="7" spans="1:6" ht="32.25" customHeight="1" thickBot="1">
      <c r="A7" s="916"/>
      <c r="B7" s="919"/>
      <c r="C7" s="921"/>
      <c r="D7" s="919"/>
      <c r="E7" s="919"/>
      <c r="F7" s="919"/>
    </row>
    <row r="8" spans="1:8" ht="15.75" customHeight="1">
      <c r="A8" s="389" t="s">
        <v>36</v>
      </c>
      <c r="B8" s="390">
        <f>B9+B11</f>
        <v>40634.40000000001</v>
      </c>
      <c r="C8" s="390">
        <f>C9+C11</f>
        <v>45013.5</v>
      </c>
      <c r="D8" s="390">
        <f>D9+D11</f>
        <v>34632.3</v>
      </c>
      <c r="E8" s="390">
        <f>'1 lentelė'!U111</f>
        <v>32340.199999999997</v>
      </c>
      <c r="F8" s="390">
        <f>'1 lentelė'!V111</f>
        <v>23799.5</v>
      </c>
      <c r="G8" s="9"/>
      <c r="H8" s="111"/>
    </row>
    <row r="9" spans="1:8" ht="15.75" customHeight="1">
      <c r="A9" s="38" t="s">
        <v>37</v>
      </c>
      <c r="B9" s="216">
        <f>SUM('1 lentelė'!J111)</f>
        <v>18916.500000000004</v>
      </c>
      <c r="C9" s="217">
        <f>SUM('1 lentelė'!N111)</f>
        <v>25279.100000000002</v>
      </c>
      <c r="D9" s="393">
        <f>SUM('1 lentelė'!R111)</f>
        <v>17503.600000000002</v>
      </c>
      <c r="E9" s="216"/>
      <c r="F9" s="218"/>
      <c r="G9" s="73"/>
      <c r="H9" s="73"/>
    </row>
    <row r="10" spans="1:8" ht="15.75" customHeight="1">
      <c r="A10" s="35" t="s">
        <v>38</v>
      </c>
      <c r="B10" s="219">
        <f>SUM('1 lentelė'!K111)</f>
        <v>814.8</v>
      </c>
      <c r="C10" s="220">
        <f>SUM('1 lentelė'!O111)</f>
        <v>813.6999999999999</v>
      </c>
      <c r="D10" s="394">
        <f>SUM('1 lentelė'!S111)</f>
        <v>773.4</v>
      </c>
      <c r="E10" s="216"/>
      <c r="F10" s="221"/>
      <c r="G10" s="73"/>
      <c r="H10" s="73"/>
    </row>
    <row r="11" spans="1:8" ht="15.75" customHeight="1" thickBot="1">
      <c r="A11" s="79" t="s">
        <v>24</v>
      </c>
      <c r="B11" s="222">
        <f>SUM('1 lentelė'!L111)</f>
        <v>21717.9</v>
      </c>
      <c r="C11" s="223">
        <f>SUM('1 lentelė'!P111)</f>
        <v>19734.4</v>
      </c>
      <c r="D11" s="395">
        <f>SUM('1 lentelė'!T111)</f>
        <v>17128.7</v>
      </c>
      <c r="E11" s="222"/>
      <c r="F11" s="224"/>
      <c r="G11" s="73"/>
      <c r="H11" s="73"/>
    </row>
    <row r="12" spans="1:6" ht="15.75" customHeight="1" thickBot="1">
      <c r="A12" s="391" t="s">
        <v>39</v>
      </c>
      <c r="B12" s="392">
        <f>B13+B19</f>
        <v>40634.40000000001</v>
      </c>
      <c r="C12" s="392">
        <f>C13+C19</f>
        <v>45013.50000000001</v>
      </c>
      <c r="D12" s="392">
        <f>D13+D19</f>
        <v>34702.3</v>
      </c>
      <c r="E12" s="392">
        <f>E13+E19</f>
        <v>32664.3</v>
      </c>
      <c r="F12" s="392">
        <f>F13+F19</f>
        <v>23799.5</v>
      </c>
    </row>
    <row r="13" spans="1:6" ht="15.75" customHeight="1" thickBot="1">
      <c r="A13" s="39" t="s">
        <v>40</v>
      </c>
      <c r="B13" s="225">
        <f>SUM(B14:B18)</f>
        <v>21458.000000000004</v>
      </c>
      <c r="C13" s="225">
        <f>SUM(C14:C18)</f>
        <v>29829.400000000005</v>
      </c>
      <c r="D13" s="225">
        <f>SUM(D14:D18)</f>
        <v>19493.200000000004</v>
      </c>
      <c r="E13" s="225">
        <f>SUM(E14:E18)</f>
        <v>23344.399999999998</v>
      </c>
      <c r="F13" s="225">
        <f>SUM(F14:F18)</f>
        <v>22381.5</v>
      </c>
    </row>
    <row r="14" spans="1:6" ht="15.75" customHeight="1">
      <c r="A14" s="36" t="s">
        <v>253</v>
      </c>
      <c r="B14" s="226">
        <f>SUMIF('1 lentelė'!H12:H111,"SB",'1 lentelė'!I12:I111)</f>
        <v>19138.300000000003</v>
      </c>
      <c r="C14" s="226">
        <f>SUMIF('1 lentelė'!H12:H111,"SB",'1 lentelė'!M12:M111)</f>
        <v>27345.100000000002</v>
      </c>
      <c r="D14" s="394">
        <f>SUMIF('1 lentelė'!H12:H111,"SB",'1 lentelė'!Q12:Q111)</f>
        <v>17108.9</v>
      </c>
      <c r="E14" s="226">
        <f>SUMIF('1 lentelė'!H12:H111,"SB",'1 lentelė'!U12:U111)</f>
        <v>22795.399999999998</v>
      </c>
      <c r="F14" s="226">
        <f>SUMIF('1 lentelė'!H12:H111,"SB",'1 lentelė'!V12:V111)</f>
        <v>22035.399999999998</v>
      </c>
    </row>
    <row r="15" spans="1:6" ht="15.75" customHeight="1">
      <c r="A15" s="35" t="s">
        <v>254</v>
      </c>
      <c r="B15" s="226">
        <f>SUMIF('1 lentelė'!H12:H111,"SB(SP)",'1 lentelė'!I12:I111)</f>
        <v>60.400000000000006</v>
      </c>
      <c r="C15" s="226">
        <f>SUMIF('1 lentelė'!H12:H111,"SB(SP)",'1 lentelė'!M12:M111)</f>
        <v>59.9</v>
      </c>
      <c r="D15" s="394">
        <f>SUMIF('1 lentelė'!H12:H111,"SB(SP)",'1 lentelė'!Q12:Q111)</f>
        <v>59.9</v>
      </c>
      <c r="E15" s="226">
        <f>SUMIF('1 lentelė'!H12:H111,"SB(SP)",'1 lentelė'!U12:U111)</f>
        <v>59.4</v>
      </c>
      <c r="F15" s="226">
        <f>SUMIF('1 lentelė'!H12:H111,"SB(SP)",'1 lentelė'!V12:V111)</f>
        <v>59.4</v>
      </c>
    </row>
    <row r="16" spans="1:6" ht="15.75" customHeight="1">
      <c r="A16" s="35" t="s">
        <v>255</v>
      </c>
      <c r="B16" s="226">
        <f>SUMIF('1 lentelė'!H12:H111,"SB(F)",'1 lentelė'!I12:I111)</f>
        <v>0</v>
      </c>
      <c r="C16" s="226">
        <f>SUMIF('1 lentelė'!H12:H111,"SB(F)",'1 lentelė'!M12:M111)</f>
        <v>222.9</v>
      </c>
      <c r="D16" s="394">
        <f>SUMIF('1 lentelė'!H12:H111,"SB(F)",'1 lentelė'!Q12:Q111)</f>
        <v>222.9</v>
      </c>
      <c r="E16" s="226">
        <f>SUMIF('1 lentelė'!H12:H111,"SB(F)",'1 lentelė'!U12:U111)</f>
        <v>255</v>
      </c>
      <c r="F16" s="226">
        <f>SUMIF('1 lentelė'!H12:H111,"SB(F)",'1 lentelė'!V12:V111)</f>
        <v>0</v>
      </c>
    </row>
    <row r="17" spans="1:6" ht="15.75" customHeight="1">
      <c r="A17" s="35" t="s">
        <v>256</v>
      </c>
      <c r="B17" s="226">
        <f>SUMIF('1 lentelė'!H12:H111,"SB(P)",'1 lentelė'!I12:I111)</f>
        <v>2259.3</v>
      </c>
      <c r="C17" s="226">
        <f>SUMIF('1 lentelė'!H12:H111,"SB(P)",'1 lentelė'!M12:M111)</f>
        <v>2201.5</v>
      </c>
      <c r="D17" s="394">
        <f>SUMIF('1 lentelė'!H12:H111,"SB(P)",'1 lentelė'!Q12:Q111)</f>
        <v>2101.5</v>
      </c>
      <c r="E17" s="226">
        <f>SUMIF('1 lentelė'!H12:H111,"SB(P)",'1 lentelė'!U12:U111)</f>
        <v>234.6</v>
      </c>
      <c r="F17" s="226">
        <f>SUMIF('1 lentelė'!H12:H111,"SB(P)",'1 lentelė'!V12:V111)</f>
        <v>286.7</v>
      </c>
    </row>
    <row r="18" spans="1:6" ht="15.75" customHeight="1" thickBot="1">
      <c r="A18" s="35" t="s">
        <v>252</v>
      </c>
      <c r="B18" s="525">
        <f>SUMIF('1 lentelė'!H12:H111,"PF",'1 lentelė'!I12:I111)</f>
        <v>0</v>
      </c>
      <c r="C18" s="525">
        <f>SUMIF('1 lentelė'!H12:H111,"PF",'1 lentelė'!M12:M111)</f>
        <v>0</v>
      </c>
      <c r="D18" s="526">
        <f>SUMIF('1 lentelė'!H12:H111,"PF",'1 lentelė'!Q12:Q111)</f>
        <v>0</v>
      </c>
      <c r="E18" s="525">
        <f>SUMIF('1 lentelė'!H12:H111,"PF",'1 lentelė'!U12:U111)</f>
        <v>0</v>
      </c>
      <c r="F18" s="525">
        <f>SUMIF('1 lentelė'!H12:H111,"PF",'1 lentelė'!V12:V111)</f>
        <v>0</v>
      </c>
    </row>
    <row r="19" spans="1:6" ht="15.75" customHeight="1" thickBot="1">
      <c r="A19" s="40" t="s">
        <v>41</v>
      </c>
      <c r="B19" s="225">
        <f>SUM(B20:B23)</f>
        <v>19176.4</v>
      </c>
      <c r="C19" s="225">
        <f>SUM(C20:C23)</f>
        <v>15184.1</v>
      </c>
      <c r="D19" s="225">
        <f>SUM(D20:D23)</f>
        <v>15209.1</v>
      </c>
      <c r="E19" s="225">
        <f>SUM(E20:E23)</f>
        <v>9319.900000000001</v>
      </c>
      <c r="F19" s="225">
        <f>SUM(F20:F23)</f>
        <v>1418</v>
      </c>
    </row>
    <row r="20" spans="1:6" ht="15.75" customHeight="1">
      <c r="A20" s="34" t="s">
        <v>51</v>
      </c>
      <c r="B20" s="226">
        <f>SUMIF('1 lentelė'!H12:H111,"ES",'1 lentelė'!I12:I111)</f>
        <v>13228.1</v>
      </c>
      <c r="C20" s="226">
        <f>SUMIF('1 lentelė'!H12:H111,"ES",'1 lentelė'!M12:M111)</f>
        <v>11393.7</v>
      </c>
      <c r="D20" s="394">
        <f>SUMIF('1 lentelė'!H12:H111,"ES",'1 lentelė'!Q12:Q111)</f>
        <v>11393.7</v>
      </c>
      <c r="E20" s="226">
        <f>SUMIF('1 lentelė'!H12:H111,"ES",'1 lentelė'!U12:U111)</f>
        <v>7949.900000000001</v>
      </c>
      <c r="F20" s="226">
        <f>SUMIF('1 lentelė'!H12:H111,"ES",'1 lentelė'!V12:V111)</f>
        <v>1416</v>
      </c>
    </row>
    <row r="21" spans="1:6" ht="15.75" customHeight="1">
      <c r="A21" s="35" t="s">
        <v>55</v>
      </c>
      <c r="B21" s="226">
        <f>SUMIF('1 lentelė'!H12:H111,"KPP",'1 lentelė'!I12:I111)</f>
        <v>4392.1</v>
      </c>
      <c r="C21" s="226">
        <f>SUMIF('1 lentelė'!H12:H111,"KPP",'1 lentelė'!M12:M111)</f>
        <v>1200</v>
      </c>
      <c r="D21" s="394">
        <f>SUMIF('1 lentelė'!H12:H111,"KPP",'1 lentelė'!Q12:Q111)</f>
        <v>1155</v>
      </c>
      <c r="E21" s="226">
        <f>SUMIF('1 lentelė'!H12:H111,"KPP",'1 lentelė'!U12:U111)</f>
        <v>0</v>
      </c>
      <c r="F21" s="226">
        <f>SUMIF('1 lentelė'!H12:H111,"KPP",'1 lentelė'!V12:V111)</f>
        <v>0</v>
      </c>
    </row>
    <row r="22" spans="1:6" ht="15.75" customHeight="1">
      <c r="A22" s="37" t="s">
        <v>90</v>
      </c>
      <c r="B22" s="226">
        <f>SUMIF('1 lentelė'!H12:H111,"LRVB",'1 lentelė'!I12:I111)</f>
        <v>1556.2</v>
      </c>
      <c r="C22" s="226">
        <f>SUMIF('1 lentelė'!H12:H111,"LRVB",'1 lentelė'!M12:M111)</f>
        <v>1197.3</v>
      </c>
      <c r="D22" s="394">
        <f>SUMIF('1 lentelė'!H12:H111,"LRVB",'1 lentelė'!Q12:Q111)</f>
        <v>1197.3</v>
      </c>
      <c r="E22" s="226">
        <f>SUMIF('1 lentelė'!H12:H111,"LRVB",'1 lentelė'!U12:U111)</f>
        <v>686.9</v>
      </c>
      <c r="F22" s="226">
        <f>SUMIF('1 lentelė'!H12:H111,"LRVB",'1 lentelė'!V12:V111)</f>
        <v>1</v>
      </c>
    </row>
    <row r="23" spans="1:6" ht="15.75" customHeight="1" thickBot="1">
      <c r="A23" s="85" t="s">
        <v>91</v>
      </c>
      <c r="B23" s="226">
        <f>SUMIF('1 lentelė'!H12:H111,"Kt",'1 lentelė'!I12:I111)</f>
        <v>0</v>
      </c>
      <c r="C23" s="226">
        <f>SUMIF('1 lentelė'!H12:H111,"Kt",'1 lentelė'!M12:M111)</f>
        <v>1393.1</v>
      </c>
      <c r="D23" s="394">
        <f>SUMIF('1 lentelė'!H12:H111,"Kt",'1 lentelė'!Q12:Q111)</f>
        <v>1463.1</v>
      </c>
      <c r="E23" s="226">
        <f>SUMIF('1 lentelė'!H12:H111,"Kt",'1 lentelė'!U12:U111)</f>
        <v>683.1</v>
      </c>
      <c r="F23" s="226">
        <f>SUMIF('1 lentelė'!H12:H111,"Kt",'1 lentelė'!V12:V111)</f>
        <v>1</v>
      </c>
    </row>
    <row r="24" spans="1:6" ht="15.75" customHeight="1">
      <c r="A24" s="602"/>
      <c r="B24" s="599"/>
      <c r="C24" s="599"/>
      <c r="D24" s="599"/>
      <c r="E24" s="599"/>
      <c r="F24" s="599"/>
    </row>
    <row r="25" spans="1:6" ht="15.75" customHeight="1">
      <c r="A25" s="601"/>
      <c r="B25" s="601"/>
      <c r="C25" s="601"/>
      <c r="D25" s="601"/>
      <c r="E25" s="601"/>
      <c r="F25" s="601"/>
    </row>
    <row r="26" ht="12.75">
      <c r="A26" s="10"/>
    </row>
  </sheetData>
  <sheetProtection/>
  <mergeCells count="7">
    <mergeCell ref="A2:F2"/>
    <mergeCell ref="A4:A7"/>
    <mergeCell ref="E4:E7"/>
    <mergeCell ref="F4:F7"/>
    <mergeCell ref="B4:B7"/>
    <mergeCell ref="C4:C7"/>
    <mergeCell ref="D4:D7"/>
  </mergeCells>
  <printOptions/>
  <pageMargins left="0.7874015748031497" right="0.7480314960629921" top="0.7874015748031497" bottom="0.7874015748031497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="101" zoomScaleNormal="10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3.7109375" style="69" customWidth="1"/>
    <col min="2" max="2" width="70.7109375" style="69" customWidth="1"/>
    <col min="3" max="3" width="12.7109375" style="69" customWidth="1"/>
    <col min="4" max="4" width="9.7109375" style="69" customWidth="1"/>
    <col min="5" max="7" width="9.7109375" style="282" customWidth="1"/>
    <col min="8" max="16384" width="9.140625" style="69" customWidth="1"/>
  </cols>
  <sheetData>
    <row r="1" spans="1:7" s="13" customFormat="1" ht="15.75" customHeight="1">
      <c r="A1" s="44"/>
      <c r="B1" s="44" t="s">
        <v>62</v>
      </c>
      <c r="C1" s="45"/>
      <c r="D1" s="45"/>
      <c r="E1" s="46"/>
      <c r="F1" s="47"/>
      <c r="G1" s="47" t="s">
        <v>63</v>
      </c>
    </row>
    <row r="2" spans="1:7" ht="27" customHeight="1">
      <c r="A2" s="48"/>
      <c r="B2" s="49" t="s">
        <v>64</v>
      </c>
      <c r="C2" s="50" t="s">
        <v>65</v>
      </c>
      <c r="D2" s="51" t="s">
        <v>8</v>
      </c>
      <c r="E2" s="52"/>
      <c r="F2" s="52"/>
      <c r="G2" s="52"/>
    </row>
    <row r="3" spans="1:7" ht="15.75" customHeight="1">
      <c r="A3" s="48"/>
      <c r="B3" s="53" t="s">
        <v>66</v>
      </c>
      <c r="C3" s="54"/>
      <c r="D3" s="55"/>
      <c r="E3" s="52"/>
      <c r="F3" s="52"/>
      <c r="G3" s="52"/>
    </row>
    <row r="4" spans="1:7" ht="27" customHeight="1">
      <c r="A4" s="48"/>
      <c r="B4" s="49" t="s">
        <v>88</v>
      </c>
      <c r="C4" s="50" t="s">
        <v>65</v>
      </c>
      <c r="D4" s="51" t="s">
        <v>14</v>
      </c>
      <c r="E4" s="52"/>
      <c r="F4" s="52"/>
      <c r="G4" s="52"/>
    </row>
    <row r="5" spans="1:7" s="13" customFormat="1" ht="15.75" customHeight="1">
      <c r="A5" s="56"/>
      <c r="B5" s="53" t="s">
        <v>67</v>
      </c>
      <c r="C5" s="70"/>
      <c r="D5" s="71"/>
      <c r="E5" s="72"/>
      <c r="F5" s="72"/>
      <c r="G5" s="72"/>
    </row>
    <row r="6" spans="1:7" ht="15.75" customHeight="1">
      <c r="A6" s="57"/>
      <c r="B6" s="58"/>
      <c r="C6" s="62"/>
      <c r="D6" s="58"/>
      <c r="E6" s="62"/>
      <c r="F6" s="62"/>
      <c r="G6" s="62"/>
    </row>
    <row r="7" spans="1:7" s="83" customFormat="1" ht="18.75" customHeight="1">
      <c r="A7" s="926" t="s">
        <v>68</v>
      </c>
      <c r="B7" s="922" t="s">
        <v>69</v>
      </c>
      <c r="C7" s="922" t="s">
        <v>70</v>
      </c>
      <c r="D7" s="929" t="s">
        <v>151</v>
      </c>
      <c r="E7" s="924" t="s">
        <v>77</v>
      </c>
      <c r="F7" s="922" t="s">
        <v>97</v>
      </c>
      <c r="G7" s="922" t="s">
        <v>150</v>
      </c>
    </row>
    <row r="8" spans="1:7" s="83" customFormat="1" ht="34.5" customHeight="1">
      <c r="A8" s="927"/>
      <c r="B8" s="922"/>
      <c r="C8" s="928" t="s">
        <v>42</v>
      </c>
      <c r="D8" s="930"/>
      <c r="E8" s="925"/>
      <c r="F8" s="923"/>
      <c r="G8" s="923"/>
    </row>
    <row r="9" spans="1:7" ht="15.75" customHeight="1">
      <c r="A9" s="63" t="s">
        <v>76</v>
      </c>
      <c r="B9" s="285" t="s">
        <v>71</v>
      </c>
      <c r="C9" s="286"/>
      <c r="D9" s="287"/>
      <c r="E9" s="287"/>
      <c r="F9" s="287"/>
      <c r="G9" s="287"/>
    </row>
    <row r="10" spans="1:7" ht="15.75" customHeight="1">
      <c r="A10" s="60"/>
      <c r="B10" s="288" t="s">
        <v>72</v>
      </c>
      <c r="C10" s="289"/>
      <c r="D10" s="290"/>
      <c r="E10" s="290"/>
      <c r="F10" s="290"/>
      <c r="G10" s="290"/>
    </row>
    <row r="11" spans="1:7" ht="15.75" customHeight="1">
      <c r="A11" s="60"/>
      <c r="B11" s="291" t="s">
        <v>204</v>
      </c>
      <c r="C11" s="292" t="s">
        <v>78</v>
      </c>
      <c r="D11" s="293">
        <v>0</v>
      </c>
      <c r="E11" s="293">
        <v>0</v>
      </c>
      <c r="F11" s="293">
        <v>0</v>
      </c>
      <c r="G11" s="293">
        <v>0</v>
      </c>
    </row>
    <row r="12" spans="1:7" s="14" customFormat="1" ht="15.75" customHeight="1">
      <c r="A12" s="60"/>
      <c r="B12" s="294" t="s">
        <v>205</v>
      </c>
      <c r="C12" s="292" t="s">
        <v>108</v>
      </c>
      <c r="D12" s="293">
        <v>99</v>
      </c>
      <c r="E12" s="293">
        <v>99.2</v>
      </c>
      <c r="F12" s="295">
        <v>99.4</v>
      </c>
      <c r="G12" s="295">
        <v>99.4</v>
      </c>
    </row>
    <row r="13" spans="1:7" s="14" customFormat="1" ht="27" customHeight="1">
      <c r="A13" s="60"/>
      <c r="B13" s="296" t="s">
        <v>173</v>
      </c>
      <c r="C13" s="292" t="s">
        <v>109</v>
      </c>
      <c r="D13" s="293">
        <v>97.5</v>
      </c>
      <c r="E13" s="293">
        <v>97.8</v>
      </c>
      <c r="F13" s="295">
        <v>97.9</v>
      </c>
      <c r="G13" s="295">
        <v>97.9</v>
      </c>
    </row>
    <row r="14" spans="1:7" s="14" customFormat="1" ht="15.75" customHeight="1">
      <c r="A14" s="60"/>
      <c r="B14" s="296" t="s">
        <v>170</v>
      </c>
      <c r="C14" s="292" t="s">
        <v>171</v>
      </c>
      <c r="D14" s="293" t="s">
        <v>172</v>
      </c>
      <c r="E14" s="293" t="s">
        <v>172</v>
      </c>
      <c r="F14" s="293" t="s">
        <v>172</v>
      </c>
      <c r="G14" s="293" t="s">
        <v>172</v>
      </c>
    </row>
    <row r="15" spans="1:7" s="14" customFormat="1" ht="27" customHeight="1">
      <c r="A15" s="60"/>
      <c r="B15" s="296" t="s">
        <v>174</v>
      </c>
      <c r="C15" s="292" t="s">
        <v>176</v>
      </c>
      <c r="D15" s="293">
        <v>574.5</v>
      </c>
      <c r="E15" s="293">
        <v>574.5</v>
      </c>
      <c r="F15" s="293">
        <v>574.5</v>
      </c>
      <c r="G15" s="293">
        <v>574.5</v>
      </c>
    </row>
    <row r="16" spans="1:7" s="14" customFormat="1" ht="15.75" customHeight="1">
      <c r="A16" s="60"/>
      <c r="B16" s="296" t="s">
        <v>175</v>
      </c>
      <c r="C16" s="292" t="s">
        <v>177</v>
      </c>
      <c r="D16" s="293">
        <v>106</v>
      </c>
      <c r="E16" s="293">
        <v>102</v>
      </c>
      <c r="F16" s="293">
        <v>98</v>
      </c>
      <c r="G16" s="293">
        <v>96</v>
      </c>
    </row>
    <row r="17" spans="1:7" ht="15.75" customHeight="1">
      <c r="A17" s="60"/>
      <c r="B17" s="98" t="s">
        <v>73</v>
      </c>
      <c r="C17" s="94"/>
      <c r="D17" s="97"/>
      <c r="E17" s="96"/>
      <c r="F17" s="95"/>
      <c r="G17" s="95"/>
    </row>
    <row r="18" spans="1:7" ht="15.75" customHeight="1">
      <c r="A18" s="60"/>
      <c r="B18" s="93" t="s">
        <v>72</v>
      </c>
      <c r="C18" s="94"/>
      <c r="D18" s="95"/>
      <c r="E18" s="95"/>
      <c r="F18" s="95"/>
      <c r="G18" s="95"/>
    </row>
    <row r="19" spans="1:7" ht="15.75" customHeight="1">
      <c r="A19" s="60"/>
      <c r="B19" s="99" t="s">
        <v>74</v>
      </c>
      <c r="C19" s="94"/>
      <c r="D19" s="95"/>
      <c r="E19" s="95"/>
      <c r="F19" s="95"/>
      <c r="G19" s="95"/>
    </row>
    <row r="20" spans="1:7" ht="15.75" customHeight="1">
      <c r="A20" s="60"/>
      <c r="B20" s="108" t="s">
        <v>84</v>
      </c>
      <c r="C20" s="95" t="s">
        <v>152</v>
      </c>
      <c r="D20" s="86">
        <v>2056</v>
      </c>
      <c r="E20" s="96">
        <v>2230</v>
      </c>
      <c r="F20" s="96">
        <v>2230</v>
      </c>
      <c r="G20" s="96">
        <v>2230</v>
      </c>
    </row>
    <row r="21" spans="1:7" ht="15.75" customHeight="1">
      <c r="A21" s="59"/>
      <c r="B21" s="109" t="s">
        <v>114</v>
      </c>
      <c r="C21" s="95" t="s">
        <v>153</v>
      </c>
      <c r="D21" s="101">
        <v>10000</v>
      </c>
      <c r="E21" s="101">
        <v>10261</v>
      </c>
      <c r="F21" s="101">
        <v>10261</v>
      </c>
      <c r="G21" s="101">
        <v>10261</v>
      </c>
    </row>
    <row r="22" spans="1:7" ht="15.75" customHeight="1">
      <c r="A22" s="59"/>
      <c r="B22" s="109" t="s">
        <v>86</v>
      </c>
      <c r="C22" s="95" t="s">
        <v>154</v>
      </c>
      <c r="D22" s="96">
        <v>20202</v>
      </c>
      <c r="E22" s="103">
        <v>22547</v>
      </c>
      <c r="F22" s="96">
        <v>22547</v>
      </c>
      <c r="G22" s="96">
        <v>22547</v>
      </c>
    </row>
    <row r="23" spans="1:7" ht="15.75" customHeight="1">
      <c r="A23" s="59"/>
      <c r="B23" s="109" t="s">
        <v>85</v>
      </c>
      <c r="C23" s="95" t="s">
        <v>155</v>
      </c>
      <c r="D23" s="101">
        <v>23338</v>
      </c>
      <c r="E23" s="101">
        <v>23338</v>
      </c>
      <c r="F23" s="101">
        <v>23338</v>
      </c>
      <c r="G23" s="101">
        <v>23338</v>
      </c>
    </row>
    <row r="24" spans="1:7" ht="15.75" customHeight="1">
      <c r="A24" s="59"/>
      <c r="B24" s="110" t="s">
        <v>59</v>
      </c>
      <c r="C24" s="95" t="s">
        <v>156</v>
      </c>
      <c r="D24" s="100" t="s">
        <v>169</v>
      </c>
      <c r="E24" s="100" t="s">
        <v>180</v>
      </c>
      <c r="F24" s="100" t="s">
        <v>180</v>
      </c>
      <c r="G24" s="100" t="s">
        <v>180</v>
      </c>
    </row>
    <row r="25" spans="1:7" ht="15.75" customHeight="1">
      <c r="A25" s="59"/>
      <c r="B25" s="110" t="s">
        <v>16</v>
      </c>
      <c r="C25" s="95" t="s">
        <v>157</v>
      </c>
      <c r="D25" s="100" t="s">
        <v>168</v>
      </c>
      <c r="E25" s="100" t="s">
        <v>181</v>
      </c>
      <c r="F25" s="100" t="s">
        <v>83</v>
      </c>
      <c r="G25" s="100" t="s">
        <v>83</v>
      </c>
    </row>
    <row r="26" spans="1:7" s="83" customFormat="1" ht="15.75" customHeight="1">
      <c r="A26" s="61"/>
      <c r="B26" s="104" t="s">
        <v>111</v>
      </c>
      <c r="C26" s="95" t="s">
        <v>158</v>
      </c>
      <c r="D26" s="95"/>
      <c r="E26" s="95">
        <v>1765</v>
      </c>
      <c r="F26" s="95">
        <v>1765</v>
      </c>
      <c r="G26" s="95">
        <v>1765</v>
      </c>
    </row>
    <row r="27" spans="1:7" ht="15.75" customHeight="1">
      <c r="A27" s="87"/>
      <c r="B27" s="108" t="s">
        <v>119</v>
      </c>
      <c r="C27" s="95" t="s">
        <v>159</v>
      </c>
      <c r="D27" s="281">
        <v>10.4</v>
      </c>
      <c r="E27" s="281">
        <v>6.8</v>
      </c>
      <c r="F27" s="281">
        <v>6.8</v>
      </c>
      <c r="G27" s="281">
        <v>6.8</v>
      </c>
    </row>
    <row r="28" spans="1:7" ht="15.75" customHeight="1">
      <c r="A28" s="87"/>
      <c r="B28" s="108" t="s">
        <v>27</v>
      </c>
      <c r="C28" s="95" t="s">
        <v>160</v>
      </c>
      <c r="D28" s="96">
        <v>13.7</v>
      </c>
      <c r="E28" s="96">
        <v>13.7</v>
      </c>
      <c r="F28" s="96">
        <v>13.7</v>
      </c>
      <c r="G28" s="96">
        <v>13.7</v>
      </c>
    </row>
    <row r="29" spans="1:7" ht="15.75" customHeight="1">
      <c r="A29" s="113"/>
      <c r="B29" s="297" t="s">
        <v>115</v>
      </c>
      <c r="C29" s="95" t="s">
        <v>161</v>
      </c>
      <c r="D29" s="100"/>
      <c r="E29" s="300" t="s">
        <v>44</v>
      </c>
      <c r="F29" s="3"/>
      <c r="G29" s="3"/>
    </row>
    <row r="30" spans="1:7" ht="15.75" customHeight="1">
      <c r="A30" s="59"/>
      <c r="B30" s="105" t="s">
        <v>148</v>
      </c>
      <c r="C30" s="95"/>
      <c r="D30" s="101"/>
      <c r="E30" s="101">
        <v>2</v>
      </c>
      <c r="F30" s="101"/>
      <c r="G30" s="101"/>
    </row>
    <row r="31" spans="1:7" ht="15.75" customHeight="1">
      <c r="A31" s="59"/>
      <c r="B31" s="99" t="s">
        <v>75</v>
      </c>
      <c r="C31" s="95"/>
      <c r="D31" s="96"/>
      <c r="E31" s="106"/>
      <c r="F31" s="106"/>
      <c r="G31" s="106"/>
    </row>
    <row r="32" spans="1:7" ht="15.75" customHeight="1">
      <c r="A32" s="59"/>
      <c r="B32" s="109" t="s">
        <v>92</v>
      </c>
      <c r="C32" s="95" t="s">
        <v>79</v>
      </c>
      <c r="D32" s="96">
        <v>17</v>
      </c>
      <c r="E32" s="86">
        <v>17</v>
      </c>
      <c r="F32" s="86">
        <v>17</v>
      </c>
      <c r="G32" s="86">
        <v>17</v>
      </c>
    </row>
    <row r="33" spans="1:7" s="13" customFormat="1" ht="16.5" customHeight="1">
      <c r="A33" s="283"/>
      <c r="B33" s="298" t="s">
        <v>149</v>
      </c>
      <c r="C33" s="95" t="s">
        <v>162</v>
      </c>
      <c r="D33" s="96"/>
      <c r="E33" s="86">
        <v>18.3</v>
      </c>
      <c r="F33" s="86"/>
      <c r="G33" s="86"/>
    </row>
    <row r="34" spans="1:7" ht="15.75" customHeight="1">
      <c r="A34" s="59"/>
      <c r="B34" s="99" t="s">
        <v>89</v>
      </c>
      <c r="C34" s="95"/>
      <c r="D34" s="96"/>
      <c r="E34" s="106"/>
      <c r="F34" s="106"/>
      <c r="G34" s="106"/>
    </row>
    <row r="35" spans="1:7" ht="15.75" customHeight="1">
      <c r="A35" s="59"/>
      <c r="B35" s="299" t="s">
        <v>206</v>
      </c>
      <c r="C35" s="94" t="s">
        <v>110</v>
      </c>
      <c r="D35" s="96"/>
      <c r="E35" s="106">
        <v>10</v>
      </c>
      <c r="F35" s="106">
        <v>10</v>
      </c>
      <c r="G35" s="106">
        <v>10</v>
      </c>
    </row>
    <row r="36" spans="1:7" ht="15.75" customHeight="1">
      <c r="A36" s="87"/>
      <c r="B36" s="109" t="s">
        <v>179</v>
      </c>
      <c r="C36" s="94" t="s">
        <v>163</v>
      </c>
      <c r="D36" s="101">
        <v>3739</v>
      </c>
      <c r="E36" s="101">
        <v>11147</v>
      </c>
      <c r="F36" s="101">
        <v>11147</v>
      </c>
      <c r="G36" s="101">
        <v>11147</v>
      </c>
    </row>
    <row r="37" spans="1:7" ht="15.75" customHeight="1">
      <c r="A37" s="87"/>
      <c r="B37" s="105" t="s">
        <v>98</v>
      </c>
      <c r="C37" s="94" t="s">
        <v>164</v>
      </c>
      <c r="D37" s="91"/>
      <c r="E37" s="92">
        <v>7</v>
      </c>
      <c r="F37" s="92">
        <v>7</v>
      </c>
      <c r="G37" s="92">
        <v>7</v>
      </c>
    </row>
    <row r="38" spans="1:7" ht="15.75" customHeight="1">
      <c r="A38" s="87"/>
      <c r="B38" s="99" t="s">
        <v>147</v>
      </c>
      <c r="C38" s="91"/>
      <c r="D38" s="91"/>
      <c r="E38" s="92"/>
      <c r="F38" s="92"/>
      <c r="G38" s="92"/>
    </row>
    <row r="39" spans="1:7" ht="15.75" customHeight="1">
      <c r="A39" s="87"/>
      <c r="B39" s="107" t="s">
        <v>57</v>
      </c>
      <c r="C39" s="95" t="s">
        <v>165</v>
      </c>
      <c r="D39" s="106">
        <v>0</v>
      </c>
      <c r="E39" s="96">
        <v>1</v>
      </c>
      <c r="F39" s="95">
        <v>1</v>
      </c>
      <c r="G39" s="95">
        <v>1</v>
      </c>
    </row>
    <row r="40" spans="1:7" ht="15.75" customHeight="1">
      <c r="A40" s="87"/>
      <c r="B40" s="107" t="s">
        <v>81</v>
      </c>
      <c r="C40" s="95" t="s">
        <v>166</v>
      </c>
      <c r="D40" s="106">
        <v>6.63</v>
      </c>
      <c r="E40" s="96">
        <v>1.4</v>
      </c>
      <c r="F40" s="96">
        <v>10.7</v>
      </c>
      <c r="G40" s="96">
        <v>10.7</v>
      </c>
    </row>
    <row r="41" spans="1:7" ht="15.75" customHeight="1">
      <c r="A41" s="87"/>
      <c r="B41" s="107" t="s">
        <v>82</v>
      </c>
      <c r="C41" s="95" t="s">
        <v>167</v>
      </c>
      <c r="D41" s="101">
        <v>5.36</v>
      </c>
      <c r="E41" s="96">
        <v>7.1</v>
      </c>
      <c r="F41" s="96">
        <v>15.8</v>
      </c>
      <c r="G41" s="96">
        <v>15.8</v>
      </c>
    </row>
    <row r="42" spans="1:7" ht="15.75" customHeight="1">
      <c r="A42" s="90"/>
      <c r="B42" s="596" t="s">
        <v>261</v>
      </c>
      <c r="C42" s="597" t="s">
        <v>260</v>
      </c>
      <c r="D42" s="102"/>
      <c r="E42" s="284"/>
      <c r="F42" s="598">
        <v>1</v>
      </c>
      <c r="G42" s="284"/>
    </row>
  </sheetData>
  <sheetProtection/>
  <mergeCells count="7">
    <mergeCell ref="G7:G8"/>
    <mergeCell ref="E7:E8"/>
    <mergeCell ref="F7:F8"/>
    <mergeCell ref="A7:A8"/>
    <mergeCell ref="B7:B8"/>
    <mergeCell ref="C7:C8"/>
    <mergeCell ref="D7:D8"/>
  </mergeCells>
  <printOptions horizontalCentered="1"/>
  <pageMargins left="0.5511811023622047" right="0.5511811023622047" top="0.1968503937007874" bottom="0.1968503937007874" header="0" footer="0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2.7109375" style="13" customWidth="1"/>
    <col min="4" max="4" width="60.7109375" style="13" customWidth="1"/>
    <col min="5" max="7" width="2.7109375" style="13" customWidth="1"/>
    <col min="8" max="8" width="7.7109375" style="13" customWidth="1"/>
    <col min="9" max="12" width="7.7109375" style="13" hidden="1" customWidth="1"/>
    <col min="13" max="16" width="7.7109375" style="42" customWidth="1"/>
    <col min="17" max="22" width="7.7109375" style="13" customWidth="1"/>
    <col min="23" max="23" width="9.140625" style="13" customWidth="1"/>
    <col min="24" max="24" width="7.140625" style="13" customWidth="1"/>
    <col min="25" max="16384" width="9.140625" style="13" customWidth="1"/>
  </cols>
  <sheetData>
    <row r="1" spans="1:22" ht="16.5" customHeight="1">
      <c r="A1" s="315"/>
      <c r="B1" s="315"/>
      <c r="C1" s="315"/>
      <c r="D1" s="383"/>
      <c r="E1" s="315"/>
      <c r="F1" s="315"/>
      <c r="G1" s="315"/>
      <c r="H1" s="315"/>
      <c r="I1" s="315"/>
      <c r="J1" s="315"/>
      <c r="K1" s="315"/>
      <c r="L1" s="315"/>
      <c r="M1" s="316"/>
      <c r="N1" s="316"/>
      <c r="O1" s="316"/>
      <c r="P1" s="316"/>
      <c r="Q1" s="315"/>
      <c r="R1" s="315"/>
      <c r="S1" s="315"/>
      <c r="T1" s="315"/>
      <c r="U1" s="315"/>
      <c r="V1" s="315"/>
    </row>
    <row r="2" spans="1:22" ht="27" customHeight="1">
      <c r="A2" s="817" t="s">
        <v>209</v>
      </c>
      <c r="B2" s="818"/>
      <c r="C2" s="818"/>
      <c r="D2" s="818"/>
      <c r="E2" s="818"/>
      <c r="F2" s="818"/>
      <c r="G2" s="818"/>
      <c r="H2" s="818"/>
      <c r="I2" s="818"/>
      <c r="J2" s="818"/>
      <c r="K2" s="818"/>
      <c r="L2" s="818"/>
      <c r="M2" s="818"/>
      <c r="N2" s="818"/>
      <c r="O2" s="818"/>
      <c r="P2" s="818"/>
      <c r="Q2" s="818"/>
      <c r="R2" s="818"/>
      <c r="S2" s="818"/>
      <c r="T2" s="818"/>
      <c r="U2" s="818"/>
      <c r="V2" s="818"/>
    </row>
    <row r="3" spans="1:22" ht="15" customHeight="1">
      <c r="A3" s="818" t="s">
        <v>210</v>
      </c>
      <c r="B3" s="818"/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818"/>
      <c r="O3" s="818"/>
      <c r="P3" s="818"/>
      <c r="Q3" s="818"/>
      <c r="R3" s="818"/>
      <c r="S3" s="818"/>
      <c r="T3" s="818"/>
      <c r="U3" s="818"/>
      <c r="V3" s="818"/>
    </row>
    <row r="4" spans="1:22" ht="15" customHeight="1" thickBo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1:22" s="4" customFormat="1" ht="36.75" customHeight="1">
      <c r="A5" s="819" t="s">
        <v>0</v>
      </c>
      <c r="B5" s="822" t="s">
        <v>1</v>
      </c>
      <c r="C5" s="822" t="s">
        <v>2</v>
      </c>
      <c r="D5" s="825" t="s">
        <v>42</v>
      </c>
      <c r="E5" s="846" t="s">
        <v>58</v>
      </c>
      <c r="F5" s="840" t="s">
        <v>251</v>
      </c>
      <c r="G5" s="939" t="s">
        <v>3</v>
      </c>
      <c r="H5" s="835" t="s">
        <v>4</v>
      </c>
      <c r="I5" s="736" t="s">
        <v>124</v>
      </c>
      <c r="J5" s="737"/>
      <c r="K5" s="737"/>
      <c r="L5" s="738"/>
      <c r="M5" s="736" t="s">
        <v>120</v>
      </c>
      <c r="N5" s="737"/>
      <c r="O5" s="737"/>
      <c r="P5" s="738"/>
      <c r="Q5" s="740" t="s">
        <v>93</v>
      </c>
      <c r="R5" s="737"/>
      <c r="S5" s="737"/>
      <c r="T5" s="852"/>
      <c r="U5" s="829" t="s">
        <v>211</v>
      </c>
      <c r="V5" s="829" t="s">
        <v>212</v>
      </c>
    </row>
    <row r="6" spans="1:22" s="4" customFormat="1" ht="15" customHeight="1">
      <c r="A6" s="820"/>
      <c r="B6" s="823"/>
      <c r="C6" s="823"/>
      <c r="D6" s="826"/>
      <c r="E6" s="847"/>
      <c r="F6" s="841"/>
      <c r="G6" s="940"/>
      <c r="H6" s="836"/>
      <c r="I6" s="805" t="s">
        <v>5</v>
      </c>
      <c r="J6" s="828" t="s">
        <v>6</v>
      </c>
      <c r="K6" s="828"/>
      <c r="L6" s="794" t="s">
        <v>94</v>
      </c>
      <c r="M6" s="805" t="s">
        <v>5</v>
      </c>
      <c r="N6" s="828" t="s">
        <v>6</v>
      </c>
      <c r="O6" s="828"/>
      <c r="P6" s="794" t="s">
        <v>94</v>
      </c>
      <c r="Q6" s="815" t="s">
        <v>5</v>
      </c>
      <c r="R6" s="828" t="s">
        <v>6</v>
      </c>
      <c r="S6" s="828"/>
      <c r="T6" s="838" t="s">
        <v>94</v>
      </c>
      <c r="U6" s="830"/>
      <c r="V6" s="830"/>
    </row>
    <row r="7" spans="1:22" s="4" customFormat="1" ht="88.5" customHeight="1" thickBot="1">
      <c r="A7" s="821"/>
      <c r="B7" s="824"/>
      <c r="C7" s="824"/>
      <c r="D7" s="827"/>
      <c r="E7" s="848"/>
      <c r="F7" s="842"/>
      <c r="G7" s="941"/>
      <c r="H7" s="837"/>
      <c r="I7" s="806"/>
      <c r="J7" s="76" t="s">
        <v>5</v>
      </c>
      <c r="K7" s="77" t="s">
        <v>95</v>
      </c>
      <c r="L7" s="795"/>
      <c r="M7" s="806"/>
      <c r="N7" s="76" t="s">
        <v>5</v>
      </c>
      <c r="O7" s="77" t="s">
        <v>95</v>
      </c>
      <c r="P7" s="795"/>
      <c r="Q7" s="816"/>
      <c r="R7" s="76" t="s">
        <v>5</v>
      </c>
      <c r="S7" s="77" t="s">
        <v>95</v>
      </c>
      <c r="T7" s="839"/>
      <c r="U7" s="831"/>
      <c r="V7" s="831"/>
    </row>
    <row r="8" spans="1:22" ht="16.5" customHeight="1">
      <c r="A8" s="853" t="s">
        <v>45</v>
      </c>
      <c r="B8" s="854"/>
      <c r="C8" s="854"/>
      <c r="D8" s="854"/>
      <c r="E8" s="854"/>
      <c r="F8" s="854"/>
      <c r="G8" s="854"/>
      <c r="H8" s="854"/>
      <c r="I8" s="854"/>
      <c r="J8" s="854"/>
      <c r="K8" s="854"/>
      <c r="L8" s="854"/>
      <c r="M8" s="854"/>
      <c r="N8" s="854"/>
      <c r="O8" s="854"/>
      <c r="P8" s="854"/>
      <c r="Q8" s="854"/>
      <c r="R8" s="854"/>
      <c r="S8" s="854"/>
      <c r="T8" s="854"/>
      <c r="U8" s="854"/>
      <c r="V8" s="855"/>
    </row>
    <row r="9" spans="1:22" ht="16.5" customHeight="1">
      <c r="A9" s="964" t="s">
        <v>52</v>
      </c>
      <c r="B9" s="965"/>
      <c r="C9" s="965"/>
      <c r="D9" s="965"/>
      <c r="E9" s="965"/>
      <c r="F9" s="965"/>
      <c r="G9" s="965"/>
      <c r="H9" s="965"/>
      <c r="I9" s="965"/>
      <c r="J9" s="965"/>
      <c r="K9" s="965"/>
      <c r="L9" s="965"/>
      <c r="M9" s="965"/>
      <c r="N9" s="965"/>
      <c r="O9" s="965"/>
      <c r="P9" s="965"/>
      <c r="Q9" s="965"/>
      <c r="R9" s="965"/>
      <c r="S9" s="965"/>
      <c r="T9" s="965"/>
      <c r="U9" s="965"/>
      <c r="V9" s="966"/>
    </row>
    <row r="10" spans="1:22" ht="16.5" customHeight="1" thickBot="1">
      <c r="A10" s="22" t="s">
        <v>7</v>
      </c>
      <c r="B10" s="856" t="s">
        <v>213</v>
      </c>
      <c r="C10" s="857"/>
      <c r="D10" s="857"/>
      <c r="E10" s="857"/>
      <c r="F10" s="857"/>
      <c r="G10" s="857"/>
      <c r="H10" s="857"/>
      <c r="I10" s="857"/>
      <c r="J10" s="857"/>
      <c r="K10" s="857"/>
      <c r="L10" s="857"/>
      <c r="M10" s="857"/>
      <c r="N10" s="857"/>
      <c r="O10" s="857"/>
      <c r="P10" s="857"/>
      <c r="Q10" s="857"/>
      <c r="R10" s="857"/>
      <c r="S10" s="857"/>
      <c r="T10" s="857"/>
      <c r="U10" s="857"/>
      <c r="V10" s="858"/>
    </row>
    <row r="11" spans="1:22" ht="16.5" customHeight="1" thickBot="1">
      <c r="A11" s="20" t="s">
        <v>7</v>
      </c>
      <c r="B11" s="1" t="s">
        <v>7</v>
      </c>
      <c r="C11" s="849" t="s">
        <v>127</v>
      </c>
      <c r="D11" s="850"/>
      <c r="E11" s="850"/>
      <c r="F11" s="850"/>
      <c r="G11" s="850"/>
      <c r="H11" s="850"/>
      <c r="I11" s="850"/>
      <c r="J11" s="850"/>
      <c r="K11" s="850"/>
      <c r="L11" s="850"/>
      <c r="M11" s="850"/>
      <c r="N11" s="850"/>
      <c r="O11" s="850"/>
      <c r="P11" s="850"/>
      <c r="Q11" s="850"/>
      <c r="R11" s="850"/>
      <c r="S11" s="850"/>
      <c r="T11" s="850"/>
      <c r="U11" s="850"/>
      <c r="V11" s="851"/>
    </row>
    <row r="12" spans="1:22" ht="16.5" customHeight="1">
      <c r="A12" s="792" t="s">
        <v>7</v>
      </c>
      <c r="B12" s="699" t="s">
        <v>7</v>
      </c>
      <c r="C12" s="760" t="s">
        <v>7</v>
      </c>
      <c r="D12" s="970" t="s">
        <v>214</v>
      </c>
      <c r="E12" s="971"/>
      <c r="F12" s="716" t="s">
        <v>15</v>
      </c>
      <c r="G12" s="967" t="s">
        <v>116</v>
      </c>
      <c r="H12" s="25" t="s">
        <v>10</v>
      </c>
      <c r="I12" s="115">
        <f>J12+L12</f>
        <v>190</v>
      </c>
      <c r="J12" s="116">
        <v>190</v>
      </c>
      <c r="K12" s="116"/>
      <c r="L12" s="117"/>
      <c r="M12" s="115">
        <f>N12+P12</f>
        <v>350</v>
      </c>
      <c r="N12" s="116">
        <v>350</v>
      </c>
      <c r="O12" s="116"/>
      <c r="P12" s="117"/>
      <c r="Q12" s="407">
        <f>R12+T12</f>
        <v>190</v>
      </c>
      <c r="R12" s="432">
        <v>190</v>
      </c>
      <c r="S12" s="432"/>
      <c r="T12" s="456"/>
      <c r="U12" s="118">
        <v>190</v>
      </c>
      <c r="V12" s="119">
        <v>190</v>
      </c>
    </row>
    <row r="13" spans="1:22" ht="16.5" customHeight="1">
      <c r="A13" s="781"/>
      <c r="B13" s="780"/>
      <c r="C13" s="969"/>
      <c r="D13" s="776"/>
      <c r="E13" s="972"/>
      <c r="F13" s="804"/>
      <c r="G13" s="948"/>
      <c r="H13" s="33"/>
      <c r="I13" s="120">
        <f>J13+L13</f>
        <v>0</v>
      </c>
      <c r="J13" s="121"/>
      <c r="K13" s="121"/>
      <c r="L13" s="122"/>
      <c r="M13" s="120">
        <f>N13+P13</f>
        <v>0</v>
      </c>
      <c r="N13" s="121"/>
      <c r="O13" s="121"/>
      <c r="P13" s="122"/>
      <c r="Q13" s="410">
        <f>R13+T13</f>
        <v>0</v>
      </c>
      <c r="R13" s="457"/>
      <c r="S13" s="457"/>
      <c r="T13" s="458"/>
      <c r="U13" s="123"/>
      <c r="V13" s="124"/>
    </row>
    <row r="14" spans="1:22" ht="16.5" customHeight="1" thickBot="1">
      <c r="A14" s="793"/>
      <c r="B14" s="800"/>
      <c r="C14" s="803"/>
      <c r="D14" s="776"/>
      <c r="E14" s="973"/>
      <c r="F14" s="804"/>
      <c r="G14" s="968"/>
      <c r="H14" s="396" t="s">
        <v>19</v>
      </c>
      <c r="I14" s="397">
        <f aca="true" t="shared" si="0" ref="I14:V14">SUM(I12:I13)</f>
        <v>190</v>
      </c>
      <c r="J14" s="398">
        <f t="shared" si="0"/>
        <v>190</v>
      </c>
      <c r="K14" s="398">
        <f t="shared" si="0"/>
        <v>0</v>
      </c>
      <c r="L14" s="399">
        <f t="shared" si="0"/>
        <v>0</v>
      </c>
      <c r="M14" s="397">
        <f t="shared" si="0"/>
        <v>350</v>
      </c>
      <c r="N14" s="398">
        <f t="shared" si="0"/>
        <v>350</v>
      </c>
      <c r="O14" s="398">
        <f t="shared" si="0"/>
        <v>0</v>
      </c>
      <c r="P14" s="399">
        <f t="shared" si="0"/>
        <v>0</v>
      </c>
      <c r="Q14" s="397">
        <f t="shared" si="0"/>
        <v>190</v>
      </c>
      <c r="R14" s="398">
        <f t="shared" si="0"/>
        <v>190</v>
      </c>
      <c r="S14" s="398">
        <f t="shared" si="0"/>
        <v>0</v>
      </c>
      <c r="T14" s="399">
        <f t="shared" si="0"/>
        <v>0</v>
      </c>
      <c r="U14" s="495">
        <f t="shared" si="0"/>
        <v>190</v>
      </c>
      <c r="V14" s="481">
        <f t="shared" si="0"/>
        <v>190</v>
      </c>
    </row>
    <row r="15" spans="1:22" ht="16.5" customHeight="1">
      <c r="A15" s="311" t="s">
        <v>7</v>
      </c>
      <c r="B15" s="308" t="s">
        <v>7</v>
      </c>
      <c r="C15" s="627" t="s">
        <v>8</v>
      </c>
      <c r="D15" s="634" t="s">
        <v>215</v>
      </c>
      <c r="E15" s="950" t="s">
        <v>103</v>
      </c>
      <c r="F15" s="636" t="s">
        <v>15</v>
      </c>
      <c r="G15" s="945" t="s">
        <v>116</v>
      </c>
      <c r="H15" s="29" t="s">
        <v>10</v>
      </c>
      <c r="I15" s="115">
        <f>J15+L15</f>
        <v>28.2</v>
      </c>
      <c r="J15" s="125">
        <v>28.2</v>
      </c>
      <c r="K15" s="125"/>
      <c r="L15" s="126"/>
      <c r="M15" s="115">
        <f>N15+P15</f>
        <v>38.7</v>
      </c>
      <c r="N15" s="160">
        <v>38.7</v>
      </c>
      <c r="O15" s="128"/>
      <c r="P15" s="129"/>
      <c r="Q15" s="407">
        <f>R15+T15</f>
        <v>29</v>
      </c>
      <c r="R15" s="408">
        <f>11+18</f>
        <v>29</v>
      </c>
      <c r="S15" s="408"/>
      <c r="T15" s="409"/>
      <c r="U15" s="130">
        <v>38.7</v>
      </c>
      <c r="V15" s="131">
        <v>38.7</v>
      </c>
    </row>
    <row r="16" spans="1:22" ht="16.5" customHeight="1">
      <c r="A16" s="312"/>
      <c r="B16" s="309"/>
      <c r="C16" s="628"/>
      <c r="D16" s="632"/>
      <c r="E16" s="951"/>
      <c r="F16" s="637"/>
      <c r="G16" s="946"/>
      <c r="H16" s="26"/>
      <c r="I16" s="120">
        <f>J16+L16</f>
        <v>0</v>
      </c>
      <c r="J16" s="132"/>
      <c r="K16" s="133"/>
      <c r="L16" s="134"/>
      <c r="M16" s="120">
        <f>N16+P16</f>
        <v>0</v>
      </c>
      <c r="N16" s="133"/>
      <c r="O16" s="133"/>
      <c r="P16" s="135"/>
      <c r="Q16" s="410">
        <f>R16+T16</f>
        <v>0</v>
      </c>
      <c r="R16" s="419"/>
      <c r="S16" s="420"/>
      <c r="T16" s="421"/>
      <c r="U16" s="136"/>
      <c r="V16" s="137"/>
    </row>
    <row r="17" spans="1:22" ht="16.5" customHeight="1" thickBot="1">
      <c r="A17" s="313"/>
      <c r="B17" s="310"/>
      <c r="C17" s="629"/>
      <c r="D17" s="633"/>
      <c r="E17" s="952"/>
      <c r="F17" s="638"/>
      <c r="G17" s="947"/>
      <c r="H17" s="401" t="s">
        <v>19</v>
      </c>
      <c r="I17" s="397">
        <f aca="true" t="shared" si="1" ref="I17:V17">SUM(I15:I16)</f>
        <v>28.2</v>
      </c>
      <c r="J17" s="398">
        <f t="shared" si="1"/>
        <v>28.2</v>
      </c>
      <c r="K17" s="398">
        <f t="shared" si="1"/>
        <v>0</v>
      </c>
      <c r="L17" s="399">
        <f t="shared" si="1"/>
        <v>0</v>
      </c>
      <c r="M17" s="397">
        <f t="shared" si="1"/>
        <v>38.7</v>
      </c>
      <c r="N17" s="398">
        <f t="shared" si="1"/>
        <v>38.7</v>
      </c>
      <c r="O17" s="398">
        <f t="shared" si="1"/>
        <v>0</v>
      </c>
      <c r="P17" s="399">
        <f t="shared" si="1"/>
        <v>0</v>
      </c>
      <c r="Q17" s="397">
        <f t="shared" si="1"/>
        <v>29</v>
      </c>
      <c r="R17" s="398">
        <f t="shared" si="1"/>
        <v>29</v>
      </c>
      <c r="S17" s="398">
        <f t="shared" si="1"/>
        <v>0</v>
      </c>
      <c r="T17" s="399">
        <f t="shared" si="1"/>
        <v>0</v>
      </c>
      <c r="U17" s="495">
        <f t="shared" si="1"/>
        <v>38.7</v>
      </c>
      <c r="V17" s="481">
        <f t="shared" si="1"/>
        <v>38.7</v>
      </c>
    </row>
    <row r="18" spans="1:22" ht="16.5" customHeight="1">
      <c r="A18" s="781" t="s">
        <v>7</v>
      </c>
      <c r="B18" s="780" t="s">
        <v>7</v>
      </c>
      <c r="C18" s="628" t="s">
        <v>9</v>
      </c>
      <c r="D18" s="956" t="s">
        <v>216</v>
      </c>
      <c r="E18" s="974"/>
      <c r="F18" s="758" t="s">
        <v>15</v>
      </c>
      <c r="G18" s="948" t="s">
        <v>116</v>
      </c>
      <c r="H18" s="317" t="s">
        <v>10</v>
      </c>
      <c r="I18" s="115">
        <f>J18+L18</f>
        <v>180</v>
      </c>
      <c r="J18" s="125">
        <v>180</v>
      </c>
      <c r="K18" s="125"/>
      <c r="L18" s="126"/>
      <c r="M18" s="115">
        <f>N18+P18</f>
        <v>89.7</v>
      </c>
      <c r="N18" s="116">
        <v>89.7</v>
      </c>
      <c r="O18" s="128"/>
      <c r="P18" s="138"/>
      <c r="Q18" s="407">
        <f>R18+T18</f>
        <v>107.9</v>
      </c>
      <c r="R18" s="408">
        <v>89.7</v>
      </c>
      <c r="S18" s="408"/>
      <c r="T18" s="409">
        <v>18.2</v>
      </c>
      <c r="U18" s="318">
        <v>330</v>
      </c>
      <c r="V18" s="139"/>
    </row>
    <row r="19" spans="1:22" ht="16.5" customHeight="1">
      <c r="A19" s="697"/>
      <c r="B19" s="700"/>
      <c r="C19" s="628"/>
      <c r="D19" s="956"/>
      <c r="E19" s="974"/>
      <c r="F19" s="758"/>
      <c r="G19" s="943"/>
      <c r="H19" s="43"/>
      <c r="I19" s="120">
        <f>J19+L19</f>
        <v>0</v>
      </c>
      <c r="J19" s="121"/>
      <c r="K19" s="121"/>
      <c r="L19" s="122"/>
      <c r="M19" s="140">
        <f>N19+P19</f>
        <v>0</v>
      </c>
      <c r="N19" s="141"/>
      <c r="O19" s="319"/>
      <c r="P19" s="142"/>
      <c r="Q19" s="422">
        <f>R19+T19</f>
        <v>0</v>
      </c>
      <c r="R19" s="423"/>
      <c r="S19" s="423"/>
      <c r="T19" s="496"/>
      <c r="U19" s="143"/>
      <c r="V19" s="144"/>
    </row>
    <row r="20" spans="1:22" ht="16.5" customHeight="1" thickBot="1">
      <c r="A20" s="782"/>
      <c r="B20" s="701"/>
      <c r="C20" s="629"/>
      <c r="D20" s="957"/>
      <c r="E20" s="975"/>
      <c r="F20" s="759"/>
      <c r="G20" s="949"/>
      <c r="H20" s="402" t="s">
        <v>19</v>
      </c>
      <c r="I20" s="397">
        <f aca="true" t="shared" si="2" ref="I20:V20">SUM(I18:I19)</f>
        <v>180</v>
      </c>
      <c r="J20" s="398">
        <f t="shared" si="2"/>
        <v>180</v>
      </c>
      <c r="K20" s="398">
        <f t="shared" si="2"/>
        <v>0</v>
      </c>
      <c r="L20" s="399">
        <f t="shared" si="2"/>
        <v>0</v>
      </c>
      <c r="M20" s="397">
        <f t="shared" si="2"/>
        <v>89.7</v>
      </c>
      <c r="N20" s="398">
        <f t="shared" si="2"/>
        <v>89.7</v>
      </c>
      <c r="O20" s="398">
        <f t="shared" si="2"/>
        <v>0</v>
      </c>
      <c r="P20" s="399">
        <f t="shared" si="2"/>
        <v>0</v>
      </c>
      <c r="Q20" s="397">
        <f t="shared" si="2"/>
        <v>107.9</v>
      </c>
      <c r="R20" s="398">
        <f t="shared" si="2"/>
        <v>89.7</v>
      </c>
      <c r="S20" s="398">
        <f t="shared" si="2"/>
        <v>0</v>
      </c>
      <c r="T20" s="399">
        <f t="shared" si="2"/>
        <v>18.2</v>
      </c>
      <c r="U20" s="400">
        <f t="shared" si="2"/>
        <v>330</v>
      </c>
      <c r="V20" s="404">
        <f t="shared" si="2"/>
        <v>0</v>
      </c>
    </row>
    <row r="21" spans="1:22" ht="16.5" customHeight="1">
      <c r="A21" s="781" t="s">
        <v>7</v>
      </c>
      <c r="B21" s="780" t="s">
        <v>7</v>
      </c>
      <c r="C21" s="969" t="s">
        <v>11</v>
      </c>
      <c r="D21" s="613" t="s">
        <v>112</v>
      </c>
      <c r="E21" s="548"/>
      <c r="F21" s="757" t="s">
        <v>15</v>
      </c>
      <c r="G21" s="942" t="s">
        <v>116</v>
      </c>
      <c r="H21" s="29" t="s">
        <v>10</v>
      </c>
      <c r="I21" s="115">
        <f>J21+L21</f>
        <v>242</v>
      </c>
      <c r="J21" s="116">
        <v>242</v>
      </c>
      <c r="K21" s="125"/>
      <c r="L21" s="126"/>
      <c r="M21" s="115">
        <f>N21+P21</f>
        <v>440.2</v>
      </c>
      <c r="N21" s="116">
        <v>440.2</v>
      </c>
      <c r="O21" s="125"/>
      <c r="P21" s="138"/>
      <c r="Q21" s="407">
        <f>R21+T21</f>
        <v>262.8</v>
      </c>
      <c r="R21" s="408">
        <f>217.8+45</f>
        <v>262.8</v>
      </c>
      <c r="S21" s="408"/>
      <c r="T21" s="409">
        <v>0</v>
      </c>
      <c r="U21" s="139">
        <v>521.8</v>
      </c>
      <c r="V21" s="139">
        <v>518.9</v>
      </c>
    </row>
    <row r="22" spans="1:22" ht="16.5" customHeight="1">
      <c r="A22" s="697"/>
      <c r="B22" s="700"/>
      <c r="C22" s="761"/>
      <c r="D22" s="613"/>
      <c r="E22" s="548"/>
      <c r="F22" s="758"/>
      <c r="G22" s="943"/>
      <c r="H22" s="43"/>
      <c r="I22" s="120">
        <f>J22+L22</f>
        <v>0</v>
      </c>
      <c r="J22" s="145"/>
      <c r="K22" s="145"/>
      <c r="L22" s="146"/>
      <c r="M22" s="120">
        <f>N22+P22</f>
        <v>0</v>
      </c>
      <c r="N22" s="145"/>
      <c r="O22" s="147"/>
      <c r="P22" s="148"/>
      <c r="Q22" s="410">
        <f>R22+T22</f>
        <v>0</v>
      </c>
      <c r="R22" s="433"/>
      <c r="S22" s="433"/>
      <c r="T22" s="434"/>
      <c r="U22" s="144"/>
      <c r="V22" s="144"/>
    </row>
    <row r="23" spans="1:22" ht="16.5" customHeight="1" thickBot="1">
      <c r="A23" s="782"/>
      <c r="B23" s="701"/>
      <c r="C23" s="762"/>
      <c r="D23" s="614"/>
      <c r="E23" s="549"/>
      <c r="F23" s="759"/>
      <c r="G23" s="944"/>
      <c r="H23" s="402" t="s">
        <v>19</v>
      </c>
      <c r="I23" s="397">
        <f aca="true" t="shared" si="3" ref="I23:V23">SUM(I21:I22)</f>
        <v>242</v>
      </c>
      <c r="J23" s="398">
        <f t="shared" si="3"/>
        <v>242</v>
      </c>
      <c r="K23" s="398">
        <f t="shared" si="3"/>
        <v>0</v>
      </c>
      <c r="L23" s="399">
        <f t="shared" si="3"/>
        <v>0</v>
      </c>
      <c r="M23" s="397">
        <f t="shared" si="3"/>
        <v>440.2</v>
      </c>
      <c r="N23" s="398">
        <f t="shared" si="3"/>
        <v>440.2</v>
      </c>
      <c r="O23" s="398">
        <f t="shared" si="3"/>
        <v>0</v>
      </c>
      <c r="P23" s="399">
        <f t="shared" si="3"/>
        <v>0</v>
      </c>
      <c r="Q23" s="397">
        <f t="shared" si="3"/>
        <v>262.8</v>
      </c>
      <c r="R23" s="398">
        <f t="shared" si="3"/>
        <v>262.8</v>
      </c>
      <c r="S23" s="398">
        <f t="shared" si="3"/>
        <v>0</v>
      </c>
      <c r="T23" s="399">
        <f t="shared" si="3"/>
        <v>0</v>
      </c>
      <c r="U23" s="400">
        <f t="shared" si="3"/>
        <v>521.8</v>
      </c>
      <c r="V23" s="404">
        <f t="shared" si="3"/>
        <v>518.9</v>
      </c>
    </row>
    <row r="24" spans="1:22" ht="16.5" customHeight="1" thickBot="1">
      <c r="A24" s="320"/>
      <c r="B24" s="321"/>
      <c r="C24" s="321"/>
      <c r="D24" s="384" t="s">
        <v>128</v>
      </c>
      <c r="E24" s="550"/>
      <c r="F24" s="555"/>
      <c r="G24" s="554"/>
      <c r="H24" s="322"/>
      <c r="I24" s="323">
        <f>SUM(I23,I20,I17,I14)</f>
        <v>640.2</v>
      </c>
      <c r="J24" s="323">
        <f aca="true" t="shared" si="4" ref="J24:V24">SUM(J23,J20,J17,J14)</f>
        <v>640.2</v>
      </c>
      <c r="K24" s="323">
        <f t="shared" si="4"/>
        <v>0</v>
      </c>
      <c r="L24" s="323">
        <f t="shared" si="4"/>
        <v>0</v>
      </c>
      <c r="M24" s="323">
        <f t="shared" si="4"/>
        <v>918.6</v>
      </c>
      <c r="N24" s="323">
        <f t="shared" si="4"/>
        <v>918.6</v>
      </c>
      <c r="O24" s="323">
        <f t="shared" si="4"/>
        <v>0</v>
      </c>
      <c r="P24" s="323">
        <f t="shared" si="4"/>
        <v>0</v>
      </c>
      <c r="Q24" s="323">
        <f t="shared" si="4"/>
        <v>589.7</v>
      </c>
      <c r="R24" s="323">
        <f t="shared" si="4"/>
        <v>571.5</v>
      </c>
      <c r="S24" s="323">
        <f t="shared" si="4"/>
        <v>0</v>
      </c>
      <c r="T24" s="323">
        <f t="shared" si="4"/>
        <v>18.2</v>
      </c>
      <c r="U24" s="323">
        <f t="shared" si="4"/>
        <v>1080.5</v>
      </c>
      <c r="V24" s="323">
        <f t="shared" si="4"/>
        <v>747.6</v>
      </c>
    </row>
    <row r="25" spans="1:22" ht="15.75" customHeight="1">
      <c r="A25" s="311" t="s">
        <v>7</v>
      </c>
      <c r="B25" s="308" t="s">
        <v>7</v>
      </c>
      <c r="C25" s="627" t="s">
        <v>14</v>
      </c>
      <c r="D25" s="979" t="s">
        <v>217</v>
      </c>
      <c r="E25" s="982" t="s">
        <v>100</v>
      </c>
      <c r="F25" s="636" t="s">
        <v>12</v>
      </c>
      <c r="G25" s="934" t="s">
        <v>116</v>
      </c>
      <c r="H25" s="29" t="s">
        <v>10</v>
      </c>
      <c r="I25" s="115">
        <f>J25+L25</f>
        <v>8373</v>
      </c>
      <c r="J25" s="125">
        <v>8373</v>
      </c>
      <c r="K25" s="125"/>
      <c r="L25" s="126"/>
      <c r="M25" s="115">
        <f>N25+P25</f>
        <v>9392.5</v>
      </c>
      <c r="N25" s="125">
        <v>9392.5</v>
      </c>
      <c r="O25" s="138"/>
      <c r="P25" s="138"/>
      <c r="Q25" s="407">
        <f>R25+T25</f>
        <v>5781</v>
      </c>
      <c r="R25" s="408">
        <f>5826-45</f>
        <v>5781</v>
      </c>
      <c r="S25" s="408"/>
      <c r="T25" s="409"/>
      <c r="U25" s="154">
        <v>6600</v>
      </c>
      <c r="V25" s="131">
        <v>6600</v>
      </c>
    </row>
    <row r="26" spans="1:22" ht="15.75" customHeight="1">
      <c r="A26" s="312"/>
      <c r="B26" s="309"/>
      <c r="C26" s="628"/>
      <c r="D26" s="980"/>
      <c r="E26" s="983"/>
      <c r="F26" s="637"/>
      <c r="G26" s="935"/>
      <c r="H26" s="114" t="s">
        <v>53</v>
      </c>
      <c r="I26" s="120">
        <f>J26+L26</f>
        <v>0</v>
      </c>
      <c r="J26" s="145"/>
      <c r="K26" s="145"/>
      <c r="L26" s="146"/>
      <c r="M26" s="120">
        <f>N26+P26</f>
        <v>0</v>
      </c>
      <c r="N26" s="145"/>
      <c r="O26" s="148"/>
      <c r="P26" s="148"/>
      <c r="Q26" s="606">
        <f>R26+T26</f>
        <v>155</v>
      </c>
      <c r="R26" s="607">
        <v>155</v>
      </c>
      <c r="S26" s="433"/>
      <c r="T26" s="434"/>
      <c r="U26" s="324"/>
      <c r="V26" s="151"/>
    </row>
    <row r="27" spans="1:22" ht="15.75" customHeight="1" thickBot="1">
      <c r="A27" s="313"/>
      <c r="B27" s="310"/>
      <c r="C27" s="629"/>
      <c r="D27" s="981"/>
      <c r="E27" s="984"/>
      <c r="F27" s="638"/>
      <c r="G27" s="936"/>
      <c r="H27" s="497" t="s">
        <v>19</v>
      </c>
      <c r="I27" s="397">
        <f aca="true" t="shared" si="5" ref="I27:V27">SUM(I25:I26)</f>
        <v>8373</v>
      </c>
      <c r="J27" s="398">
        <f t="shared" si="5"/>
        <v>8373</v>
      </c>
      <c r="K27" s="398">
        <f t="shared" si="5"/>
        <v>0</v>
      </c>
      <c r="L27" s="399">
        <f t="shared" si="5"/>
        <v>0</v>
      </c>
      <c r="M27" s="397">
        <f t="shared" si="5"/>
        <v>9392.5</v>
      </c>
      <c r="N27" s="398">
        <f t="shared" si="5"/>
        <v>9392.5</v>
      </c>
      <c r="O27" s="398">
        <f t="shared" si="5"/>
        <v>0</v>
      </c>
      <c r="P27" s="399">
        <f t="shared" si="5"/>
        <v>0</v>
      </c>
      <c r="Q27" s="397">
        <f t="shared" si="5"/>
        <v>5936</v>
      </c>
      <c r="R27" s="398">
        <f t="shared" si="5"/>
        <v>5936</v>
      </c>
      <c r="S27" s="398">
        <f t="shared" si="5"/>
        <v>0</v>
      </c>
      <c r="T27" s="399">
        <f t="shared" si="5"/>
        <v>0</v>
      </c>
      <c r="U27" s="400">
        <f t="shared" si="5"/>
        <v>6600</v>
      </c>
      <c r="V27" s="404">
        <f t="shared" si="5"/>
        <v>6600</v>
      </c>
    </row>
    <row r="28" spans="1:22" ht="15.75" customHeight="1">
      <c r="A28" s="792" t="s">
        <v>7</v>
      </c>
      <c r="B28" s="699" t="s">
        <v>7</v>
      </c>
      <c r="C28" s="760" t="s">
        <v>15</v>
      </c>
      <c r="D28" s="691" t="s">
        <v>218</v>
      </c>
      <c r="E28" s="976" t="s">
        <v>101</v>
      </c>
      <c r="F28" s="719" t="s">
        <v>12</v>
      </c>
      <c r="G28" s="985" t="s">
        <v>116</v>
      </c>
      <c r="H28" s="29" t="s">
        <v>10</v>
      </c>
      <c r="I28" s="115">
        <f>J28+L28</f>
        <v>217</v>
      </c>
      <c r="J28" s="116">
        <v>217</v>
      </c>
      <c r="K28" s="116"/>
      <c r="L28" s="117"/>
      <c r="M28" s="115">
        <f>N28+P28</f>
        <v>246</v>
      </c>
      <c r="N28" s="160">
        <v>246</v>
      </c>
      <c r="O28" s="161"/>
      <c r="P28" s="325"/>
      <c r="Q28" s="407">
        <f>R28+T28</f>
        <v>195.3</v>
      </c>
      <c r="R28" s="432">
        <v>195.3</v>
      </c>
      <c r="S28" s="432"/>
      <c r="T28" s="456"/>
      <c r="U28" s="162">
        <v>246</v>
      </c>
      <c r="V28" s="119">
        <v>246</v>
      </c>
    </row>
    <row r="29" spans="1:22" ht="15.75" customHeight="1">
      <c r="A29" s="697"/>
      <c r="B29" s="700"/>
      <c r="C29" s="761"/>
      <c r="D29" s="692"/>
      <c r="E29" s="977"/>
      <c r="F29" s="717"/>
      <c r="G29" s="986"/>
      <c r="H29" s="32" t="s">
        <v>117</v>
      </c>
      <c r="I29" s="120">
        <f>J29+L29</f>
        <v>3</v>
      </c>
      <c r="J29" s="149">
        <v>3</v>
      </c>
      <c r="K29" s="149"/>
      <c r="L29" s="150"/>
      <c r="M29" s="120">
        <f>N29+P29</f>
        <v>2.5</v>
      </c>
      <c r="N29" s="326">
        <v>2.5</v>
      </c>
      <c r="O29" s="163"/>
      <c r="P29" s="327"/>
      <c r="Q29" s="410">
        <f>R29+T29</f>
        <v>2.5</v>
      </c>
      <c r="R29" s="411">
        <v>2.5</v>
      </c>
      <c r="S29" s="411"/>
      <c r="T29" s="459"/>
      <c r="U29" s="164">
        <v>2</v>
      </c>
      <c r="V29" s="152">
        <v>2</v>
      </c>
    </row>
    <row r="30" spans="1:22" ht="15.75" customHeight="1" thickBot="1">
      <c r="A30" s="782"/>
      <c r="B30" s="701"/>
      <c r="C30" s="762"/>
      <c r="D30" s="693"/>
      <c r="E30" s="978"/>
      <c r="F30" s="720"/>
      <c r="G30" s="987"/>
      <c r="H30" s="402" t="s">
        <v>19</v>
      </c>
      <c r="I30" s="397">
        <f aca="true" t="shared" si="6" ref="I30:V30">SUM(I28:I29)</f>
        <v>220</v>
      </c>
      <c r="J30" s="398">
        <f t="shared" si="6"/>
        <v>220</v>
      </c>
      <c r="K30" s="398">
        <f t="shared" si="6"/>
        <v>0</v>
      </c>
      <c r="L30" s="399">
        <f t="shared" si="6"/>
        <v>0</v>
      </c>
      <c r="M30" s="397">
        <f t="shared" si="6"/>
        <v>248.5</v>
      </c>
      <c r="N30" s="398">
        <f t="shared" si="6"/>
        <v>248.5</v>
      </c>
      <c r="O30" s="398">
        <f t="shared" si="6"/>
        <v>0</v>
      </c>
      <c r="P30" s="399">
        <f t="shared" si="6"/>
        <v>0</v>
      </c>
      <c r="Q30" s="397">
        <f t="shared" si="6"/>
        <v>197.8</v>
      </c>
      <c r="R30" s="398">
        <f t="shared" si="6"/>
        <v>197.8</v>
      </c>
      <c r="S30" s="398">
        <f t="shared" si="6"/>
        <v>0</v>
      </c>
      <c r="T30" s="399">
        <f t="shared" si="6"/>
        <v>0</v>
      </c>
      <c r="U30" s="400">
        <f t="shared" si="6"/>
        <v>248</v>
      </c>
      <c r="V30" s="404">
        <f t="shared" si="6"/>
        <v>248</v>
      </c>
    </row>
    <row r="31" spans="1:22" ht="27" customHeight="1">
      <c r="A31" s="792" t="s">
        <v>7</v>
      </c>
      <c r="B31" s="699" t="s">
        <v>7</v>
      </c>
      <c r="C31" s="760" t="s">
        <v>133</v>
      </c>
      <c r="D31" s="328" t="s">
        <v>219</v>
      </c>
      <c r="E31" s="971"/>
      <c r="F31" s="719" t="s">
        <v>12</v>
      </c>
      <c r="G31" s="985" t="s">
        <v>116</v>
      </c>
      <c r="H31" s="29" t="s">
        <v>10</v>
      </c>
      <c r="I31" s="115">
        <f>J31+L31</f>
        <v>120.3</v>
      </c>
      <c r="J31" s="125">
        <v>120.3</v>
      </c>
      <c r="K31" s="125"/>
      <c r="L31" s="126"/>
      <c r="M31" s="115">
        <f>N31+P31</f>
        <v>131</v>
      </c>
      <c r="N31" s="127">
        <v>131</v>
      </c>
      <c r="O31" s="128"/>
      <c r="P31" s="129"/>
      <c r="Q31" s="407">
        <f>R31+T31</f>
        <v>145</v>
      </c>
      <c r="R31" s="408">
        <f>50+95</f>
        <v>145</v>
      </c>
      <c r="S31" s="408"/>
      <c r="T31" s="409"/>
      <c r="U31" s="162">
        <v>131</v>
      </c>
      <c r="V31" s="119">
        <v>131</v>
      </c>
    </row>
    <row r="32" spans="1:22" ht="15.75" customHeight="1">
      <c r="A32" s="697"/>
      <c r="B32" s="700"/>
      <c r="C32" s="761"/>
      <c r="D32" s="692" t="s">
        <v>220</v>
      </c>
      <c r="E32" s="972"/>
      <c r="F32" s="717"/>
      <c r="G32" s="986"/>
      <c r="H32" s="43" t="s">
        <v>10</v>
      </c>
      <c r="I32" s="120">
        <f>J32+L32</f>
        <v>0</v>
      </c>
      <c r="J32" s="145"/>
      <c r="K32" s="145"/>
      <c r="L32" s="146"/>
      <c r="M32" s="120">
        <f>N32+P32</f>
        <v>50</v>
      </c>
      <c r="N32" s="145">
        <v>50</v>
      </c>
      <c r="O32" s="147"/>
      <c r="P32" s="329"/>
      <c r="Q32" s="410">
        <f>R32+T32</f>
        <v>0</v>
      </c>
      <c r="R32" s="433"/>
      <c r="S32" s="433"/>
      <c r="T32" s="434"/>
      <c r="U32" s="142">
        <v>50</v>
      </c>
      <c r="V32" s="151">
        <v>50</v>
      </c>
    </row>
    <row r="33" spans="1:22" ht="15.75" customHeight="1" thickBot="1">
      <c r="A33" s="782"/>
      <c r="B33" s="701"/>
      <c r="C33" s="762"/>
      <c r="D33" s="693"/>
      <c r="E33" s="973"/>
      <c r="F33" s="720"/>
      <c r="G33" s="987"/>
      <c r="H33" s="402" t="s">
        <v>19</v>
      </c>
      <c r="I33" s="397">
        <f aca="true" t="shared" si="7" ref="I33:V33">SUM(I31:I32)</f>
        <v>120.3</v>
      </c>
      <c r="J33" s="398">
        <f t="shared" si="7"/>
        <v>120.3</v>
      </c>
      <c r="K33" s="398">
        <f t="shared" si="7"/>
        <v>0</v>
      </c>
      <c r="L33" s="399">
        <f t="shared" si="7"/>
        <v>0</v>
      </c>
      <c r="M33" s="397">
        <f t="shared" si="7"/>
        <v>181</v>
      </c>
      <c r="N33" s="398">
        <f t="shared" si="7"/>
        <v>181</v>
      </c>
      <c r="O33" s="398">
        <f t="shared" si="7"/>
        <v>0</v>
      </c>
      <c r="P33" s="399">
        <f t="shared" si="7"/>
        <v>0</v>
      </c>
      <c r="Q33" s="397">
        <f t="shared" si="7"/>
        <v>145</v>
      </c>
      <c r="R33" s="398">
        <f t="shared" si="7"/>
        <v>145</v>
      </c>
      <c r="S33" s="398">
        <f t="shared" si="7"/>
        <v>0</v>
      </c>
      <c r="T33" s="399">
        <f t="shared" si="7"/>
        <v>0</v>
      </c>
      <c r="U33" s="400">
        <f t="shared" si="7"/>
        <v>181</v>
      </c>
      <c r="V33" s="404">
        <f t="shared" si="7"/>
        <v>181</v>
      </c>
    </row>
    <row r="34" spans="1:22" ht="15.75" customHeight="1" thickBot="1">
      <c r="A34" s="320"/>
      <c r="B34" s="321"/>
      <c r="C34" s="321"/>
      <c r="D34" s="384" t="s">
        <v>129</v>
      </c>
      <c r="E34" s="558"/>
      <c r="F34" s="577"/>
      <c r="G34" s="576"/>
      <c r="H34" s="330"/>
      <c r="I34" s="323">
        <f>SUM(I33,I30,I27)</f>
        <v>8713.3</v>
      </c>
      <c r="J34" s="323">
        <f aca="true" t="shared" si="8" ref="J34:V34">SUM(J33,J30,J27)</f>
        <v>8713.3</v>
      </c>
      <c r="K34" s="323">
        <f t="shared" si="8"/>
        <v>0</v>
      </c>
      <c r="L34" s="323">
        <f t="shared" si="8"/>
        <v>0</v>
      </c>
      <c r="M34" s="323">
        <f t="shared" si="8"/>
        <v>9822</v>
      </c>
      <c r="N34" s="323">
        <f t="shared" si="8"/>
        <v>9822</v>
      </c>
      <c r="O34" s="323">
        <f t="shared" si="8"/>
        <v>0</v>
      </c>
      <c r="P34" s="323">
        <f t="shared" si="8"/>
        <v>0</v>
      </c>
      <c r="Q34" s="323">
        <f t="shared" si="8"/>
        <v>6278.8</v>
      </c>
      <c r="R34" s="323">
        <f t="shared" si="8"/>
        <v>6278.8</v>
      </c>
      <c r="S34" s="323">
        <f t="shared" si="8"/>
        <v>0</v>
      </c>
      <c r="T34" s="323">
        <f t="shared" si="8"/>
        <v>0</v>
      </c>
      <c r="U34" s="323">
        <f t="shared" si="8"/>
        <v>7029</v>
      </c>
      <c r="V34" s="323">
        <f t="shared" si="8"/>
        <v>7029</v>
      </c>
    </row>
    <row r="35" spans="1:22" ht="15.75" customHeight="1">
      <c r="A35" s="792" t="s">
        <v>7</v>
      </c>
      <c r="B35" s="699" t="s">
        <v>7</v>
      </c>
      <c r="C35" s="990" t="s">
        <v>44</v>
      </c>
      <c r="D35" s="993" t="s">
        <v>221</v>
      </c>
      <c r="E35" s="559"/>
      <c r="F35" s="534" t="s">
        <v>12</v>
      </c>
      <c r="G35" s="552" t="s">
        <v>116</v>
      </c>
      <c r="H35" s="29" t="s">
        <v>10</v>
      </c>
      <c r="I35" s="115">
        <f>J35+L35</f>
        <v>361.4</v>
      </c>
      <c r="J35" s="116">
        <v>361.4</v>
      </c>
      <c r="K35" s="116"/>
      <c r="L35" s="170"/>
      <c r="M35" s="115">
        <f>N35+P35</f>
        <v>674.4</v>
      </c>
      <c r="N35" s="116">
        <v>674.4</v>
      </c>
      <c r="O35" s="116"/>
      <c r="P35" s="117"/>
      <c r="Q35" s="407">
        <f>R35+T35</f>
        <v>325.3</v>
      </c>
      <c r="R35" s="432">
        <v>325.3</v>
      </c>
      <c r="S35" s="432"/>
      <c r="T35" s="470"/>
      <c r="U35" s="331">
        <v>674.4</v>
      </c>
      <c r="V35" s="331">
        <v>674.4</v>
      </c>
    </row>
    <row r="36" spans="1:22" ht="15.75" customHeight="1">
      <c r="A36" s="988"/>
      <c r="B36" s="989"/>
      <c r="C36" s="991"/>
      <c r="D36" s="994"/>
      <c r="E36" s="560"/>
      <c r="F36" s="3" t="s">
        <v>15</v>
      </c>
      <c r="G36" s="551"/>
      <c r="H36" s="82" t="s">
        <v>10</v>
      </c>
      <c r="I36" s="120">
        <f>J36+L36</f>
        <v>0</v>
      </c>
      <c r="J36" s="121"/>
      <c r="K36" s="121"/>
      <c r="L36" s="171"/>
      <c r="M36" s="120">
        <f>N36+P36</f>
        <v>0</v>
      </c>
      <c r="N36" s="121"/>
      <c r="O36" s="121"/>
      <c r="P36" s="122"/>
      <c r="Q36" s="410">
        <f>R36+T36</f>
        <v>0</v>
      </c>
      <c r="R36" s="457"/>
      <c r="S36" s="457"/>
      <c r="T36" s="472"/>
      <c r="U36" s="144"/>
      <c r="V36" s="144"/>
    </row>
    <row r="37" spans="1:22" ht="15.75" customHeight="1" thickBot="1">
      <c r="A37" s="782"/>
      <c r="B37" s="701"/>
      <c r="C37" s="992"/>
      <c r="D37" s="995"/>
      <c r="E37" s="561"/>
      <c r="F37" s="535"/>
      <c r="G37" s="553"/>
      <c r="H37" s="498" t="s">
        <v>19</v>
      </c>
      <c r="I37" s="397">
        <f aca="true" t="shared" si="9" ref="I37:V37">SUM(I35:I36)</f>
        <v>361.4</v>
      </c>
      <c r="J37" s="398">
        <f t="shared" si="9"/>
        <v>361.4</v>
      </c>
      <c r="K37" s="398">
        <f t="shared" si="9"/>
        <v>0</v>
      </c>
      <c r="L37" s="399">
        <f t="shared" si="9"/>
        <v>0</v>
      </c>
      <c r="M37" s="397">
        <f t="shared" si="9"/>
        <v>674.4</v>
      </c>
      <c r="N37" s="398">
        <f t="shared" si="9"/>
        <v>674.4</v>
      </c>
      <c r="O37" s="398">
        <f t="shared" si="9"/>
        <v>0</v>
      </c>
      <c r="P37" s="399">
        <f t="shared" si="9"/>
        <v>0</v>
      </c>
      <c r="Q37" s="397">
        <f t="shared" si="9"/>
        <v>325.3</v>
      </c>
      <c r="R37" s="398">
        <f t="shared" si="9"/>
        <v>325.3</v>
      </c>
      <c r="S37" s="398">
        <f t="shared" si="9"/>
        <v>0</v>
      </c>
      <c r="T37" s="399">
        <f t="shared" si="9"/>
        <v>0</v>
      </c>
      <c r="U37" s="400">
        <f t="shared" si="9"/>
        <v>674.4</v>
      </c>
      <c r="V37" s="404">
        <f t="shared" si="9"/>
        <v>674.4</v>
      </c>
    </row>
    <row r="38" spans="1:22" ht="15.75" customHeight="1">
      <c r="A38" s="697" t="s">
        <v>7</v>
      </c>
      <c r="B38" s="700" t="s">
        <v>7</v>
      </c>
      <c r="C38" s="996" t="s">
        <v>222</v>
      </c>
      <c r="D38" s="998" t="s">
        <v>223</v>
      </c>
      <c r="E38" s="562"/>
      <c r="F38" s="534" t="s">
        <v>12</v>
      </c>
      <c r="G38" s="552" t="s">
        <v>116</v>
      </c>
      <c r="H38" s="29" t="s">
        <v>10</v>
      </c>
      <c r="I38" s="115">
        <f>J38+L38</f>
        <v>25</v>
      </c>
      <c r="J38" s="149">
        <v>25</v>
      </c>
      <c r="K38" s="149">
        <v>5.1</v>
      </c>
      <c r="L38" s="150"/>
      <c r="M38" s="115">
        <f>N38+P38</f>
        <v>25.3</v>
      </c>
      <c r="N38" s="326">
        <v>25.3</v>
      </c>
      <c r="O38" s="149">
        <v>5.4</v>
      </c>
      <c r="P38" s="172"/>
      <c r="Q38" s="407">
        <f>R38+T38</f>
        <v>23.6</v>
      </c>
      <c r="R38" s="432">
        <v>23.6</v>
      </c>
      <c r="S38" s="432">
        <v>5.1</v>
      </c>
      <c r="T38" s="456"/>
      <c r="U38" s="332">
        <v>25.3</v>
      </c>
      <c r="V38" s="333">
        <v>25.3</v>
      </c>
    </row>
    <row r="39" spans="1:22" ht="15.75" customHeight="1">
      <c r="A39" s="697"/>
      <c r="B39" s="700"/>
      <c r="C39" s="997"/>
      <c r="D39" s="999"/>
      <c r="E39" s="563"/>
      <c r="F39" s="3"/>
      <c r="G39" s="551"/>
      <c r="H39" s="334" t="s">
        <v>117</v>
      </c>
      <c r="I39" s="120">
        <f>J39+L39</f>
        <v>9.4</v>
      </c>
      <c r="J39" s="121">
        <v>9.4</v>
      </c>
      <c r="K39" s="121">
        <v>7.2</v>
      </c>
      <c r="L39" s="122"/>
      <c r="M39" s="120">
        <f>N39+P39</f>
        <v>9</v>
      </c>
      <c r="N39" s="335">
        <v>9</v>
      </c>
      <c r="O39" s="121">
        <v>6.9</v>
      </c>
      <c r="P39" s="168"/>
      <c r="Q39" s="410">
        <f>R39+T39</f>
        <v>9</v>
      </c>
      <c r="R39" s="457">
        <v>9</v>
      </c>
      <c r="S39" s="457">
        <v>6.9</v>
      </c>
      <c r="T39" s="458"/>
      <c r="U39" s="142">
        <v>9</v>
      </c>
      <c r="V39" s="151">
        <v>9</v>
      </c>
    </row>
    <row r="40" spans="1:22" ht="15.75" customHeight="1" thickBot="1">
      <c r="A40" s="698"/>
      <c r="B40" s="863"/>
      <c r="C40" s="992"/>
      <c r="D40" s="1000"/>
      <c r="E40" s="564"/>
      <c r="F40" s="535"/>
      <c r="G40" s="553"/>
      <c r="H40" s="499" t="s">
        <v>19</v>
      </c>
      <c r="I40" s="397">
        <f aca="true" t="shared" si="10" ref="I40:V40">SUM(I38:I39)</f>
        <v>34.4</v>
      </c>
      <c r="J40" s="398">
        <f t="shared" si="10"/>
        <v>34.4</v>
      </c>
      <c r="K40" s="398">
        <f t="shared" si="10"/>
        <v>12.3</v>
      </c>
      <c r="L40" s="399">
        <f t="shared" si="10"/>
        <v>0</v>
      </c>
      <c r="M40" s="448">
        <f t="shared" si="10"/>
        <v>34.3</v>
      </c>
      <c r="N40" s="446">
        <f t="shared" si="10"/>
        <v>34.3</v>
      </c>
      <c r="O40" s="446">
        <f t="shared" si="10"/>
        <v>12.3</v>
      </c>
      <c r="P40" s="447">
        <f t="shared" si="10"/>
        <v>0</v>
      </c>
      <c r="Q40" s="397">
        <f t="shared" si="10"/>
        <v>32.6</v>
      </c>
      <c r="R40" s="398">
        <f t="shared" si="10"/>
        <v>32.6</v>
      </c>
      <c r="S40" s="398">
        <f t="shared" si="10"/>
        <v>12</v>
      </c>
      <c r="T40" s="399">
        <f t="shared" si="10"/>
        <v>0</v>
      </c>
      <c r="U40" s="400">
        <f t="shared" si="10"/>
        <v>34.3</v>
      </c>
      <c r="V40" s="404">
        <f t="shared" si="10"/>
        <v>34.3</v>
      </c>
    </row>
    <row r="41" spans="1:22" ht="15.75" customHeight="1">
      <c r="A41" s="311" t="s">
        <v>7</v>
      </c>
      <c r="B41" s="308" t="s">
        <v>7</v>
      </c>
      <c r="C41" s="627" t="s">
        <v>224</v>
      </c>
      <c r="D41" s="993" t="s">
        <v>225</v>
      </c>
      <c r="E41" s="961"/>
      <c r="F41" s="769" t="s">
        <v>9</v>
      </c>
      <c r="G41" s="945" t="s">
        <v>116</v>
      </c>
      <c r="H41" s="29" t="s">
        <v>10</v>
      </c>
      <c r="I41" s="115">
        <f>J41+L41</f>
        <v>1154.1</v>
      </c>
      <c r="J41" s="149">
        <v>1154.1</v>
      </c>
      <c r="K41" s="149">
        <v>802.8</v>
      </c>
      <c r="L41" s="172"/>
      <c r="M41" s="115">
        <f>N41+P41</f>
        <v>1173.5</v>
      </c>
      <c r="N41" s="127">
        <v>1173.5</v>
      </c>
      <c r="O41" s="127">
        <v>801.5</v>
      </c>
      <c r="P41" s="336"/>
      <c r="Q41" s="407">
        <f>R41+T41</f>
        <v>1091.2</v>
      </c>
      <c r="R41" s="411">
        <v>1091.2</v>
      </c>
      <c r="S41" s="411">
        <v>761.4</v>
      </c>
      <c r="T41" s="459"/>
      <c r="U41" s="337">
        <v>1173.5</v>
      </c>
      <c r="V41" s="338">
        <v>1173.5</v>
      </c>
    </row>
    <row r="42" spans="1:22" ht="15.75" customHeight="1">
      <c r="A42" s="312"/>
      <c r="B42" s="309"/>
      <c r="C42" s="628"/>
      <c r="D42" s="994"/>
      <c r="E42" s="962"/>
      <c r="F42" s="732"/>
      <c r="G42" s="946"/>
      <c r="H42" s="31" t="s">
        <v>117</v>
      </c>
      <c r="I42" s="228">
        <f>J42+L42</f>
        <v>0</v>
      </c>
      <c r="J42" s="149"/>
      <c r="K42" s="149"/>
      <c r="L42" s="172"/>
      <c r="M42" s="228">
        <f>N42+P42</f>
        <v>48.4</v>
      </c>
      <c r="N42" s="262">
        <v>16.1</v>
      </c>
      <c r="O42" s="262"/>
      <c r="P42" s="339">
        <v>32.3</v>
      </c>
      <c r="Q42" s="430">
        <f>R42+T42</f>
        <v>48.4</v>
      </c>
      <c r="R42" s="411">
        <v>16.1</v>
      </c>
      <c r="S42" s="411"/>
      <c r="T42" s="459">
        <v>32.3</v>
      </c>
      <c r="U42" s="340">
        <v>48.4</v>
      </c>
      <c r="V42" s="341">
        <v>48.4</v>
      </c>
    </row>
    <row r="43" spans="1:22" ht="15.75" customHeight="1">
      <c r="A43" s="312"/>
      <c r="B43" s="309"/>
      <c r="C43" s="628"/>
      <c r="D43" s="994"/>
      <c r="E43" s="962"/>
      <c r="F43" s="732"/>
      <c r="G43" s="946"/>
      <c r="H43" s="342" t="s">
        <v>226</v>
      </c>
      <c r="I43" s="120">
        <f>J43+L43</f>
        <v>48.400000000000006</v>
      </c>
      <c r="J43" s="121">
        <v>16.2</v>
      </c>
      <c r="K43" s="121"/>
      <c r="L43" s="171">
        <v>32.2</v>
      </c>
      <c r="M43" s="140">
        <f>N43+P43</f>
        <v>0</v>
      </c>
      <c r="N43" s="145"/>
      <c r="O43" s="343"/>
      <c r="P43" s="344"/>
      <c r="Q43" s="471">
        <f>R43+T43</f>
        <v>0</v>
      </c>
      <c r="R43" s="457"/>
      <c r="S43" s="457"/>
      <c r="T43" s="458"/>
      <c r="U43" s="345"/>
      <c r="V43" s="346"/>
    </row>
    <row r="44" spans="1:22" ht="15.75" customHeight="1" thickBot="1">
      <c r="A44" s="313"/>
      <c r="B44" s="310"/>
      <c r="C44" s="629"/>
      <c r="D44" s="995"/>
      <c r="E44" s="963"/>
      <c r="F44" s="770"/>
      <c r="G44" s="947"/>
      <c r="H44" s="499" t="s">
        <v>19</v>
      </c>
      <c r="I44" s="397">
        <f aca="true" t="shared" si="11" ref="I44:V44">SUM(I41:I43)</f>
        <v>1202.5</v>
      </c>
      <c r="J44" s="398">
        <f t="shared" si="11"/>
        <v>1170.3</v>
      </c>
      <c r="K44" s="398">
        <f t="shared" si="11"/>
        <v>802.8</v>
      </c>
      <c r="L44" s="500">
        <f t="shared" si="11"/>
        <v>32.2</v>
      </c>
      <c r="M44" s="468">
        <f t="shared" si="11"/>
        <v>1221.9</v>
      </c>
      <c r="N44" s="464">
        <f t="shared" si="11"/>
        <v>1189.6</v>
      </c>
      <c r="O44" s="464">
        <f t="shared" si="11"/>
        <v>801.5</v>
      </c>
      <c r="P44" s="466">
        <f t="shared" si="11"/>
        <v>32.3</v>
      </c>
      <c r="Q44" s="444">
        <f t="shared" si="11"/>
        <v>1139.6000000000001</v>
      </c>
      <c r="R44" s="398">
        <f t="shared" si="11"/>
        <v>1107.3</v>
      </c>
      <c r="S44" s="398">
        <f t="shared" si="11"/>
        <v>761.4</v>
      </c>
      <c r="T44" s="399">
        <f t="shared" si="11"/>
        <v>32.3</v>
      </c>
      <c r="U44" s="400">
        <f t="shared" si="11"/>
        <v>1221.9</v>
      </c>
      <c r="V44" s="404">
        <f t="shared" si="11"/>
        <v>1221.9</v>
      </c>
    </row>
    <row r="45" spans="1:22" ht="15.75" customHeight="1" thickBot="1">
      <c r="A45" s="347"/>
      <c r="B45" s="348"/>
      <c r="C45" s="348"/>
      <c r="D45" s="385" t="s">
        <v>131</v>
      </c>
      <c r="E45" s="565"/>
      <c r="F45" s="578"/>
      <c r="G45" s="554"/>
      <c r="H45" s="349"/>
      <c r="I45" s="323">
        <f>SUM(I44,I40,I37)</f>
        <v>1598.3000000000002</v>
      </c>
      <c r="J45" s="323">
        <f aca="true" t="shared" si="12" ref="J45:V45">SUM(J44,J40,J37)</f>
        <v>1566.1</v>
      </c>
      <c r="K45" s="323">
        <f t="shared" si="12"/>
        <v>815.0999999999999</v>
      </c>
      <c r="L45" s="323">
        <f t="shared" si="12"/>
        <v>32.2</v>
      </c>
      <c r="M45" s="323">
        <f t="shared" si="12"/>
        <v>1930.6</v>
      </c>
      <c r="N45" s="323">
        <f t="shared" si="12"/>
        <v>1898.2999999999997</v>
      </c>
      <c r="O45" s="323">
        <f t="shared" si="12"/>
        <v>813.8</v>
      </c>
      <c r="P45" s="323">
        <f t="shared" si="12"/>
        <v>32.3</v>
      </c>
      <c r="Q45" s="323">
        <f t="shared" si="12"/>
        <v>1497.5</v>
      </c>
      <c r="R45" s="323">
        <f t="shared" si="12"/>
        <v>1465.1999999999998</v>
      </c>
      <c r="S45" s="323">
        <f t="shared" si="12"/>
        <v>773.4</v>
      </c>
      <c r="T45" s="323">
        <f t="shared" si="12"/>
        <v>32.3</v>
      </c>
      <c r="U45" s="323">
        <f t="shared" si="12"/>
        <v>1930.6</v>
      </c>
      <c r="V45" s="323">
        <f t="shared" si="12"/>
        <v>1930.6</v>
      </c>
    </row>
    <row r="46" spans="1:22" ht="15.75" customHeight="1">
      <c r="A46" s="312" t="s">
        <v>7</v>
      </c>
      <c r="B46" s="309" t="s">
        <v>7</v>
      </c>
      <c r="C46" s="628" t="s">
        <v>227</v>
      </c>
      <c r="D46" s="634" t="s">
        <v>228</v>
      </c>
      <c r="E46" s="566"/>
      <c r="F46" s="531" t="s">
        <v>13</v>
      </c>
      <c r="G46" s="570" t="s">
        <v>116</v>
      </c>
      <c r="H46" s="29" t="s">
        <v>10</v>
      </c>
      <c r="I46" s="115">
        <f>J46+L46</f>
        <v>2934.3</v>
      </c>
      <c r="J46" s="116">
        <v>2934.3</v>
      </c>
      <c r="K46" s="116"/>
      <c r="L46" s="117"/>
      <c r="M46" s="115">
        <f>N46+P46</f>
        <v>3812.3</v>
      </c>
      <c r="N46" s="125">
        <v>3812.3</v>
      </c>
      <c r="O46" s="125"/>
      <c r="P46" s="138"/>
      <c r="Q46" s="407">
        <f>R46+T46</f>
        <v>2734.3</v>
      </c>
      <c r="R46" s="432">
        <v>2734.3</v>
      </c>
      <c r="S46" s="432"/>
      <c r="T46" s="456"/>
      <c r="U46" s="154">
        <v>3947.9</v>
      </c>
      <c r="V46" s="131">
        <v>4055.9</v>
      </c>
    </row>
    <row r="47" spans="1:22" ht="15.75" customHeight="1">
      <c r="A47" s="312"/>
      <c r="B47" s="309"/>
      <c r="C47" s="628"/>
      <c r="D47" s="632"/>
      <c r="E47" s="567"/>
      <c r="F47" s="532"/>
      <c r="G47" s="571"/>
      <c r="H47" s="31"/>
      <c r="I47" s="120">
        <f>J47+L47</f>
        <v>0</v>
      </c>
      <c r="J47" s="121"/>
      <c r="K47" s="121"/>
      <c r="L47" s="122"/>
      <c r="M47" s="120">
        <f>N47+P47</f>
        <v>0</v>
      </c>
      <c r="N47" s="145"/>
      <c r="O47" s="145"/>
      <c r="P47" s="148"/>
      <c r="Q47" s="410">
        <f>R47+T47</f>
        <v>0</v>
      </c>
      <c r="R47" s="457"/>
      <c r="S47" s="457"/>
      <c r="T47" s="458"/>
      <c r="U47" s="350"/>
      <c r="V47" s="179"/>
    </row>
    <row r="48" spans="1:22" ht="15.75" customHeight="1" thickBot="1">
      <c r="A48" s="313"/>
      <c r="B48" s="310"/>
      <c r="C48" s="629"/>
      <c r="D48" s="633"/>
      <c r="E48" s="568"/>
      <c r="F48" s="533"/>
      <c r="G48" s="572"/>
      <c r="H48" s="406" t="s">
        <v>19</v>
      </c>
      <c r="I48" s="397">
        <f aca="true" t="shared" si="13" ref="I48:V48">SUM(I46:I47)</f>
        <v>2934.3</v>
      </c>
      <c r="J48" s="398">
        <f t="shared" si="13"/>
        <v>2934.3</v>
      </c>
      <c r="K48" s="398">
        <f t="shared" si="13"/>
        <v>0</v>
      </c>
      <c r="L48" s="399">
        <f t="shared" si="13"/>
        <v>0</v>
      </c>
      <c r="M48" s="397">
        <f t="shared" si="13"/>
        <v>3812.3</v>
      </c>
      <c r="N48" s="398">
        <f t="shared" si="13"/>
        <v>3812.3</v>
      </c>
      <c r="O48" s="398">
        <f t="shared" si="13"/>
        <v>0</v>
      </c>
      <c r="P48" s="399">
        <f t="shared" si="13"/>
        <v>0</v>
      </c>
      <c r="Q48" s="397">
        <f t="shared" si="13"/>
        <v>2734.3</v>
      </c>
      <c r="R48" s="398">
        <f t="shared" si="13"/>
        <v>2734.3</v>
      </c>
      <c r="S48" s="398">
        <f t="shared" si="13"/>
        <v>0</v>
      </c>
      <c r="T48" s="399">
        <f t="shared" si="13"/>
        <v>0</v>
      </c>
      <c r="U48" s="400">
        <f t="shared" si="13"/>
        <v>3947.9</v>
      </c>
      <c r="V48" s="404">
        <f t="shared" si="13"/>
        <v>4055.9</v>
      </c>
    </row>
    <row r="49" spans="1:22" ht="15.75" customHeight="1">
      <c r="A49" s="311" t="s">
        <v>7</v>
      </c>
      <c r="B49" s="308" t="s">
        <v>7</v>
      </c>
      <c r="C49" s="627" t="s">
        <v>11</v>
      </c>
      <c r="D49" s="634" t="s">
        <v>229</v>
      </c>
      <c r="E49" s="539"/>
      <c r="F49" s="531" t="s">
        <v>13</v>
      </c>
      <c r="G49" s="570" t="s">
        <v>116</v>
      </c>
      <c r="H49" s="351" t="s">
        <v>10</v>
      </c>
      <c r="I49" s="115">
        <f>J49+L49</f>
        <v>2175</v>
      </c>
      <c r="J49" s="125">
        <v>2175</v>
      </c>
      <c r="K49" s="125"/>
      <c r="L49" s="126"/>
      <c r="M49" s="115">
        <f>N49+P49</f>
        <v>2793.9</v>
      </c>
      <c r="N49" s="125">
        <v>2793.9</v>
      </c>
      <c r="O49" s="125"/>
      <c r="P49" s="126"/>
      <c r="Q49" s="407">
        <f>R49+T49</f>
        <v>1957.5</v>
      </c>
      <c r="R49" s="408">
        <v>1957.5</v>
      </c>
      <c r="S49" s="408"/>
      <c r="T49" s="409"/>
      <c r="U49" s="191">
        <v>2175</v>
      </c>
      <c r="V49" s="131">
        <v>2175</v>
      </c>
    </row>
    <row r="50" spans="1:22" ht="15.75" customHeight="1">
      <c r="A50" s="312"/>
      <c r="B50" s="309"/>
      <c r="C50" s="628"/>
      <c r="D50" s="632"/>
      <c r="E50" s="557"/>
      <c r="F50" s="532"/>
      <c r="G50" s="571"/>
      <c r="H50" s="352"/>
      <c r="I50" s="120">
        <f>J50+L50</f>
        <v>0</v>
      </c>
      <c r="J50" s="145"/>
      <c r="K50" s="145"/>
      <c r="L50" s="146"/>
      <c r="M50" s="120">
        <f>N50+P50</f>
        <v>0</v>
      </c>
      <c r="N50" s="145"/>
      <c r="O50" s="145"/>
      <c r="P50" s="146"/>
      <c r="Q50" s="410">
        <f>R50+T50</f>
        <v>0</v>
      </c>
      <c r="R50" s="433"/>
      <c r="S50" s="433"/>
      <c r="T50" s="434"/>
      <c r="U50" s="353"/>
      <c r="V50" s="354"/>
    </row>
    <row r="51" spans="1:22" ht="15.75" customHeight="1" thickBot="1">
      <c r="A51" s="313"/>
      <c r="B51" s="310"/>
      <c r="C51" s="629"/>
      <c r="D51" s="633"/>
      <c r="E51" s="540"/>
      <c r="F51" s="533"/>
      <c r="G51" s="572"/>
      <c r="H51" s="401" t="s">
        <v>19</v>
      </c>
      <c r="I51" s="397">
        <f aca="true" t="shared" si="14" ref="I51:V51">SUM(I49:I50)</f>
        <v>2175</v>
      </c>
      <c r="J51" s="398">
        <f t="shared" si="14"/>
        <v>2175</v>
      </c>
      <c r="K51" s="398">
        <f t="shared" si="14"/>
        <v>0</v>
      </c>
      <c r="L51" s="399">
        <f t="shared" si="14"/>
        <v>0</v>
      </c>
      <c r="M51" s="397">
        <f t="shared" si="14"/>
        <v>2793.9</v>
      </c>
      <c r="N51" s="398">
        <f t="shared" si="14"/>
        <v>2793.9</v>
      </c>
      <c r="O51" s="398">
        <f t="shared" si="14"/>
        <v>0</v>
      </c>
      <c r="P51" s="399">
        <f t="shared" si="14"/>
        <v>0</v>
      </c>
      <c r="Q51" s="397">
        <f t="shared" si="14"/>
        <v>1957.5</v>
      </c>
      <c r="R51" s="398">
        <f t="shared" si="14"/>
        <v>1957.5</v>
      </c>
      <c r="S51" s="398">
        <f t="shared" si="14"/>
        <v>0</v>
      </c>
      <c r="T51" s="399">
        <f t="shared" si="14"/>
        <v>0</v>
      </c>
      <c r="U51" s="400">
        <f t="shared" si="14"/>
        <v>2175</v>
      </c>
      <c r="V51" s="404">
        <f t="shared" si="14"/>
        <v>2175</v>
      </c>
    </row>
    <row r="52" spans="1:22" ht="15.75" customHeight="1" thickBot="1">
      <c r="A52" s="347"/>
      <c r="B52" s="348"/>
      <c r="C52" s="348"/>
      <c r="D52" s="386" t="s">
        <v>230</v>
      </c>
      <c r="E52" s="569"/>
      <c r="F52" s="579"/>
      <c r="G52" s="576"/>
      <c r="H52" s="355"/>
      <c r="I52" s="323">
        <f>SUM(I51,I48)</f>
        <v>5109.3</v>
      </c>
      <c r="J52" s="323">
        <f aca="true" t="shared" si="15" ref="J52:V52">SUM(J51,J48)</f>
        <v>5109.3</v>
      </c>
      <c r="K52" s="323">
        <f t="shared" si="15"/>
        <v>0</v>
      </c>
      <c r="L52" s="323">
        <f t="shared" si="15"/>
        <v>0</v>
      </c>
      <c r="M52" s="323">
        <f t="shared" si="15"/>
        <v>6606.200000000001</v>
      </c>
      <c r="N52" s="323">
        <f t="shared" si="15"/>
        <v>6606.200000000001</v>
      </c>
      <c r="O52" s="323">
        <f t="shared" si="15"/>
        <v>0</v>
      </c>
      <c r="P52" s="323">
        <f t="shared" si="15"/>
        <v>0</v>
      </c>
      <c r="Q52" s="323">
        <f t="shared" si="15"/>
        <v>4691.8</v>
      </c>
      <c r="R52" s="323">
        <f t="shared" si="15"/>
        <v>4691.8</v>
      </c>
      <c r="S52" s="323">
        <f t="shared" si="15"/>
        <v>0</v>
      </c>
      <c r="T52" s="323">
        <f t="shared" si="15"/>
        <v>0</v>
      </c>
      <c r="U52" s="323">
        <f t="shared" si="15"/>
        <v>6122.9</v>
      </c>
      <c r="V52" s="323">
        <f t="shared" si="15"/>
        <v>6230.9</v>
      </c>
    </row>
    <row r="53" spans="1:22" ht="15.75" customHeight="1">
      <c r="A53" s="621" t="s">
        <v>7</v>
      </c>
      <c r="B53" s="624" t="s">
        <v>7</v>
      </c>
      <c r="C53" s="627" t="s">
        <v>231</v>
      </c>
      <c r="D53" s="1001" t="s">
        <v>113</v>
      </c>
      <c r="E53" s="662" t="s">
        <v>102</v>
      </c>
      <c r="F53" s="769" t="s">
        <v>9</v>
      </c>
      <c r="G53" s="1004" t="s">
        <v>116</v>
      </c>
      <c r="H53" s="25" t="s">
        <v>10</v>
      </c>
      <c r="I53" s="115">
        <f>J53+L53</f>
        <v>693.6</v>
      </c>
      <c r="J53" s="125">
        <v>693.6</v>
      </c>
      <c r="K53" s="128"/>
      <c r="L53" s="177"/>
      <c r="M53" s="115">
        <f>N53+P53</f>
        <v>787.7</v>
      </c>
      <c r="N53" s="125">
        <v>787.7</v>
      </c>
      <c r="O53" s="128"/>
      <c r="P53" s="177"/>
      <c r="Q53" s="529">
        <f>R53+T53</f>
        <v>731.2</v>
      </c>
      <c r="R53" s="528">
        <f>350.2+381</f>
        <v>731.2</v>
      </c>
      <c r="S53" s="435"/>
      <c r="T53" s="436"/>
      <c r="U53" s="131">
        <v>350.2</v>
      </c>
      <c r="V53" s="131">
        <v>350.2</v>
      </c>
    </row>
    <row r="54" spans="1:22" ht="15.75" customHeight="1">
      <c r="A54" s="622"/>
      <c r="B54" s="625"/>
      <c r="C54" s="628"/>
      <c r="D54" s="1002"/>
      <c r="E54" s="663"/>
      <c r="F54" s="732"/>
      <c r="G54" s="1005"/>
      <c r="H54" s="33"/>
      <c r="I54" s="120">
        <f>J54+L54</f>
        <v>0</v>
      </c>
      <c r="J54" s="145"/>
      <c r="K54" s="147"/>
      <c r="L54" s="178"/>
      <c r="M54" s="120">
        <f>N54+P54</f>
        <v>0</v>
      </c>
      <c r="N54" s="145"/>
      <c r="O54" s="147"/>
      <c r="P54" s="178"/>
      <c r="Q54" s="410">
        <f>R54+T54</f>
        <v>0</v>
      </c>
      <c r="R54" s="433"/>
      <c r="S54" s="437"/>
      <c r="T54" s="438"/>
      <c r="U54" s="179"/>
      <c r="V54" s="179"/>
    </row>
    <row r="55" spans="1:22" ht="15.75" customHeight="1" thickBot="1">
      <c r="A55" s="623"/>
      <c r="B55" s="626"/>
      <c r="C55" s="629"/>
      <c r="D55" s="1003"/>
      <c r="E55" s="664"/>
      <c r="F55" s="770"/>
      <c r="G55" s="1006"/>
      <c r="H55" s="402" t="s">
        <v>19</v>
      </c>
      <c r="I55" s="397">
        <f aca="true" t="shared" si="16" ref="I55:V55">SUM(I53:I54)</f>
        <v>693.6</v>
      </c>
      <c r="J55" s="398">
        <f t="shared" si="16"/>
        <v>693.6</v>
      </c>
      <c r="K55" s="398">
        <f t="shared" si="16"/>
        <v>0</v>
      </c>
      <c r="L55" s="399">
        <f t="shared" si="16"/>
        <v>0</v>
      </c>
      <c r="M55" s="397">
        <f t="shared" si="16"/>
        <v>787.7</v>
      </c>
      <c r="N55" s="398">
        <f t="shared" si="16"/>
        <v>787.7</v>
      </c>
      <c r="O55" s="398">
        <f t="shared" si="16"/>
        <v>0</v>
      </c>
      <c r="P55" s="399">
        <f t="shared" si="16"/>
        <v>0</v>
      </c>
      <c r="Q55" s="397">
        <f t="shared" si="16"/>
        <v>731.2</v>
      </c>
      <c r="R55" s="398">
        <f t="shared" si="16"/>
        <v>731.2</v>
      </c>
      <c r="S55" s="398">
        <f t="shared" si="16"/>
        <v>0</v>
      </c>
      <c r="T55" s="399">
        <f t="shared" si="16"/>
        <v>0</v>
      </c>
      <c r="U55" s="400">
        <f t="shared" si="16"/>
        <v>350.2</v>
      </c>
      <c r="V55" s="404">
        <f t="shared" si="16"/>
        <v>350.2</v>
      </c>
    </row>
    <row r="56" spans="1:22" ht="15.75" customHeight="1">
      <c r="A56" s="790" t="s">
        <v>7</v>
      </c>
      <c r="B56" s="859" t="s">
        <v>7</v>
      </c>
      <c r="C56" s="786" t="s">
        <v>232</v>
      </c>
      <c r="D56" s="773" t="s">
        <v>121</v>
      </c>
      <c r="E56" s="580" t="s">
        <v>21</v>
      </c>
      <c r="F56" s="731" t="s">
        <v>13</v>
      </c>
      <c r="G56" s="1007" t="s">
        <v>116</v>
      </c>
      <c r="H56" s="29" t="s">
        <v>10</v>
      </c>
      <c r="I56" s="115">
        <f>J56+L56</f>
        <v>359.8</v>
      </c>
      <c r="J56" s="125"/>
      <c r="K56" s="125"/>
      <c r="L56" s="126">
        <v>359.8</v>
      </c>
      <c r="M56" s="115">
        <f>N56+P56</f>
        <v>2323.9</v>
      </c>
      <c r="N56" s="116"/>
      <c r="O56" s="116"/>
      <c r="P56" s="170">
        <v>2323.9</v>
      </c>
      <c r="Q56" s="407">
        <f>R56+T56</f>
        <v>0</v>
      </c>
      <c r="R56" s="408"/>
      <c r="S56" s="408"/>
      <c r="T56" s="409"/>
      <c r="U56" s="131">
        <v>1441.8</v>
      </c>
      <c r="V56" s="131">
        <v>1236.7</v>
      </c>
    </row>
    <row r="57" spans="1:22" ht="15.75" customHeight="1">
      <c r="A57" s="622"/>
      <c r="B57" s="625"/>
      <c r="C57" s="628"/>
      <c r="D57" s="774"/>
      <c r="E57" s="581" t="s">
        <v>233</v>
      </c>
      <c r="F57" s="732"/>
      <c r="G57" s="1005"/>
      <c r="H57" s="30" t="s">
        <v>17</v>
      </c>
      <c r="I57" s="140">
        <f>J57+L57</f>
        <v>0</v>
      </c>
      <c r="J57" s="210"/>
      <c r="K57" s="174"/>
      <c r="L57" s="175"/>
      <c r="M57" s="140">
        <f>N57+P57</f>
        <v>0</v>
      </c>
      <c r="N57" s="210"/>
      <c r="O57" s="174"/>
      <c r="P57" s="176"/>
      <c r="Q57" s="422">
        <f>R57+T57</f>
        <v>0</v>
      </c>
      <c r="R57" s="439"/>
      <c r="S57" s="440"/>
      <c r="T57" s="441"/>
      <c r="U57" s="211"/>
      <c r="V57" s="179"/>
    </row>
    <row r="58" spans="1:22" ht="15.75" customHeight="1" thickBot="1">
      <c r="A58" s="791"/>
      <c r="B58" s="860"/>
      <c r="C58" s="787"/>
      <c r="D58" s="775"/>
      <c r="E58" s="582"/>
      <c r="F58" s="733"/>
      <c r="G58" s="1008"/>
      <c r="H58" s="406" t="s">
        <v>19</v>
      </c>
      <c r="I58" s="397">
        <f aca="true" t="shared" si="17" ref="I58:V58">SUM(I56:I57)</f>
        <v>359.8</v>
      </c>
      <c r="J58" s="398">
        <f t="shared" si="17"/>
        <v>0</v>
      </c>
      <c r="K58" s="398">
        <f t="shared" si="17"/>
        <v>0</v>
      </c>
      <c r="L58" s="399">
        <f t="shared" si="17"/>
        <v>359.8</v>
      </c>
      <c r="M58" s="397">
        <f t="shared" si="17"/>
        <v>2323.9</v>
      </c>
      <c r="N58" s="398">
        <f t="shared" si="17"/>
        <v>0</v>
      </c>
      <c r="O58" s="398">
        <f t="shared" si="17"/>
        <v>0</v>
      </c>
      <c r="P58" s="399">
        <f t="shared" si="17"/>
        <v>2323.9</v>
      </c>
      <c r="Q58" s="397">
        <f t="shared" si="17"/>
        <v>0</v>
      </c>
      <c r="R58" s="398">
        <f t="shared" si="17"/>
        <v>0</v>
      </c>
      <c r="S58" s="398">
        <f t="shared" si="17"/>
        <v>0</v>
      </c>
      <c r="T58" s="399">
        <f t="shared" si="17"/>
        <v>0</v>
      </c>
      <c r="U58" s="400">
        <f t="shared" si="17"/>
        <v>1441.8</v>
      </c>
      <c r="V58" s="404">
        <f t="shared" si="17"/>
        <v>1236.7</v>
      </c>
    </row>
    <row r="59" spans="1:22" ht="17.25" customHeight="1">
      <c r="A59" s="792" t="s">
        <v>7</v>
      </c>
      <c r="B59" s="699" t="s">
        <v>7</v>
      </c>
      <c r="C59" s="760" t="s">
        <v>234</v>
      </c>
      <c r="D59" s="1009" t="s">
        <v>235</v>
      </c>
      <c r="E59" s="1012"/>
      <c r="F59" s="716" t="s">
        <v>12</v>
      </c>
      <c r="G59" s="1020" t="s">
        <v>116</v>
      </c>
      <c r="H59" s="29" t="s">
        <v>10</v>
      </c>
      <c r="I59" s="115">
        <f>J59+L59</f>
        <v>0</v>
      </c>
      <c r="J59" s="116"/>
      <c r="K59" s="116"/>
      <c r="L59" s="117"/>
      <c r="M59" s="115">
        <f>N59+P59</f>
        <v>10.3</v>
      </c>
      <c r="N59" s="116">
        <v>10.3</v>
      </c>
      <c r="O59" s="161"/>
      <c r="P59" s="165"/>
      <c r="Q59" s="407">
        <f>R59+T59</f>
        <v>10.3</v>
      </c>
      <c r="R59" s="432">
        <v>10.3</v>
      </c>
      <c r="S59" s="432"/>
      <c r="T59" s="456"/>
      <c r="U59" s="162">
        <v>5.9</v>
      </c>
      <c r="V59" s="119"/>
    </row>
    <row r="60" spans="1:22" ht="17.25" customHeight="1">
      <c r="A60" s="697"/>
      <c r="B60" s="700"/>
      <c r="C60" s="761"/>
      <c r="D60" s="1010"/>
      <c r="E60" s="972"/>
      <c r="F60" s="717"/>
      <c r="G60" s="986"/>
      <c r="H60" s="31" t="s">
        <v>236</v>
      </c>
      <c r="I60" s="120">
        <f>J60+L60</f>
        <v>0</v>
      </c>
      <c r="J60" s="149"/>
      <c r="K60" s="149"/>
      <c r="L60" s="150"/>
      <c r="M60" s="120">
        <f>N60+P60</f>
        <v>601.5</v>
      </c>
      <c r="N60" s="149"/>
      <c r="O60" s="163"/>
      <c r="P60" s="172">
        <v>601.5</v>
      </c>
      <c r="Q60" s="410">
        <f>R60+T60</f>
        <v>601.5</v>
      </c>
      <c r="R60" s="411"/>
      <c r="S60" s="411"/>
      <c r="T60" s="459">
        <v>601.5</v>
      </c>
      <c r="U60" s="356"/>
      <c r="V60" s="152"/>
    </row>
    <row r="61" spans="1:22" ht="17.25" customHeight="1">
      <c r="A61" s="697"/>
      <c r="B61" s="700"/>
      <c r="C61" s="761"/>
      <c r="D61" s="1010"/>
      <c r="E61" s="972"/>
      <c r="F61" s="717"/>
      <c r="G61" s="986"/>
      <c r="H61" s="31" t="s">
        <v>48</v>
      </c>
      <c r="I61" s="120">
        <f>J61+L61</f>
        <v>0</v>
      </c>
      <c r="J61" s="121"/>
      <c r="K61" s="121"/>
      <c r="L61" s="122"/>
      <c r="M61" s="120">
        <f>N61+P61</f>
        <v>0</v>
      </c>
      <c r="N61" s="121"/>
      <c r="O61" s="167"/>
      <c r="P61" s="168"/>
      <c r="Q61" s="410">
        <f>R61+T61</f>
        <v>0</v>
      </c>
      <c r="R61" s="457"/>
      <c r="S61" s="457"/>
      <c r="T61" s="458"/>
      <c r="U61" s="169"/>
      <c r="V61" s="151"/>
    </row>
    <row r="62" spans="1:22" ht="17.25" customHeight="1" thickBot="1">
      <c r="A62" s="782"/>
      <c r="B62" s="701"/>
      <c r="C62" s="762"/>
      <c r="D62" s="1011"/>
      <c r="E62" s="1013"/>
      <c r="F62" s="718"/>
      <c r="G62" s="1021"/>
      <c r="H62" s="402" t="s">
        <v>19</v>
      </c>
      <c r="I62" s="397">
        <f aca="true" t="shared" si="18" ref="I62:V62">SUM(I59:I61)</f>
        <v>0</v>
      </c>
      <c r="J62" s="398">
        <f t="shared" si="18"/>
        <v>0</v>
      </c>
      <c r="K62" s="398">
        <f t="shared" si="18"/>
        <v>0</v>
      </c>
      <c r="L62" s="399">
        <f t="shared" si="18"/>
        <v>0</v>
      </c>
      <c r="M62" s="397">
        <f t="shared" si="18"/>
        <v>611.8</v>
      </c>
      <c r="N62" s="398">
        <f t="shared" si="18"/>
        <v>10.3</v>
      </c>
      <c r="O62" s="398">
        <f t="shared" si="18"/>
        <v>0</v>
      </c>
      <c r="P62" s="399">
        <f t="shared" si="18"/>
        <v>601.5</v>
      </c>
      <c r="Q62" s="397">
        <f t="shared" si="18"/>
        <v>611.8</v>
      </c>
      <c r="R62" s="398">
        <f t="shared" si="18"/>
        <v>10.3</v>
      </c>
      <c r="S62" s="398">
        <f t="shared" si="18"/>
        <v>0</v>
      </c>
      <c r="T62" s="399">
        <f t="shared" si="18"/>
        <v>601.5</v>
      </c>
      <c r="U62" s="400">
        <f t="shared" si="18"/>
        <v>5.9</v>
      </c>
      <c r="V62" s="404">
        <f t="shared" si="18"/>
        <v>0</v>
      </c>
    </row>
    <row r="63" spans="1:22" ht="16.5" customHeight="1">
      <c r="A63" s="792" t="s">
        <v>7</v>
      </c>
      <c r="B63" s="699" t="s">
        <v>7</v>
      </c>
      <c r="C63" s="760" t="s">
        <v>237</v>
      </c>
      <c r="D63" s="691" t="s">
        <v>238</v>
      </c>
      <c r="E63" s="1017" t="s">
        <v>137</v>
      </c>
      <c r="F63" s="716" t="s">
        <v>12</v>
      </c>
      <c r="G63" s="573" t="s">
        <v>116</v>
      </c>
      <c r="H63" s="29" t="s">
        <v>10</v>
      </c>
      <c r="I63" s="115">
        <f>J63+L63</f>
        <v>0</v>
      </c>
      <c r="J63" s="116"/>
      <c r="K63" s="116"/>
      <c r="L63" s="117"/>
      <c r="M63" s="115">
        <f>N63+P63</f>
        <v>93.4</v>
      </c>
      <c r="N63" s="116">
        <v>93.4</v>
      </c>
      <c r="O63" s="161"/>
      <c r="P63" s="165"/>
      <c r="Q63" s="407">
        <f>R63+T63</f>
        <v>61.1</v>
      </c>
      <c r="R63" s="432">
        <v>61.1</v>
      </c>
      <c r="S63" s="432"/>
      <c r="T63" s="456"/>
      <c r="U63" s="162"/>
      <c r="V63" s="119"/>
    </row>
    <row r="64" spans="1:22" ht="16.5" customHeight="1">
      <c r="A64" s="697"/>
      <c r="B64" s="700"/>
      <c r="C64" s="761"/>
      <c r="D64" s="692"/>
      <c r="E64" s="1018"/>
      <c r="F64" s="717"/>
      <c r="G64" s="574" t="s">
        <v>60</v>
      </c>
      <c r="H64" s="82" t="s">
        <v>10</v>
      </c>
      <c r="I64" s="155"/>
      <c r="J64" s="149"/>
      <c r="K64" s="149"/>
      <c r="L64" s="150"/>
      <c r="M64" s="120">
        <f>N64+P64</f>
        <v>2.3</v>
      </c>
      <c r="N64" s="149">
        <v>2.3</v>
      </c>
      <c r="O64" s="163"/>
      <c r="P64" s="268"/>
      <c r="Q64" s="410">
        <f>R64+T64</f>
        <v>5.3</v>
      </c>
      <c r="R64" s="411">
        <v>5.3</v>
      </c>
      <c r="S64" s="411"/>
      <c r="T64" s="459"/>
      <c r="U64" s="164"/>
      <c r="V64" s="152"/>
    </row>
    <row r="65" spans="1:22" ht="16.5" customHeight="1">
      <c r="A65" s="697"/>
      <c r="B65" s="700"/>
      <c r="C65" s="761"/>
      <c r="D65" s="692"/>
      <c r="E65" s="1018"/>
      <c r="F65" s="717"/>
      <c r="G65" s="574" t="s">
        <v>60</v>
      </c>
      <c r="H65" s="31" t="s">
        <v>48</v>
      </c>
      <c r="I65" s="120">
        <f>J65+L65</f>
        <v>0</v>
      </c>
      <c r="J65" s="121"/>
      <c r="K65" s="121"/>
      <c r="L65" s="122"/>
      <c r="M65" s="120">
        <f>N65+P65</f>
        <v>43.7</v>
      </c>
      <c r="N65" s="121">
        <v>43.7</v>
      </c>
      <c r="O65" s="167"/>
      <c r="P65" s="168"/>
      <c r="Q65" s="410">
        <f>R65+T65</f>
        <v>43.7</v>
      </c>
      <c r="R65" s="457">
        <v>43.7</v>
      </c>
      <c r="S65" s="457"/>
      <c r="T65" s="458"/>
      <c r="U65" s="142"/>
      <c r="V65" s="151"/>
    </row>
    <row r="66" spans="1:22" ht="16.5" customHeight="1" thickBot="1">
      <c r="A66" s="782"/>
      <c r="B66" s="701"/>
      <c r="C66" s="762"/>
      <c r="D66" s="693"/>
      <c r="E66" s="1019"/>
      <c r="F66" s="718"/>
      <c r="G66" s="575"/>
      <c r="H66" s="402" t="s">
        <v>19</v>
      </c>
      <c r="I66" s="397">
        <f aca="true" t="shared" si="19" ref="I66:V66">SUM(I63:I65)</f>
        <v>0</v>
      </c>
      <c r="J66" s="398">
        <f t="shared" si="19"/>
        <v>0</v>
      </c>
      <c r="K66" s="398">
        <f t="shared" si="19"/>
        <v>0</v>
      </c>
      <c r="L66" s="399">
        <f t="shared" si="19"/>
        <v>0</v>
      </c>
      <c r="M66" s="397">
        <f t="shared" si="19"/>
        <v>139.4</v>
      </c>
      <c r="N66" s="398">
        <f t="shared" si="19"/>
        <v>139.4</v>
      </c>
      <c r="O66" s="398">
        <f t="shared" si="19"/>
        <v>0</v>
      </c>
      <c r="P66" s="399">
        <f t="shared" si="19"/>
        <v>0</v>
      </c>
      <c r="Q66" s="397">
        <f t="shared" si="19"/>
        <v>110.10000000000001</v>
      </c>
      <c r="R66" s="398">
        <f t="shared" si="19"/>
        <v>110.10000000000001</v>
      </c>
      <c r="S66" s="398">
        <f t="shared" si="19"/>
        <v>0</v>
      </c>
      <c r="T66" s="399">
        <f t="shared" si="19"/>
        <v>0</v>
      </c>
      <c r="U66" s="400">
        <f t="shared" si="19"/>
        <v>0</v>
      </c>
      <c r="V66" s="404">
        <f t="shared" si="19"/>
        <v>0</v>
      </c>
    </row>
    <row r="67" spans="1:22" ht="15.75" customHeight="1">
      <c r="A67" s="861" t="s">
        <v>7</v>
      </c>
      <c r="B67" s="862" t="s">
        <v>7</v>
      </c>
      <c r="C67" s="1026" t="s">
        <v>239</v>
      </c>
      <c r="D67" s="1014" t="s">
        <v>240</v>
      </c>
      <c r="E67" s="1017"/>
      <c r="F67" s="719" t="s">
        <v>13</v>
      </c>
      <c r="G67" s="985" t="s">
        <v>116</v>
      </c>
      <c r="H67" s="29" t="s">
        <v>10</v>
      </c>
      <c r="I67" s="115">
        <f>J67+L67</f>
        <v>0</v>
      </c>
      <c r="J67" s="116"/>
      <c r="K67" s="116"/>
      <c r="L67" s="117"/>
      <c r="M67" s="115">
        <f>N67+P67</f>
        <v>15</v>
      </c>
      <c r="N67" s="116">
        <v>15</v>
      </c>
      <c r="O67" s="161"/>
      <c r="P67" s="165"/>
      <c r="Q67" s="407">
        <f>R67+T67</f>
        <v>0</v>
      </c>
      <c r="R67" s="432"/>
      <c r="S67" s="432"/>
      <c r="T67" s="456"/>
      <c r="U67" s="162"/>
      <c r="V67" s="119"/>
    </row>
    <row r="68" spans="1:22" ht="15.75" customHeight="1">
      <c r="A68" s="697"/>
      <c r="B68" s="700"/>
      <c r="C68" s="761"/>
      <c r="D68" s="1015"/>
      <c r="E68" s="1018"/>
      <c r="F68" s="717"/>
      <c r="G68" s="986"/>
      <c r="H68" s="31"/>
      <c r="I68" s="120">
        <f>J68+L68</f>
        <v>0</v>
      </c>
      <c r="J68" s="121"/>
      <c r="K68" s="121"/>
      <c r="L68" s="122"/>
      <c r="M68" s="120">
        <f>N68+P68</f>
        <v>0</v>
      </c>
      <c r="N68" s="121"/>
      <c r="O68" s="167"/>
      <c r="P68" s="168"/>
      <c r="Q68" s="410">
        <f>R68+T68</f>
        <v>0</v>
      </c>
      <c r="R68" s="457"/>
      <c r="S68" s="457"/>
      <c r="T68" s="458"/>
      <c r="U68" s="142"/>
      <c r="V68" s="151"/>
    </row>
    <row r="69" spans="1:22" ht="15.75" customHeight="1" thickBot="1">
      <c r="A69" s="698"/>
      <c r="B69" s="863"/>
      <c r="C69" s="1027"/>
      <c r="D69" s="1016"/>
      <c r="E69" s="1019"/>
      <c r="F69" s="720"/>
      <c r="G69" s="987"/>
      <c r="H69" s="402" t="s">
        <v>19</v>
      </c>
      <c r="I69" s="397">
        <f aca="true" t="shared" si="20" ref="I69:V69">SUM(I67:I68)</f>
        <v>0</v>
      </c>
      <c r="J69" s="398">
        <f t="shared" si="20"/>
        <v>0</v>
      </c>
      <c r="K69" s="398">
        <f t="shared" si="20"/>
        <v>0</v>
      </c>
      <c r="L69" s="399">
        <f t="shared" si="20"/>
        <v>0</v>
      </c>
      <c r="M69" s="397">
        <f t="shared" si="20"/>
        <v>15</v>
      </c>
      <c r="N69" s="398">
        <f t="shared" si="20"/>
        <v>15</v>
      </c>
      <c r="O69" s="398">
        <f t="shared" si="20"/>
        <v>0</v>
      </c>
      <c r="P69" s="399">
        <f t="shared" si="20"/>
        <v>0</v>
      </c>
      <c r="Q69" s="397">
        <f t="shared" si="20"/>
        <v>0</v>
      </c>
      <c r="R69" s="398">
        <f t="shared" si="20"/>
        <v>0</v>
      </c>
      <c r="S69" s="398">
        <f t="shared" si="20"/>
        <v>0</v>
      </c>
      <c r="T69" s="399">
        <f t="shared" si="20"/>
        <v>0</v>
      </c>
      <c r="U69" s="400">
        <f t="shared" si="20"/>
        <v>0</v>
      </c>
      <c r="V69" s="404">
        <f t="shared" si="20"/>
        <v>0</v>
      </c>
    </row>
    <row r="70" spans="1:22" ht="15.75" customHeight="1" thickBot="1">
      <c r="A70" s="20" t="s">
        <v>7</v>
      </c>
      <c r="B70" s="1" t="s">
        <v>7</v>
      </c>
      <c r="C70" s="659" t="s">
        <v>18</v>
      </c>
      <c r="D70" s="660"/>
      <c r="E70" s="660"/>
      <c r="F70" s="660"/>
      <c r="G70" s="660"/>
      <c r="H70" s="649"/>
      <c r="I70" s="153">
        <f aca="true" t="shared" si="21" ref="I70:V70">SUM(I66,I69,I62,I58,I55,I51,I48,I44,I40,I37,I33,I30,I27,I23,I20,I17,I14)</f>
        <v>17114.5</v>
      </c>
      <c r="J70" s="153">
        <f t="shared" si="21"/>
        <v>16722.5</v>
      </c>
      <c r="K70" s="153">
        <f t="shared" si="21"/>
        <v>815.0999999999999</v>
      </c>
      <c r="L70" s="153">
        <f t="shared" si="21"/>
        <v>392</v>
      </c>
      <c r="M70" s="153">
        <f t="shared" si="21"/>
        <v>23155.2</v>
      </c>
      <c r="N70" s="153">
        <f t="shared" si="21"/>
        <v>20197.500000000004</v>
      </c>
      <c r="O70" s="153">
        <f t="shared" si="21"/>
        <v>813.8</v>
      </c>
      <c r="P70" s="153">
        <f t="shared" si="21"/>
        <v>2957.7000000000003</v>
      </c>
      <c r="Q70" s="153">
        <f t="shared" si="21"/>
        <v>14510.9</v>
      </c>
      <c r="R70" s="153">
        <f t="shared" si="21"/>
        <v>13858.900000000001</v>
      </c>
      <c r="S70" s="153">
        <f t="shared" si="21"/>
        <v>773.4</v>
      </c>
      <c r="T70" s="153">
        <f t="shared" si="21"/>
        <v>652</v>
      </c>
      <c r="U70" s="153">
        <f t="shared" si="21"/>
        <v>17960.9</v>
      </c>
      <c r="V70" s="153">
        <f t="shared" si="21"/>
        <v>17525.000000000004</v>
      </c>
    </row>
    <row r="71" spans="1:22" ht="15.75" customHeight="1" thickBot="1">
      <c r="A71" s="20" t="s">
        <v>7</v>
      </c>
      <c r="B71" s="1" t="s">
        <v>8</v>
      </c>
      <c r="C71" s="763" t="s">
        <v>134</v>
      </c>
      <c r="D71" s="764"/>
      <c r="E71" s="764"/>
      <c r="F71" s="764"/>
      <c r="G71" s="764"/>
      <c r="H71" s="1022"/>
      <c r="I71" s="1022"/>
      <c r="J71" s="1022"/>
      <c r="K71" s="1022"/>
      <c r="L71" s="1022"/>
      <c r="M71" s="1022"/>
      <c r="N71" s="1022"/>
      <c r="O71" s="1022"/>
      <c r="P71" s="1022"/>
      <c r="Q71" s="1022"/>
      <c r="R71" s="357"/>
      <c r="S71" s="357"/>
      <c r="T71" s="358"/>
      <c r="U71" s="358"/>
      <c r="V71" s="358"/>
    </row>
    <row r="72" spans="1:22" ht="15.75" customHeight="1">
      <c r="A72" s="861" t="s">
        <v>7</v>
      </c>
      <c r="B72" s="862" t="s">
        <v>8</v>
      </c>
      <c r="C72" s="650" t="s">
        <v>7</v>
      </c>
      <c r="D72" s="1023" t="s">
        <v>241</v>
      </c>
      <c r="E72" s="541"/>
      <c r="F72" s="589" t="s">
        <v>12</v>
      </c>
      <c r="G72" s="586" t="s">
        <v>116</v>
      </c>
      <c r="H72" s="29" t="s">
        <v>10</v>
      </c>
      <c r="I72" s="115">
        <f>J72+L72</f>
        <v>653.3</v>
      </c>
      <c r="J72" s="116">
        <v>653.3</v>
      </c>
      <c r="K72" s="116"/>
      <c r="L72" s="117"/>
      <c r="M72" s="115">
        <f>N72+P72</f>
        <v>954.8</v>
      </c>
      <c r="N72" s="116">
        <v>954.8</v>
      </c>
      <c r="O72" s="161"/>
      <c r="P72" s="170"/>
      <c r="Q72" s="407">
        <f>R72+T72</f>
        <v>588</v>
      </c>
      <c r="R72" s="432">
        <v>588</v>
      </c>
      <c r="S72" s="432"/>
      <c r="T72" s="456"/>
      <c r="U72" s="162">
        <v>653.3</v>
      </c>
      <c r="V72" s="119">
        <v>653.3</v>
      </c>
    </row>
    <row r="73" spans="1:22" ht="15.75" customHeight="1">
      <c r="A73" s="697"/>
      <c r="B73" s="700"/>
      <c r="C73" s="651"/>
      <c r="D73" s="1024"/>
      <c r="E73" s="583"/>
      <c r="F73" s="590"/>
      <c r="G73" s="587"/>
      <c r="H73" s="32"/>
      <c r="I73" s="155">
        <f>J73+L73</f>
        <v>0</v>
      </c>
      <c r="J73" s="149"/>
      <c r="K73" s="149"/>
      <c r="L73" s="359"/>
      <c r="M73" s="155">
        <f>N73+P73</f>
        <v>0</v>
      </c>
      <c r="N73" s="183"/>
      <c r="O73" s="360"/>
      <c r="P73" s="164"/>
      <c r="Q73" s="418">
        <f>R73+T73</f>
        <v>0</v>
      </c>
      <c r="R73" s="430"/>
      <c r="S73" s="430"/>
      <c r="T73" s="431"/>
      <c r="U73" s="164"/>
      <c r="V73" s="152"/>
    </row>
    <row r="74" spans="1:22" ht="15.75" customHeight="1" thickBot="1">
      <c r="A74" s="698"/>
      <c r="B74" s="863"/>
      <c r="C74" s="652"/>
      <c r="D74" s="1025"/>
      <c r="E74" s="584"/>
      <c r="F74" s="591"/>
      <c r="G74" s="588"/>
      <c r="H74" s="501" t="s">
        <v>19</v>
      </c>
      <c r="I74" s="397">
        <f aca="true" t="shared" si="22" ref="I74:V74">SUM(I72:I73)</f>
        <v>653.3</v>
      </c>
      <c r="J74" s="398">
        <f t="shared" si="22"/>
        <v>653.3</v>
      </c>
      <c r="K74" s="398">
        <f t="shared" si="22"/>
        <v>0</v>
      </c>
      <c r="L74" s="399">
        <f t="shared" si="22"/>
        <v>0</v>
      </c>
      <c r="M74" s="397">
        <f t="shared" si="22"/>
        <v>954.8</v>
      </c>
      <c r="N74" s="398">
        <f t="shared" si="22"/>
        <v>954.8</v>
      </c>
      <c r="O74" s="398">
        <f t="shared" si="22"/>
        <v>0</v>
      </c>
      <c r="P74" s="399">
        <f t="shared" si="22"/>
        <v>0</v>
      </c>
      <c r="Q74" s="397">
        <f t="shared" si="22"/>
        <v>588</v>
      </c>
      <c r="R74" s="398">
        <f t="shared" si="22"/>
        <v>588</v>
      </c>
      <c r="S74" s="398">
        <f t="shared" si="22"/>
        <v>0</v>
      </c>
      <c r="T74" s="399">
        <f t="shared" si="22"/>
        <v>0</v>
      </c>
      <c r="U74" s="400">
        <f t="shared" si="22"/>
        <v>653.3</v>
      </c>
      <c r="V74" s="404">
        <f t="shared" si="22"/>
        <v>653.3</v>
      </c>
    </row>
    <row r="75" spans="1:22" ht="15.75" customHeight="1">
      <c r="A75" s="861" t="s">
        <v>7</v>
      </c>
      <c r="B75" s="862" t="s">
        <v>8</v>
      </c>
      <c r="C75" s="650" t="s">
        <v>8</v>
      </c>
      <c r="D75" s="1023" t="s">
        <v>242</v>
      </c>
      <c r="E75" s="1031"/>
      <c r="F75" s="1028" t="s">
        <v>12</v>
      </c>
      <c r="G75" s="985" t="s">
        <v>116</v>
      </c>
      <c r="H75" s="29" t="s">
        <v>10</v>
      </c>
      <c r="I75" s="115">
        <f>J75+L75</f>
        <v>60</v>
      </c>
      <c r="J75" s="116">
        <v>60</v>
      </c>
      <c r="K75" s="116"/>
      <c r="L75" s="117"/>
      <c r="M75" s="115">
        <f>N75+P75</f>
        <v>10</v>
      </c>
      <c r="N75" s="116">
        <v>10</v>
      </c>
      <c r="O75" s="161"/>
      <c r="P75" s="117"/>
      <c r="Q75" s="407">
        <f>R75+T75</f>
        <v>10</v>
      </c>
      <c r="R75" s="432">
        <v>10</v>
      </c>
      <c r="S75" s="432"/>
      <c r="T75" s="456"/>
      <c r="U75" s="119">
        <v>10</v>
      </c>
      <c r="V75" s="139">
        <v>10</v>
      </c>
    </row>
    <row r="76" spans="1:22" ht="15.75" customHeight="1">
      <c r="A76" s="697"/>
      <c r="B76" s="700"/>
      <c r="C76" s="651"/>
      <c r="D76" s="1024"/>
      <c r="E76" s="1032"/>
      <c r="F76" s="1029"/>
      <c r="G76" s="986"/>
      <c r="H76" s="82"/>
      <c r="I76" s="120">
        <f>J76+L76</f>
        <v>0</v>
      </c>
      <c r="J76" s="121"/>
      <c r="K76" s="121"/>
      <c r="L76" s="122"/>
      <c r="M76" s="120">
        <f>N76+P76</f>
        <v>0</v>
      </c>
      <c r="N76" s="121"/>
      <c r="O76" s="167"/>
      <c r="P76" s="122"/>
      <c r="Q76" s="410">
        <f>R76+T76</f>
        <v>0</v>
      </c>
      <c r="R76" s="457"/>
      <c r="S76" s="457"/>
      <c r="T76" s="458"/>
      <c r="U76" s="151"/>
      <c r="V76" s="144"/>
    </row>
    <row r="77" spans="1:22" ht="15.75" customHeight="1" thickBot="1">
      <c r="A77" s="698"/>
      <c r="B77" s="863"/>
      <c r="C77" s="652"/>
      <c r="D77" s="1025"/>
      <c r="E77" s="1033"/>
      <c r="F77" s="1030"/>
      <c r="G77" s="987"/>
      <c r="H77" s="502" t="s">
        <v>19</v>
      </c>
      <c r="I77" s="397">
        <f aca="true" t="shared" si="23" ref="I77:V77">SUM(I75:I76)</f>
        <v>60</v>
      </c>
      <c r="J77" s="398">
        <f t="shared" si="23"/>
        <v>60</v>
      </c>
      <c r="K77" s="398">
        <f t="shared" si="23"/>
        <v>0</v>
      </c>
      <c r="L77" s="399">
        <f t="shared" si="23"/>
        <v>0</v>
      </c>
      <c r="M77" s="397">
        <f t="shared" si="23"/>
        <v>10</v>
      </c>
      <c r="N77" s="398">
        <f t="shared" si="23"/>
        <v>10</v>
      </c>
      <c r="O77" s="398">
        <f t="shared" si="23"/>
        <v>0</v>
      </c>
      <c r="P77" s="399">
        <f t="shared" si="23"/>
        <v>0</v>
      </c>
      <c r="Q77" s="397">
        <f t="shared" si="23"/>
        <v>10</v>
      </c>
      <c r="R77" s="398">
        <f t="shared" si="23"/>
        <v>10</v>
      </c>
      <c r="S77" s="398">
        <f t="shared" si="23"/>
        <v>0</v>
      </c>
      <c r="T77" s="399">
        <f t="shared" si="23"/>
        <v>0</v>
      </c>
      <c r="U77" s="400">
        <f t="shared" si="23"/>
        <v>10</v>
      </c>
      <c r="V77" s="404">
        <f t="shared" si="23"/>
        <v>10</v>
      </c>
    </row>
    <row r="78" spans="1:22" s="4" customFormat="1" ht="15.75" customHeight="1">
      <c r="A78" s="305" t="s">
        <v>7</v>
      </c>
      <c r="B78" s="308" t="s">
        <v>8</v>
      </c>
      <c r="C78" s="627" t="s">
        <v>9</v>
      </c>
      <c r="D78" s="1034" t="s">
        <v>243</v>
      </c>
      <c r="E78" s="662"/>
      <c r="F78" s="1037" t="s">
        <v>12</v>
      </c>
      <c r="G78" s="934" t="s">
        <v>116</v>
      </c>
      <c r="H78" s="78" t="s">
        <v>10</v>
      </c>
      <c r="I78" s="115">
        <f>J78+L78</f>
        <v>44.7</v>
      </c>
      <c r="J78" s="361">
        <v>44.7</v>
      </c>
      <c r="K78" s="361"/>
      <c r="L78" s="362"/>
      <c r="M78" s="115">
        <f>N78+P78</f>
        <v>44.7</v>
      </c>
      <c r="N78" s="363">
        <v>44.7</v>
      </c>
      <c r="O78" s="363"/>
      <c r="P78" s="364"/>
      <c r="Q78" s="407">
        <f>R78+T78</f>
        <v>40.2</v>
      </c>
      <c r="R78" s="504">
        <v>40.2</v>
      </c>
      <c r="S78" s="504"/>
      <c r="T78" s="505"/>
      <c r="U78" s="365">
        <v>44.7</v>
      </c>
      <c r="V78" s="366">
        <v>44.7</v>
      </c>
    </row>
    <row r="79" spans="1:22" s="4" customFormat="1" ht="15.75" customHeight="1">
      <c r="A79" s="306"/>
      <c r="B79" s="309"/>
      <c r="C79" s="628"/>
      <c r="D79" s="1035"/>
      <c r="E79" s="663"/>
      <c r="F79" s="1038"/>
      <c r="G79" s="935"/>
      <c r="H79" s="21"/>
      <c r="I79" s="120">
        <f>J79+L79</f>
        <v>0</v>
      </c>
      <c r="J79" s="174"/>
      <c r="K79" s="174"/>
      <c r="L79" s="176"/>
      <c r="M79" s="120">
        <f>N79+P79</f>
        <v>0</v>
      </c>
      <c r="N79" s="174"/>
      <c r="O79" s="174"/>
      <c r="P79" s="176"/>
      <c r="Q79" s="410">
        <f>R79+T79</f>
        <v>0</v>
      </c>
      <c r="R79" s="440"/>
      <c r="S79" s="440"/>
      <c r="T79" s="441"/>
      <c r="U79" s="181"/>
      <c r="V79" s="182"/>
    </row>
    <row r="80" spans="1:22" s="4" customFormat="1" ht="15.75" customHeight="1" thickBot="1">
      <c r="A80" s="307"/>
      <c r="B80" s="310"/>
      <c r="C80" s="629"/>
      <c r="D80" s="1036"/>
      <c r="E80" s="664"/>
      <c r="F80" s="1039"/>
      <c r="G80" s="936"/>
      <c r="H80" s="503" t="s">
        <v>19</v>
      </c>
      <c r="I80" s="397">
        <f aca="true" t="shared" si="24" ref="I80:V80">SUM(I78:I79)</f>
        <v>44.7</v>
      </c>
      <c r="J80" s="398">
        <f t="shared" si="24"/>
        <v>44.7</v>
      </c>
      <c r="K80" s="398">
        <f t="shared" si="24"/>
        <v>0</v>
      </c>
      <c r="L80" s="399">
        <f t="shared" si="24"/>
        <v>0</v>
      </c>
      <c r="M80" s="397">
        <f t="shared" si="24"/>
        <v>44.7</v>
      </c>
      <c r="N80" s="398">
        <f t="shared" si="24"/>
        <v>44.7</v>
      </c>
      <c r="O80" s="398">
        <f t="shared" si="24"/>
        <v>0</v>
      </c>
      <c r="P80" s="399">
        <f t="shared" si="24"/>
        <v>0</v>
      </c>
      <c r="Q80" s="397">
        <f t="shared" si="24"/>
        <v>40.2</v>
      </c>
      <c r="R80" s="398">
        <f t="shared" si="24"/>
        <v>40.2</v>
      </c>
      <c r="S80" s="398">
        <f t="shared" si="24"/>
        <v>0</v>
      </c>
      <c r="T80" s="399">
        <f t="shared" si="24"/>
        <v>0</v>
      </c>
      <c r="U80" s="400">
        <f t="shared" si="24"/>
        <v>44.7</v>
      </c>
      <c r="V80" s="404">
        <f t="shared" si="24"/>
        <v>44.7</v>
      </c>
    </row>
    <row r="81" spans="1:22" ht="40.5" customHeight="1" thickBot="1">
      <c r="A81" s="304"/>
      <c r="B81" s="302"/>
      <c r="C81" s="303"/>
      <c r="D81" s="386" t="s">
        <v>244</v>
      </c>
      <c r="E81" s="585"/>
      <c r="F81" s="592"/>
      <c r="G81" s="576"/>
      <c r="H81" s="367"/>
      <c r="I81" s="323">
        <f aca="true" t="shared" si="25" ref="I81:V81">SUM(I77,I74,I80)</f>
        <v>758</v>
      </c>
      <c r="J81" s="323">
        <f t="shared" si="25"/>
        <v>758</v>
      </c>
      <c r="K81" s="323">
        <f t="shared" si="25"/>
        <v>0</v>
      </c>
      <c r="L81" s="323">
        <f t="shared" si="25"/>
        <v>0</v>
      </c>
      <c r="M81" s="323">
        <f t="shared" si="25"/>
        <v>1009.5</v>
      </c>
      <c r="N81" s="323">
        <f t="shared" si="25"/>
        <v>1009.5</v>
      </c>
      <c r="O81" s="323">
        <f t="shared" si="25"/>
        <v>0</v>
      </c>
      <c r="P81" s="323">
        <f t="shared" si="25"/>
        <v>0</v>
      </c>
      <c r="Q81" s="323">
        <f t="shared" si="25"/>
        <v>638.2</v>
      </c>
      <c r="R81" s="323">
        <f t="shared" si="25"/>
        <v>638.2</v>
      </c>
      <c r="S81" s="323">
        <f t="shared" si="25"/>
        <v>0</v>
      </c>
      <c r="T81" s="323">
        <f t="shared" si="25"/>
        <v>0</v>
      </c>
      <c r="U81" s="323">
        <f t="shared" si="25"/>
        <v>708</v>
      </c>
      <c r="V81" s="323">
        <f t="shared" si="25"/>
        <v>708</v>
      </c>
    </row>
    <row r="82" spans="1:22" ht="15.75" customHeight="1">
      <c r="A82" s="304" t="s">
        <v>7</v>
      </c>
      <c r="B82" s="302" t="s">
        <v>8</v>
      </c>
      <c r="C82" s="368" t="s">
        <v>11</v>
      </c>
      <c r="D82" s="694" t="s">
        <v>47</v>
      </c>
      <c r="E82" s="1040" t="s">
        <v>21</v>
      </c>
      <c r="F82" s="719" t="s">
        <v>13</v>
      </c>
      <c r="G82" s="1043" t="s">
        <v>60</v>
      </c>
      <c r="H82" s="25" t="s">
        <v>10</v>
      </c>
      <c r="I82" s="115">
        <f>J82+L82</f>
        <v>0</v>
      </c>
      <c r="J82" s="162"/>
      <c r="K82" s="170"/>
      <c r="L82" s="117"/>
      <c r="M82" s="115">
        <f>N82+P82</f>
        <v>0</v>
      </c>
      <c r="N82" s="166"/>
      <c r="O82" s="170"/>
      <c r="P82" s="117"/>
      <c r="Q82" s="407">
        <f>R82+T82</f>
        <v>0</v>
      </c>
      <c r="R82" s="469"/>
      <c r="S82" s="470"/>
      <c r="T82" s="456"/>
      <c r="U82" s="184"/>
      <c r="V82" s="185"/>
    </row>
    <row r="83" spans="1:22" ht="15.75" customHeight="1">
      <c r="A83" s="304"/>
      <c r="B83" s="302"/>
      <c r="C83" s="369"/>
      <c r="D83" s="695"/>
      <c r="E83" s="1041"/>
      <c r="F83" s="717"/>
      <c r="G83" s="1044"/>
      <c r="H83" s="26" t="s">
        <v>236</v>
      </c>
      <c r="I83" s="140">
        <f>J83+L83</f>
        <v>769.8</v>
      </c>
      <c r="J83" s="142"/>
      <c r="K83" s="171"/>
      <c r="L83" s="122">
        <v>769.8</v>
      </c>
      <c r="M83" s="140">
        <f>N83+P83</f>
        <v>1500</v>
      </c>
      <c r="N83" s="169"/>
      <c r="O83" s="171"/>
      <c r="P83" s="146">
        <v>1500</v>
      </c>
      <c r="Q83" s="422">
        <f>R83+T83</f>
        <v>1500</v>
      </c>
      <c r="R83" s="471"/>
      <c r="S83" s="472"/>
      <c r="T83" s="458">
        <v>1500</v>
      </c>
      <c r="U83" s="186"/>
      <c r="V83" s="187"/>
    </row>
    <row r="84" spans="1:22" ht="15.75" customHeight="1">
      <c r="A84" s="304"/>
      <c r="B84" s="302"/>
      <c r="C84" s="369"/>
      <c r="D84" s="695"/>
      <c r="E84" s="1041"/>
      <c r="F84" s="717"/>
      <c r="G84" s="1044"/>
      <c r="H84" s="27" t="s">
        <v>17</v>
      </c>
      <c r="I84" s="141">
        <f>J84+L84</f>
        <v>0</v>
      </c>
      <c r="J84" s="142"/>
      <c r="K84" s="171"/>
      <c r="L84" s="122"/>
      <c r="M84" s="140">
        <f>N84+P84</f>
        <v>0</v>
      </c>
      <c r="N84" s="167"/>
      <c r="O84" s="121"/>
      <c r="P84" s="122"/>
      <c r="Q84" s="423">
        <f>R84+T84</f>
        <v>0</v>
      </c>
      <c r="R84" s="471"/>
      <c r="S84" s="472"/>
      <c r="T84" s="458"/>
      <c r="U84" s="186"/>
      <c r="V84" s="187"/>
    </row>
    <row r="85" spans="1:22" ht="15.75" customHeight="1" thickBot="1">
      <c r="A85" s="314"/>
      <c r="B85" s="15"/>
      <c r="C85" s="370"/>
      <c r="D85" s="696"/>
      <c r="E85" s="1042"/>
      <c r="F85" s="720"/>
      <c r="G85" s="1045"/>
      <c r="H85" s="462" t="s">
        <v>19</v>
      </c>
      <c r="I85" s="463">
        <f aca="true" t="shared" si="26" ref="I85:V85">SUM(I82:I84)</f>
        <v>769.8</v>
      </c>
      <c r="J85" s="464">
        <f t="shared" si="26"/>
        <v>0</v>
      </c>
      <c r="K85" s="465">
        <f t="shared" si="26"/>
        <v>0</v>
      </c>
      <c r="L85" s="466">
        <f t="shared" si="26"/>
        <v>769.8</v>
      </c>
      <c r="M85" s="463">
        <f t="shared" si="26"/>
        <v>1500</v>
      </c>
      <c r="N85" s="464">
        <f t="shared" si="26"/>
        <v>0</v>
      </c>
      <c r="O85" s="465">
        <f t="shared" si="26"/>
        <v>0</v>
      </c>
      <c r="P85" s="466">
        <f t="shared" si="26"/>
        <v>1500</v>
      </c>
      <c r="Q85" s="463">
        <f t="shared" si="26"/>
        <v>1500</v>
      </c>
      <c r="R85" s="464">
        <f t="shared" si="26"/>
        <v>0</v>
      </c>
      <c r="S85" s="465">
        <f t="shared" si="26"/>
        <v>0</v>
      </c>
      <c r="T85" s="466">
        <f t="shared" si="26"/>
        <v>1500</v>
      </c>
      <c r="U85" s="467">
        <f t="shared" si="26"/>
        <v>0</v>
      </c>
      <c r="V85" s="467">
        <f t="shared" si="26"/>
        <v>0</v>
      </c>
    </row>
    <row r="86" spans="1:22" ht="15.75" customHeight="1">
      <c r="A86" s="304" t="s">
        <v>7</v>
      </c>
      <c r="B86" s="302" t="s">
        <v>8</v>
      </c>
      <c r="C86" s="651" t="s">
        <v>12</v>
      </c>
      <c r="D86" s="994" t="s">
        <v>123</v>
      </c>
      <c r="E86" s="1040"/>
      <c r="F86" s="1029" t="s">
        <v>13</v>
      </c>
      <c r="G86" s="986" t="s">
        <v>60</v>
      </c>
      <c r="H86" s="29" t="s">
        <v>10</v>
      </c>
      <c r="I86" s="115">
        <f>J86+L86</f>
        <v>0</v>
      </c>
      <c r="J86" s="116"/>
      <c r="K86" s="116"/>
      <c r="L86" s="117">
        <v>0</v>
      </c>
      <c r="M86" s="115">
        <f>N86+P86</f>
        <v>0</v>
      </c>
      <c r="N86" s="116"/>
      <c r="O86" s="116"/>
      <c r="P86" s="117"/>
      <c r="Q86" s="407">
        <f>R86+T86</f>
        <v>0</v>
      </c>
      <c r="R86" s="432"/>
      <c r="S86" s="432"/>
      <c r="T86" s="456"/>
      <c r="U86" s="188"/>
      <c r="V86" s="119"/>
    </row>
    <row r="87" spans="1:22" ht="15.75" customHeight="1">
      <c r="A87" s="304"/>
      <c r="B87" s="302"/>
      <c r="C87" s="651"/>
      <c r="D87" s="994"/>
      <c r="E87" s="1041"/>
      <c r="F87" s="1029"/>
      <c r="G87" s="986"/>
      <c r="H87" s="82" t="s">
        <v>236</v>
      </c>
      <c r="I87" s="120">
        <f>J87+L87</f>
        <v>0</v>
      </c>
      <c r="J87" s="121"/>
      <c r="K87" s="121"/>
      <c r="L87" s="122"/>
      <c r="M87" s="120">
        <f>N87+P87</f>
        <v>100</v>
      </c>
      <c r="N87" s="121"/>
      <c r="O87" s="121"/>
      <c r="P87" s="122">
        <v>100</v>
      </c>
      <c r="Q87" s="410">
        <f>R87+T87</f>
        <v>0</v>
      </c>
      <c r="R87" s="457"/>
      <c r="S87" s="457"/>
      <c r="T87" s="458"/>
      <c r="U87" s="189"/>
      <c r="V87" s="151"/>
    </row>
    <row r="88" spans="1:22" ht="15.75" customHeight="1" thickBot="1">
      <c r="A88" s="314"/>
      <c r="B88" s="15"/>
      <c r="C88" s="652"/>
      <c r="D88" s="995"/>
      <c r="E88" s="1042"/>
      <c r="F88" s="1046"/>
      <c r="G88" s="987"/>
      <c r="H88" s="462" t="s">
        <v>19</v>
      </c>
      <c r="I88" s="397">
        <f aca="true" t="shared" si="27" ref="I88:V88">SUM(I86:I87)</f>
        <v>0</v>
      </c>
      <c r="J88" s="398">
        <f t="shared" si="27"/>
        <v>0</v>
      </c>
      <c r="K88" s="398">
        <f t="shared" si="27"/>
        <v>0</v>
      </c>
      <c r="L88" s="399">
        <f t="shared" si="27"/>
        <v>0</v>
      </c>
      <c r="M88" s="397">
        <f t="shared" si="27"/>
        <v>100</v>
      </c>
      <c r="N88" s="398">
        <f t="shared" si="27"/>
        <v>0</v>
      </c>
      <c r="O88" s="398">
        <f t="shared" si="27"/>
        <v>0</v>
      </c>
      <c r="P88" s="399">
        <f t="shared" si="27"/>
        <v>100</v>
      </c>
      <c r="Q88" s="397">
        <f t="shared" si="27"/>
        <v>0</v>
      </c>
      <c r="R88" s="398">
        <f t="shared" si="27"/>
        <v>0</v>
      </c>
      <c r="S88" s="398">
        <f t="shared" si="27"/>
        <v>0</v>
      </c>
      <c r="T88" s="399">
        <f t="shared" si="27"/>
        <v>0</v>
      </c>
      <c r="U88" s="400">
        <f t="shared" si="27"/>
        <v>0</v>
      </c>
      <c r="V88" s="404">
        <f t="shared" si="27"/>
        <v>0</v>
      </c>
    </row>
    <row r="89" spans="1:22" ht="15.75" customHeight="1" thickBot="1">
      <c r="A89" s="20" t="s">
        <v>7</v>
      </c>
      <c r="B89" s="1" t="s">
        <v>8</v>
      </c>
      <c r="C89" s="17"/>
      <c r="D89" s="382"/>
      <c r="E89" s="542"/>
      <c r="F89" s="542"/>
      <c r="G89" s="543" t="s">
        <v>18</v>
      </c>
      <c r="H89" s="371"/>
      <c r="I89" s="153">
        <f aca="true" t="shared" si="28" ref="I89:V89">SUM(I80,I74,I77,I85,I88)</f>
        <v>1527.8</v>
      </c>
      <c r="J89" s="153">
        <f t="shared" si="28"/>
        <v>758</v>
      </c>
      <c r="K89" s="153">
        <f t="shared" si="28"/>
        <v>0</v>
      </c>
      <c r="L89" s="153">
        <f t="shared" si="28"/>
        <v>769.8</v>
      </c>
      <c r="M89" s="153">
        <f t="shared" si="28"/>
        <v>2609.5</v>
      </c>
      <c r="N89" s="153">
        <f t="shared" si="28"/>
        <v>1009.5</v>
      </c>
      <c r="O89" s="153">
        <f t="shared" si="28"/>
        <v>0</v>
      </c>
      <c r="P89" s="153">
        <f t="shared" si="28"/>
        <v>1600</v>
      </c>
      <c r="Q89" s="153">
        <f t="shared" si="28"/>
        <v>2138.2</v>
      </c>
      <c r="R89" s="153">
        <f t="shared" si="28"/>
        <v>638.2</v>
      </c>
      <c r="S89" s="153">
        <f t="shared" si="28"/>
        <v>0</v>
      </c>
      <c r="T89" s="153">
        <f t="shared" si="28"/>
        <v>1500</v>
      </c>
      <c r="U89" s="153">
        <f t="shared" si="28"/>
        <v>708</v>
      </c>
      <c r="V89" s="153">
        <f t="shared" si="28"/>
        <v>708</v>
      </c>
    </row>
    <row r="90" spans="1:22" ht="15.75" customHeight="1" thickBot="1">
      <c r="A90" s="20" t="s">
        <v>7</v>
      </c>
      <c r="B90" s="1" t="s">
        <v>9</v>
      </c>
      <c r="C90" s="849" t="s">
        <v>135</v>
      </c>
      <c r="D90" s="850"/>
      <c r="E90" s="850"/>
      <c r="F90" s="850"/>
      <c r="G90" s="850"/>
      <c r="H90" s="850"/>
      <c r="I90" s="850"/>
      <c r="J90" s="850"/>
      <c r="K90" s="850"/>
      <c r="L90" s="850"/>
      <c r="M90" s="850"/>
      <c r="N90" s="850"/>
      <c r="O90" s="850"/>
      <c r="P90" s="850"/>
      <c r="Q90" s="850"/>
      <c r="R90" s="850"/>
      <c r="S90" s="850"/>
      <c r="T90" s="850"/>
      <c r="U90" s="850"/>
      <c r="V90" s="851"/>
    </row>
    <row r="91" spans="1:22" ht="15.75" customHeight="1">
      <c r="A91" s="311" t="s">
        <v>7</v>
      </c>
      <c r="B91" s="308" t="s">
        <v>9</v>
      </c>
      <c r="C91" s="627" t="s">
        <v>7</v>
      </c>
      <c r="D91" s="634" t="s">
        <v>56</v>
      </c>
      <c r="E91" s="961"/>
      <c r="F91" s="636" t="s">
        <v>12</v>
      </c>
      <c r="G91" s="934" t="s">
        <v>116</v>
      </c>
      <c r="H91" s="29" t="s">
        <v>10</v>
      </c>
      <c r="I91" s="115">
        <f>J91+L91</f>
        <v>3400</v>
      </c>
      <c r="J91" s="125">
        <v>3400</v>
      </c>
      <c r="K91" s="125"/>
      <c r="L91" s="126"/>
      <c r="M91" s="115">
        <f>N91+P91</f>
        <v>3557.8</v>
      </c>
      <c r="N91" s="125">
        <v>3557.8</v>
      </c>
      <c r="O91" s="138"/>
      <c r="P91" s="138"/>
      <c r="Q91" s="407">
        <f>R91+T91</f>
        <v>2522.5</v>
      </c>
      <c r="R91" s="408">
        <f>2523.1-0.6</f>
        <v>2522.5</v>
      </c>
      <c r="S91" s="408"/>
      <c r="T91" s="409"/>
      <c r="U91" s="154">
        <v>3557.8</v>
      </c>
      <c r="V91" s="131">
        <v>3557.8</v>
      </c>
    </row>
    <row r="92" spans="1:22" ht="15.75" customHeight="1">
      <c r="A92" s="312"/>
      <c r="B92" s="309"/>
      <c r="C92" s="628"/>
      <c r="D92" s="632"/>
      <c r="E92" s="962"/>
      <c r="F92" s="637"/>
      <c r="G92" s="935"/>
      <c r="H92" s="68"/>
      <c r="I92" s="155">
        <f>J92+L92</f>
        <v>0</v>
      </c>
      <c r="J92" s="156"/>
      <c r="K92" s="156"/>
      <c r="L92" s="157"/>
      <c r="M92" s="155">
        <f>N92+P92</f>
        <v>0</v>
      </c>
      <c r="N92" s="156"/>
      <c r="O92" s="158"/>
      <c r="P92" s="158"/>
      <c r="Q92" s="418">
        <f>R92+T92</f>
        <v>0</v>
      </c>
      <c r="R92" s="412"/>
      <c r="S92" s="412"/>
      <c r="T92" s="413"/>
      <c r="U92" s="159"/>
      <c r="V92" s="152"/>
    </row>
    <row r="93" spans="1:22" ht="15.75" customHeight="1" thickBot="1">
      <c r="A93" s="313"/>
      <c r="B93" s="310"/>
      <c r="C93" s="629"/>
      <c r="D93" s="633"/>
      <c r="E93" s="963"/>
      <c r="F93" s="638"/>
      <c r="G93" s="936"/>
      <c r="H93" s="406" t="s">
        <v>19</v>
      </c>
      <c r="I93" s="397">
        <f aca="true" t="shared" si="29" ref="I93:V93">SUM(I91:I92)</f>
        <v>3400</v>
      </c>
      <c r="J93" s="398">
        <f t="shared" si="29"/>
        <v>3400</v>
      </c>
      <c r="K93" s="398">
        <f t="shared" si="29"/>
        <v>0</v>
      </c>
      <c r="L93" s="399">
        <f t="shared" si="29"/>
        <v>0</v>
      </c>
      <c r="M93" s="397">
        <f t="shared" si="29"/>
        <v>3557.8</v>
      </c>
      <c r="N93" s="398">
        <f t="shared" si="29"/>
        <v>3557.8</v>
      </c>
      <c r="O93" s="398">
        <f t="shared" si="29"/>
        <v>0</v>
      </c>
      <c r="P93" s="399">
        <f t="shared" si="29"/>
        <v>0</v>
      </c>
      <c r="Q93" s="397">
        <f t="shared" si="29"/>
        <v>2522.5</v>
      </c>
      <c r="R93" s="398">
        <f t="shared" si="29"/>
        <v>2522.5</v>
      </c>
      <c r="S93" s="398">
        <f t="shared" si="29"/>
        <v>0</v>
      </c>
      <c r="T93" s="399">
        <f t="shared" si="29"/>
        <v>0</v>
      </c>
      <c r="U93" s="400">
        <f t="shared" si="29"/>
        <v>3557.8</v>
      </c>
      <c r="V93" s="404">
        <f t="shared" si="29"/>
        <v>3557.8</v>
      </c>
    </row>
    <row r="94" spans="1:22" s="2" customFormat="1" ht="15.75" customHeight="1">
      <c r="A94" s="1053" t="s">
        <v>9</v>
      </c>
      <c r="B94" s="1056" t="s">
        <v>9</v>
      </c>
      <c r="C94" s="1058" t="s">
        <v>8</v>
      </c>
      <c r="D94" s="1060" t="s">
        <v>80</v>
      </c>
      <c r="E94" s="1063" t="s">
        <v>105</v>
      </c>
      <c r="F94" s="531" t="s">
        <v>13</v>
      </c>
      <c r="G94" s="570" t="s">
        <v>116</v>
      </c>
      <c r="H94" s="372" t="s">
        <v>106</v>
      </c>
      <c r="I94" s="115">
        <f>J94+L94</f>
        <v>0</v>
      </c>
      <c r="J94" s="125"/>
      <c r="K94" s="125"/>
      <c r="L94" s="126"/>
      <c r="M94" s="115">
        <f>N94+P94</f>
        <v>222.9</v>
      </c>
      <c r="N94" s="373">
        <v>222.9</v>
      </c>
      <c r="O94" s="127"/>
      <c r="P94" s="374"/>
      <c r="Q94" s="407">
        <f>R94+T94</f>
        <v>222.9</v>
      </c>
      <c r="R94" s="408">
        <v>222.9</v>
      </c>
      <c r="S94" s="408"/>
      <c r="T94" s="409"/>
      <c r="U94" s="212">
        <v>255</v>
      </c>
      <c r="V94" s="213"/>
    </row>
    <row r="95" spans="1:22" s="2" customFormat="1" ht="15.75" customHeight="1">
      <c r="A95" s="1054"/>
      <c r="B95" s="1057"/>
      <c r="C95" s="1059"/>
      <c r="D95" s="1061"/>
      <c r="E95" s="1064"/>
      <c r="F95" s="532"/>
      <c r="G95" s="571"/>
      <c r="H95" s="375" t="s">
        <v>10</v>
      </c>
      <c r="I95" s="120">
        <f>J95+L95</f>
        <v>0</v>
      </c>
      <c r="J95" s="145"/>
      <c r="K95" s="145"/>
      <c r="L95" s="146"/>
      <c r="M95" s="120">
        <f>N95+P95</f>
        <v>0</v>
      </c>
      <c r="N95" s="145"/>
      <c r="O95" s="145"/>
      <c r="P95" s="146"/>
      <c r="Q95" s="410">
        <f>R95+T95</f>
        <v>0</v>
      </c>
      <c r="R95" s="433"/>
      <c r="S95" s="433"/>
      <c r="T95" s="434"/>
      <c r="U95" s="376"/>
      <c r="V95" s="377"/>
    </row>
    <row r="96" spans="1:22" s="2" customFormat="1" ht="15.75" customHeight="1" thickBot="1">
      <c r="A96" s="1055"/>
      <c r="B96" s="860"/>
      <c r="C96" s="787"/>
      <c r="D96" s="1062"/>
      <c r="E96" s="1065"/>
      <c r="F96" s="533"/>
      <c r="G96" s="572"/>
      <c r="H96" s="473" t="s">
        <v>19</v>
      </c>
      <c r="I96" s="397">
        <f aca="true" t="shared" si="30" ref="I96:V96">SUM(I94:I95)</f>
        <v>0</v>
      </c>
      <c r="J96" s="398">
        <f t="shared" si="30"/>
        <v>0</v>
      </c>
      <c r="K96" s="398">
        <f t="shared" si="30"/>
        <v>0</v>
      </c>
      <c r="L96" s="399">
        <f t="shared" si="30"/>
        <v>0</v>
      </c>
      <c r="M96" s="397">
        <f t="shared" si="30"/>
        <v>222.9</v>
      </c>
      <c r="N96" s="398">
        <f t="shared" si="30"/>
        <v>222.9</v>
      </c>
      <c r="O96" s="398">
        <f t="shared" si="30"/>
        <v>0</v>
      </c>
      <c r="P96" s="399">
        <f t="shared" si="30"/>
        <v>0</v>
      </c>
      <c r="Q96" s="397">
        <f t="shared" si="30"/>
        <v>222.9</v>
      </c>
      <c r="R96" s="398">
        <f t="shared" si="30"/>
        <v>222.9</v>
      </c>
      <c r="S96" s="398">
        <f t="shared" si="30"/>
        <v>0</v>
      </c>
      <c r="T96" s="399">
        <f t="shared" si="30"/>
        <v>0</v>
      </c>
      <c r="U96" s="400">
        <f t="shared" si="30"/>
        <v>255</v>
      </c>
      <c r="V96" s="404">
        <f t="shared" si="30"/>
        <v>0</v>
      </c>
    </row>
    <row r="97" spans="1:22" ht="15.75" customHeight="1">
      <c r="A97" s="792" t="s">
        <v>9</v>
      </c>
      <c r="B97" s="699" t="s">
        <v>9</v>
      </c>
      <c r="C97" s="760" t="s">
        <v>9</v>
      </c>
      <c r="D97" s="612" t="s">
        <v>61</v>
      </c>
      <c r="E97" s="545"/>
      <c r="F97" s="534" t="s">
        <v>15</v>
      </c>
      <c r="G97" s="573" t="s">
        <v>116</v>
      </c>
      <c r="H97" s="29" t="s">
        <v>10</v>
      </c>
      <c r="I97" s="115">
        <f>J97+L97</f>
        <v>35</v>
      </c>
      <c r="J97" s="116">
        <v>35</v>
      </c>
      <c r="K97" s="116"/>
      <c r="L97" s="117"/>
      <c r="M97" s="115">
        <f>N97+P97</f>
        <v>62</v>
      </c>
      <c r="N97" s="160">
        <v>62</v>
      </c>
      <c r="O97" s="161"/>
      <c r="P97" s="165"/>
      <c r="Q97" s="407">
        <f>R97+T97</f>
        <v>31.700000000000003</v>
      </c>
      <c r="R97" s="432">
        <f>31.1+0.6</f>
        <v>31.700000000000003</v>
      </c>
      <c r="S97" s="432"/>
      <c r="T97" s="456"/>
      <c r="U97" s="164">
        <v>62</v>
      </c>
      <c r="V97" s="152">
        <v>62</v>
      </c>
    </row>
    <row r="98" spans="1:22" ht="15.75" customHeight="1">
      <c r="A98" s="697"/>
      <c r="B98" s="700"/>
      <c r="C98" s="761"/>
      <c r="D98" s="613"/>
      <c r="E98" s="546"/>
      <c r="F98" s="3"/>
      <c r="G98" s="593"/>
      <c r="H98" s="31"/>
      <c r="I98" s="120">
        <f>J98+L98</f>
        <v>0</v>
      </c>
      <c r="J98" s="121"/>
      <c r="K98" s="121"/>
      <c r="L98" s="122"/>
      <c r="M98" s="120">
        <f>N98+P98</f>
        <v>0</v>
      </c>
      <c r="N98" s="121"/>
      <c r="O98" s="167"/>
      <c r="P98" s="168"/>
      <c r="Q98" s="410">
        <f>R98+T98</f>
        <v>0</v>
      </c>
      <c r="R98" s="457"/>
      <c r="S98" s="457"/>
      <c r="T98" s="458"/>
      <c r="U98" s="142"/>
      <c r="V98" s="151"/>
    </row>
    <row r="99" spans="1:22" ht="15.75" customHeight="1" thickBot="1">
      <c r="A99" s="782"/>
      <c r="B99" s="701"/>
      <c r="C99" s="762"/>
      <c r="D99" s="614"/>
      <c r="E99" s="547"/>
      <c r="F99" s="535"/>
      <c r="G99" s="594"/>
      <c r="H99" s="402" t="s">
        <v>19</v>
      </c>
      <c r="I99" s="397">
        <f aca="true" t="shared" si="31" ref="I99:V99">SUM(I97:I98)</f>
        <v>35</v>
      </c>
      <c r="J99" s="398">
        <f t="shared" si="31"/>
        <v>35</v>
      </c>
      <c r="K99" s="398">
        <f t="shared" si="31"/>
        <v>0</v>
      </c>
      <c r="L99" s="399">
        <f t="shared" si="31"/>
        <v>0</v>
      </c>
      <c r="M99" s="397">
        <f t="shared" si="31"/>
        <v>62</v>
      </c>
      <c r="N99" s="398">
        <f t="shared" si="31"/>
        <v>62</v>
      </c>
      <c r="O99" s="398">
        <f t="shared" si="31"/>
        <v>0</v>
      </c>
      <c r="P99" s="399">
        <f t="shared" si="31"/>
        <v>0</v>
      </c>
      <c r="Q99" s="397">
        <f t="shared" si="31"/>
        <v>31.700000000000003</v>
      </c>
      <c r="R99" s="398">
        <f t="shared" si="31"/>
        <v>31.700000000000003</v>
      </c>
      <c r="S99" s="398">
        <f t="shared" si="31"/>
        <v>0</v>
      </c>
      <c r="T99" s="399">
        <f t="shared" si="31"/>
        <v>0</v>
      </c>
      <c r="U99" s="400">
        <f t="shared" si="31"/>
        <v>62</v>
      </c>
      <c r="V99" s="404">
        <f t="shared" si="31"/>
        <v>62</v>
      </c>
    </row>
    <row r="100" spans="1:22" s="2" customFormat="1" ht="15.75" customHeight="1" thickBot="1">
      <c r="A100" s="18" t="s">
        <v>9</v>
      </c>
      <c r="B100" s="64" t="s">
        <v>9</v>
      </c>
      <c r="C100" s="893" t="s">
        <v>9</v>
      </c>
      <c r="D100" s="894"/>
      <c r="E100" s="894"/>
      <c r="F100" s="894"/>
      <c r="G100" s="894"/>
      <c r="H100" s="894"/>
      <c r="I100" s="180">
        <f>SUM(I99,I96,I93)</f>
        <v>3435</v>
      </c>
      <c r="J100" s="180">
        <f aca="true" t="shared" si="32" ref="J100:V100">SUM(J99,J96,J93)</f>
        <v>3435</v>
      </c>
      <c r="K100" s="180">
        <f t="shared" si="32"/>
        <v>0</v>
      </c>
      <c r="L100" s="180">
        <f t="shared" si="32"/>
        <v>0</v>
      </c>
      <c r="M100" s="180">
        <f t="shared" si="32"/>
        <v>3842.7000000000003</v>
      </c>
      <c r="N100" s="180">
        <f t="shared" si="32"/>
        <v>3842.7000000000003</v>
      </c>
      <c r="O100" s="180">
        <f t="shared" si="32"/>
        <v>0</v>
      </c>
      <c r="P100" s="180">
        <f t="shared" si="32"/>
        <v>0</v>
      </c>
      <c r="Q100" s="180">
        <f t="shared" si="32"/>
        <v>2777.1</v>
      </c>
      <c r="R100" s="180">
        <f t="shared" si="32"/>
        <v>2777.1</v>
      </c>
      <c r="S100" s="180">
        <f t="shared" si="32"/>
        <v>0</v>
      </c>
      <c r="T100" s="180">
        <f t="shared" si="32"/>
        <v>0</v>
      </c>
      <c r="U100" s="180">
        <f t="shared" si="32"/>
        <v>3874.8</v>
      </c>
      <c r="V100" s="180">
        <f t="shared" si="32"/>
        <v>3619.8</v>
      </c>
    </row>
    <row r="101" spans="1:22" ht="15.75" customHeight="1" thickBot="1">
      <c r="A101" s="311" t="s">
        <v>7</v>
      </c>
      <c r="B101" s="308" t="s">
        <v>11</v>
      </c>
      <c r="C101" s="763" t="s">
        <v>99</v>
      </c>
      <c r="D101" s="764"/>
      <c r="E101" s="764"/>
      <c r="F101" s="764"/>
      <c r="G101" s="764"/>
      <c r="H101" s="764"/>
      <c r="I101" s="764"/>
      <c r="J101" s="764"/>
      <c r="K101" s="764"/>
      <c r="L101" s="764"/>
      <c r="M101" s="764"/>
      <c r="N101" s="764"/>
      <c r="O101" s="764"/>
      <c r="P101" s="764"/>
      <c r="Q101" s="764"/>
      <c r="R101" s="764"/>
      <c r="S101" s="764"/>
      <c r="T101" s="764"/>
      <c r="U101" s="764"/>
      <c r="V101" s="765"/>
    </row>
    <row r="102" spans="1:22" ht="15.75" customHeight="1">
      <c r="A102" s="311" t="s">
        <v>7</v>
      </c>
      <c r="B102" s="308" t="s">
        <v>11</v>
      </c>
      <c r="C102" s="627" t="s">
        <v>7</v>
      </c>
      <c r="D102" s="634" t="s">
        <v>25</v>
      </c>
      <c r="E102" s="961"/>
      <c r="F102" s="636" t="s">
        <v>12</v>
      </c>
      <c r="G102" s="1066" t="s">
        <v>116</v>
      </c>
      <c r="H102" s="25" t="s">
        <v>10</v>
      </c>
      <c r="I102" s="115">
        <f>J102+L102</f>
        <v>273.9</v>
      </c>
      <c r="J102" s="125">
        <v>273.9</v>
      </c>
      <c r="K102" s="125"/>
      <c r="L102" s="126"/>
      <c r="M102" s="115">
        <f>N102+P102</f>
        <v>265.7</v>
      </c>
      <c r="N102" s="125">
        <v>229.4</v>
      </c>
      <c r="O102" s="125"/>
      <c r="P102" s="126">
        <v>36.3</v>
      </c>
      <c r="Q102" s="407">
        <f>R102+T102</f>
        <v>265.7</v>
      </c>
      <c r="R102" s="408">
        <v>229.4</v>
      </c>
      <c r="S102" s="408"/>
      <c r="T102" s="409">
        <v>36.3</v>
      </c>
      <c r="U102" s="191">
        <v>242</v>
      </c>
      <c r="V102" s="131">
        <v>242</v>
      </c>
    </row>
    <row r="103" spans="1:22" ht="15.75" customHeight="1">
      <c r="A103" s="312"/>
      <c r="B103" s="309"/>
      <c r="C103" s="628"/>
      <c r="D103" s="632"/>
      <c r="E103" s="962"/>
      <c r="F103" s="637"/>
      <c r="G103" s="1067"/>
      <c r="H103" s="33"/>
      <c r="I103" s="120">
        <f>J103+L103</f>
        <v>0</v>
      </c>
      <c r="J103" s="145"/>
      <c r="K103" s="145"/>
      <c r="L103" s="146"/>
      <c r="M103" s="120">
        <f>N103+P103</f>
        <v>0</v>
      </c>
      <c r="N103" s="145"/>
      <c r="O103" s="145"/>
      <c r="P103" s="146"/>
      <c r="Q103" s="410">
        <f>R103+T103</f>
        <v>0</v>
      </c>
      <c r="R103" s="433"/>
      <c r="S103" s="433"/>
      <c r="T103" s="434"/>
      <c r="U103" s="192"/>
      <c r="V103" s="179"/>
    </row>
    <row r="104" spans="1:22" ht="15.75" customHeight="1" thickBot="1">
      <c r="A104" s="313"/>
      <c r="B104" s="310"/>
      <c r="C104" s="629"/>
      <c r="D104" s="633"/>
      <c r="E104" s="963"/>
      <c r="F104" s="638"/>
      <c r="G104" s="1068"/>
      <c r="H104" s="401" t="s">
        <v>19</v>
      </c>
      <c r="I104" s="397">
        <f aca="true" t="shared" si="33" ref="I104:V104">SUM(I102:I103)</f>
        <v>273.9</v>
      </c>
      <c r="J104" s="398">
        <f t="shared" si="33"/>
        <v>273.9</v>
      </c>
      <c r="K104" s="398">
        <f t="shared" si="33"/>
        <v>0</v>
      </c>
      <c r="L104" s="399">
        <f t="shared" si="33"/>
        <v>0</v>
      </c>
      <c r="M104" s="397">
        <f t="shared" si="33"/>
        <v>265.7</v>
      </c>
      <c r="N104" s="398">
        <f t="shared" si="33"/>
        <v>229.4</v>
      </c>
      <c r="O104" s="398">
        <f t="shared" si="33"/>
        <v>0</v>
      </c>
      <c r="P104" s="399">
        <f t="shared" si="33"/>
        <v>36.3</v>
      </c>
      <c r="Q104" s="397">
        <f t="shared" si="33"/>
        <v>265.7</v>
      </c>
      <c r="R104" s="398">
        <f t="shared" si="33"/>
        <v>229.4</v>
      </c>
      <c r="S104" s="398">
        <f t="shared" si="33"/>
        <v>0</v>
      </c>
      <c r="T104" s="399">
        <f t="shared" si="33"/>
        <v>36.3</v>
      </c>
      <c r="U104" s="400">
        <f t="shared" si="33"/>
        <v>242</v>
      </c>
      <c r="V104" s="404">
        <f t="shared" si="33"/>
        <v>242</v>
      </c>
    </row>
    <row r="105" spans="1:22" ht="15.75" customHeight="1">
      <c r="A105" s="621" t="s">
        <v>7</v>
      </c>
      <c r="B105" s="624" t="s">
        <v>11</v>
      </c>
      <c r="C105" s="627" t="s">
        <v>8</v>
      </c>
      <c r="D105" s="1047" t="s">
        <v>136</v>
      </c>
      <c r="E105" s="1050" t="s">
        <v>21</v>
      </c>
      <c r="F105" s="911" t="s">
        <v>12</v>
      </c>
      <c r="G105" s="953" t="s">
        <v>60</v>
      </c>
      <c r="H105" s="28" t="s">
        <v>53</v>
      </c>
      <c r="I105" s="115">
        <f>J105+L105</f>
        <v>2000</v>
      </c>
      <c r="J105" s="193"/>
      <c r="K105" s="193"/>
      <c r="L105" s="194">
        <v>2000</v>
      </c>
      <c r="M105" s="115">
        <f>N105+P105</f>
        <v>1200</v>
      </c>
      <c r="N105" s="125"/>
      <c r="O105" s="128"/>
      <c r="P105" s="138">
        <v>1200</v>
      </c>
      <c r="Q105" s="529">
        <f>R105+T105</f>
        <v>1000</v>
      </c>
      <c r="R105" s="482"/>
      <c r="S105" s="482"/>
      <c r="T105" s="536">
        <f>1200-200</f>
        <v>1000</v>
      </c>
      <c r="U105" s="119"/>
      <c r="V105" s="195"/>
    </row>
    <row r="106" spans="1:22" ht="15.75" customHeight="1">
      <c r="A106" s="622"/>
      <c r="B106" s="625"/>
      <c r="C106" s="628"/>
      <c r="D106" s="1048"/>
      <c r="E106" s="1051"/>
      <c r="F106" s="677"/>
      <c r="G106" s="954"/>
      <c r="H106" s="41" t="s">
        <v>236</v>
      </c>
      <c r="I106" s="120">
        <f>J106+L106</f>
        <v>0</v>
      </c>
      <c r="J106" s="121"/>
      <c r="K106" s="121"/>
      <c r="L106" s="122"/>
      <c r="M106" s="120">
        <f>N106+P106</f>
        <v>0</v>
      </c>
      <c r="N106" s="145"/>
      <c r="O106" s="147"/>
      <c r="P106" s="148"/>
      <c r="Q106" s="410">
        <f>R106+T106</f>
        <v>0</v>
      </c>
      <c r="R106" s="457"/>
      <c r="S106" s="457"/>
      <c r="T106" s="458"/>
      <c r="U106" s="151"/>
      <c r="V106" s="151"/>
    </row>
    <row r="107" spans="1:22" ht="15.75" customHeight="1" thickBot="1">
      <c r="A107" s="623"/>
      <c r="B107" s="626"/>
      <c r="C107" s="629"/>
      <c r="D107" s="1049"/>
      <c r="E107" s="1052"/>
      <c r="F107" s="912"/>
      <c r="G107" s="955"/>
      <c r="H107" s="506" t="s">
        <v>19</v>
      </c>
      <c r="I107" s="397">
        <f aca="true" t="shared" si="34" ref="I107:V107">SUM(I105:I106)</f>
        <v>2000</v>
      </c>
      <c r="J107" s="398">
        <f t="shared" si="34"/>
        <v>0</v>
      </c>
      <c r="K107" s="398">
        <f t="shared" si="34"/>
        <v>0</v>
      </c>
      <c r="L107" s="399">
        <f t="shared" si="34"/>
        <v>2000</v>
      </c>
      <c r="M107" s="397">
        <f t="shared" si="34"/>
        <v>1200</v>
      </c>
      <c r="N107" s="398">
        <f t="shared" si="34"/>
        <v>0</v>
      </c>
      <c r="O107" s="398">
        <f t="shared" si="34"/>
        <v>0</v>
      </c>
      <c r="P107" s="399">
        <f t="shared" si="34"/>
        <v>1200</v>
      </c>
      <c r="Q107" s="397">
        <f t="shared" si="34"/>
        <v>1000</v>
      </c>
      <c r="R107" s="398">
        <f t="shared" si="34"/>
        <v>0</v>
      </c>
      <c r="S107" s="398">
        <f t="shared" si="34"/>
        <v>0</v>
      </c>
      <c r="T107" s="399">
        <f t="shared" si="34"/>
        <v>1000</v>
      </c>
      <c r="U107" s="400">
        <f t="shared" si="34"/>
        <v>0</v>
      </c>
      <c r="V107" s="404">
        <f t="shared" si="34"/>
        <v>0</v>
      </c>
    </row>
    <row r="108" spans="1:22" s="4" customFormat="1" ht="15.75" customHeight="1">
      <c r="A108" s="861" t="s">
        <v>7</v>
      </c>
      <c r="B108" s="1069" t="s">
        <v>11</v>
      </c>
      <c r="C108" s="1071" t="s">
        <v>9</v>
      </c>
      <c r="D108" s="648" t="s">
        <v>245</v>
      </c>
      <c r="E108" s="556" t="s">
        <v>21</v>
      </c>
      <c r="F108" s="1074" t="s">
        <v>13</v>
      </c>
      <c r="G108" s="931" t="s">
        <v>60</v>
      </c>
      <c r="H108" s="378" t="s">
        <v>236</v>
      </c>
      <c r="I108" s="115">
        <f>J108+L108</f>
        <v>1584.9</v>
      </c>
      <c r="J108" s="125"/>
      <c r="K108" s="125"/>
      <c r="L108" s="138">
        <v>1584.9</v>
      </c>
      <c r="M108" s="115">
        <f>N108+P108</f>
        <v>0</v>
      </c>
      <c r="N108" s="116"/>
      <c r="O108" s="116"/>
      <c r="P108" s="170"/>
      <c r="Q108" s="508">
        <f>T108</f>
        <v>0</v>
      </c>
      <c r="R108" s="408"/>
      <c r="S108" s="408"/>
      <c r="T108" s="509"/>
      <c r="U108" s="191"/>
      <c r="V108" s="191"/>
    </row>
    <row r="109" spans="1:22" s="4" customFormat="1" ht="15.75" customHeight="1">
      <c r="A109" s="697"/>
      <c r="B109" s="895"/>
      <c r="C109" s="813"/>
      <c r="D109" s="641"/>
      <c r="E109" s="557"/>
      <c r="F109" s="904"/>
      <c r="G109" s="932"/>
      <c r="H109" s="112" t="s">
        <v>10</v>
      </c>
      <c r="I109" s="120">
        <f>J109+L109</f>
        <v>0</v>
      </c>
      <c r="J109" s="156"/>
      <c r="K109" s="156"/>
      <c r="L109" s="158"/>
      <c r="M109" s="120">
        <f>N109+P109</f>
        <v>0</v>
      </c>
      <c r="N109" s="149"/>
      <c r="O109" s="149"/>
      <c r="P109" s="172"/>
      <c r="Q109" s="484">
        <f>R109+T109</f>
        <v>0</v>
      </c>
      <c r="R109" s="412"/>
      <c r="S109" s="412"/>
      <c r="T109" s="487"/>
      <c r="U109" s="196"/>
      <c r="V109" s="196"/>
    </row>
    <row r="110" spans="1:22" s="4" customFormat="1" ht="15.75" customHeight="1">
      <c r="A110" s="697"/>
      <c r="B110" s="895"/>
      <c r="C110" s="813"/>
      <c r="D110" s="641"/>
      <c r="E110" s="557"/>
      <c r="F110" s="904"/>
      <c r="G110" s="932"/>
      <c r="H110" s="112" t="s">
        <v>29</v>
      </c>
      <c r="I110" s="120">
        <f>J110+L110</f>
        <v>0</v>
      </c>
      <c r="J110" s="156"/>
      <c r="K110" s="156"/>
      <c r="L110" s="158"/>
      <c r="M110" s="120">
        <f>N110+P110</f>
        <v>1325.5</v>
      </c>
      <c r="N110" s="149"/>
      <c r="O110" s="149"/>
      <c r="P110" s="172">
        <v>1325.5</v>
      </c>
      <c r="Q110" s="484">
        <f>R110+T110</f>
        <v>1325.5</v>
      </c>
      <c r="R110" s="412"/>
      <c r="S110" s="412"/>
      <c r="T110" s="487">
        <v>1325.5</v>
      </c>
      <c r="U110" s="196">
        <v>619.4</v>
      </c>
      <c r="V110" s="196">
        <v>1</v>
      </c>
    </row>
    <row r="111" spans="1:22" s="4" customFormat="1" ht="15.75" customHeight="1">
      <c r="A111" s="697"/>
      <c r="B111" s="895"/>
      <c r="C111" s="813"/>
      <c r="D111" s="641"/>
      <c r="E111" s="595" t="s">
        <v>246</v>
      </c>
      <c r="F111" s="904"/>
      <c r="G111" s="932"/>
      <c r="H111" s="65" t="s">
        <v>46</v>
      </c>
      <c r="I111" s="197">
        <f>J111+L111</f>
        <v>1556.2</v>
      </c>
      <c r="J111" s="145"/>
      <c r="K111" s="145"/>
      <c r="L111" s="171">
        <v>1556.2</v>
      </c>
      <c r="M111" s="140">
        <f>N111+P111</f>
        <v>1074.7</v>
      </c>
      <c r="N111" s="121"/>
      <c r="O111" s="121"/>
      <c r="P111" s="171">
        <v>1074.7</v>
      </c>
      <c r="Q111" s="484">
        <f>R111+T111</f>
        <v>1074.7</v>
      </c>
      <c r="R111" s="433"/>
      <c r="S111" s="433"/>
      <c r="T111" s="472">
        <v>1074.7</v>
      </c>
      <c r="U111" s="192">
        <v>571.5</v>
      </c>
      <c r="V111" s="192">
        <v>1</v>
      </c>
    </row>
    <row r="112" spans="1:22" s="4" customFormat="1" ht="15.75" customHeight="1">
      <c r="A112" s="697"/>
      <c r="B112" s="895"/>
      <c r="C112" s="813"/>
      <c r="D112" s="641"/>
      <c r="E112" s="937" t="s">
        <v>104</v>
      </c>
      <c r="F112" s="904"/>
      <c r="G112" s="932"/>
      <c r="H112" s="66" t="s">
        <v>48</v>
      </c>
      <c r="I112" s="198">
        <f>J112+L112</f>
        <v>13228.1</v>
      </c>
      <c r="J112" s="173"/>
      <c r="K112" s="173"/>
      <c r="L112" s="199">
        <v>13228.1</v>
      </c>
      <c r="M112" s="200">
        <f>N112+P112</f>
        <v>9135.2</v>
      </c>
      <c r="N112" s="201"/>
      <c r="O112" s="202"/>
      <c r="P112" s="199">
        <v>9135.2</v>
      </c>
      <c r="Q112" s="488">
        <f>R112+T112</f>
        <v>9135.2</v>
      </c>
      <c r="R112" s="489"/>
      <c r="S112" s="489"/>
      <c r="T112" s="490">
        <v>9135.2</v>
      </c>
      <c r="U112" s="203">
        <v>4857.5</v>
      </c>
      <c r="V112" s="203">
        <v>8.2</v>
      </c>
    </row>
    <row r="113" spans="1:22" s="4" customFormat="1" ht="15.75" customHeight="1" thickBot="1">
      <c r="A113" s="781"/>
      <c r="B113" s="1070"/>
      <c r="C113" s="1072"/>
      <c r="D113" s="1073"/>
      <c r="E113" s="938"/>
      <c r="F113" s="1075"/>
      <c r="G113" s="933"/>
      <c r="H113" s="406" t="s">
        <v>19</v>
      </c>
      <c r="I113" s="476">
        <f>SUM(I108:I112)</f>
        <v>16369.2</v>
      </c>
      <c r="J113" s="477">
        <f aca="true" t="shared" si="35" ref="J113:V113">SUM(J108:J112)</f>
        <v>0</v>
      </c>
      <c r="K113" s="477">
        <f t="shared" si="35"/>
        <v>0</v>
      </c>
      <c r="L113" s="478">
        <f t="shared" si="35"/>
        <v>16369.2</v>
      </c>
      <c r="M113" s="476">
        <f t="shared" si="35"/>
        <v>11535.400000000001</v>
      </c>
      <c r="N113" s="477">
        <f t="shared" si="35"/>
        <v>0</v>
      </c>
      <c r="O113" s="477">
        <f t="shared" si="35"/>
        <v>0</v>
      </c>
      <c r="P113" s="478">
        <f t="shared" si="35"/>
        <v>11535.400000000001</v>
      </c>
      <c r="Q113" s="476">
        <f t="shared" si="35"/>
        <v>11535.400000000001</v>
      </c>
      <c r="R113" s="477">
        <f t="shared" si="35"/>
        <v>0</v>
      </c>
      <c r="S113" s="477">
        <f t="shared" si="35"/>
        <v>0</v>
      </c>
      <c r="T113" s="478">
        <f t="shared" si="35"/>
        <v>11535.400000000001</v>
      </c>
      <c r="U113" s="476">
        <f t="shared" si="35"/>
        <v>6048.4</v>
      </c>
      <c r="V113" s="476">
        <f t="shared" si="35"/>
        <v>10.2</v>
      </c>
    </row>
    <row r="114" spans="1:22" ht="15.75" customHeight="1">
      <c r="A114" s="697" t="s">
        <v>7</v>
      </c>
      <c r="B114" s="700" t="s">
        <v>11</v>
      </c>
      <c r="C114" s="651" t="s">
        <v>11</v>
      </c>
      <c r="D114" s="674" t="s">
        <v>247</v>
      </c>
      <c r="E114" s="1032" t="s">
        <v>21</v>
      </c>
      <c r="F114" s="903" t="s">
        <v>12</v>
      </c>
      <c r="G114" s="932" t="s">
        <v>60</v>
      </c>
      <c r="H114" s="32" t="s">
        <v>236</v>
      </c>
      <c r="I114" s="115">
        <f>J114+L114</f>
        <v>0</v>
      </c>
      <c r="J114" s="149"/>
      <c r="K114" s="149"/>
      <c r="L114" s="150"/>
      <c r="M114" s="115">
        <f>N114+P114</f>
        <v>0</v>
      </c>
      <c r="N114" s="149"/>
      <c r="O114" s="163"/>
      <c r="P114" s="172"/>
      <c r="Q114" s="407">
        <f>R114+T114</f>
        <v>0</v>
      </c>
      <c r="R114" s="411"/>
      <c r="S114" s="491"/>
      <c r="T114" s="459"/>
      <c r="U114" s="152">
        <v>234.6</v>
      </c>
      <c r="V114" s="152">
        <v>286.7</v>
      </c>
    </row>
    <row r="115" spans="1:22" ht="15.75" customHeight="1">
      <c r="A115" s="697"/>
      <c r="B115" s="700"/>
      <c r="C115" s="651"/>
      <c r="D115" s="674"/>
      <c r="E115" s="1032"/>
      <c r="F115" s="677"/>
      <c r="G115" s="932"/>
      <c r="H115" s="84" t="s">
        <v>48</v>
      </c>
      <c r="I115" s="120">
        <f>J115+L115</f>
        <v>0</v>
      </c>
      <c r="J115" s="121"/>
      <c r="K115" s="142"/>
      <c r="L115" s="122"/>
      <c r="M115" s="120">
        <f>N115+P115</f>
        <v>1173</v>
      </c>
      <c r="N115" s="171"/>
      <c r="O115" s="167"/>
      <c r="P115" s="171">
        <v>1173</v>
      </c>
      <c r="Q115" s="410">
        <f>R115+T115</f>
        <v>1173</v>
      </c>
      <c r="R115" s="457"/>
      <c r="S115" s="471"/>
      <c r="T115" s="458">
        <v>1173</v>
      </c>
      <c r="U115" s="151">
        <v>2111.6</v>
      </c>
      <c r="V115" s="151">
        <v>1407.8</v>
      </c>
    </row>
    <row r="116" spans="1:22" ht="15.75" customHeight="1" thickBot="1">
      <c r="A116" s="698"/>
      <c r="B116" s="863"/>
      <c r="C116" s="652"/>
      <c r="D116" s="675"/>
      <c r="E116" s="1033"/>
      <c r="F116" s="678"/>
      <c r="G116" s="1076"/>
      <c r="H116" s="402" t="s">
        <v>19</v>
      </c>
      <c r="I116" s="397">
        <f aca="true" t="shared" si="36" ref="I116:V116">SUM(I114:I115)</f>
        <v>0</v>
      </c>
      <c r="J116" s="398">
        <f t="shared" si="36"/>
        <v>0</v>
      </c>
      <c r="K116" s="398">
        <f t="shared" si="36"/>
        <v>0</v>
      </c>
      <c r="L116" s="399">
        <f t="shared" si="36"/>
        <v>0</v>
      </c>
      <c r="M116" s="397">
        <f t="shared" si="36"/>
        <v>1173</v>
      </c>
      <c r="N116" s="398">
        <f t="shared" si="36"/>
        <v>0</v>
      </c>
      <c r="O116" s="398">
        <f t="shared" si="36"/>
        <v>0</v>
      </c>
      <c r="P116" s="399">
        <f t="shared" si="36"/>
        <v>1173</v>
      </c>
      <c r="Q116" s="397">
        <f t="shared" si="36"/>
        <v>1173</v>
      </c>
      <c r="R116" s="398">
        <f t="shared" si="36"/>
        <v>0</v>
      </c>
      <c r="S116" s="398">
        <f t="shared" si="36"/>
        <v>0</v>
      </c>
      <c r="T116" s="399">
        <f t="shared" si="36"/>
        <v>1173</v>
      </c>
      <c r="U116" s="400">
        <f t="shared" si="36"/>
        <v>2346.2</v>
      </c>
      <c r="V116" s="404">
        <f t="shared" si="36"/>
        <v>1694.5</v>
      </c>
    </row>
    <row r="117" spans="1:22" ht="15.75" customHeight="1">
      <c r="A117" s="861" t="s">
        <v>7</v>
      </c>
      <c r="B117" s="862" t="s">
        <v>11</v>
      </c>
      <c r="C117" s="650" t="s">
        <v>12</v>
      </c>
      <c r="D117" s="682" t="s">
        <v>248</v>
      </c>
      <c r="E117" s="1031" t="s">
        <v>21</v>
      </c>
      <c r="F117" s="676" t="s">
        <v>13</v>
      </c>
      <c r="G117" s="1077" t="s">
        <v>60</v>
      </c>
      <c r="H117" s="29" t="s">
        <v>10</v>
      </c>
      <c r="I117" s="115">
        <f>J117+L117</f>
        <v>0</v>
      </c>
      <c r="J117" s="149"/>
      <c r="K117" s="149"/>
      <c r="L117" s="150"/>
      <c r="M117" s="115">
        <f>N117+P117</f>
        <v>0</v>
      </c>
      <c r="N117" s="116"/>
      <c r="O117" s="161"/>
      <c r="P117" s="170"/>
      <c r="Q117" s="407">
        <f>R117+T117</f>
        <v>0</v>
      </c>
      <c r="R117" s="432"/>
      <c r="S117" s="470"/>
      <c r="T117" s="456"/>
      <c r="U117" s="119"/>
      <c r="V117" s="119"/>
    </row>
    <row r="118" spans="1:22" ht="15.75" customHeight="1">
      <c r="A118" s="697"/>
      <c r="B118" s="700"/>
      <c r="C118" s="651"/>
      <c r="D118" s="674"/>
      <c r="E118" s="1032"/>
      <c r="F118" s="677"/>
      <c r="G118" s="932"/>
      <c r="H118" s="82" t="s">
        <v>48</v>
      </c>
      <c r="I118" s="120">
        <f>J118+L118</f>
        <v>0</v>
      </c>
      <c r="J118" s="121"/>
      <c r="K118" s="142"/>
      <c r="L118" s="122"/>
      <c r="M118" s="120">
        <f>N118+P118</f>
        <v>1041.8</v>
      </c>
      <c r="N118" s="171"/>
      <c r="O118" s="167"/>
      <c r="P118" s="171">
        <v>1041.8</v>
      </c>
      <c r="Q118" s="410">
        <f>R118+T118</f>
        <v>1041.8</v>
      </c>
      <c r="R118" s="457"/>
      <c r="S118" s="471"/>
      <c r="T118" s="458">
        <v>1041.8</v>
      </c>
      <c r="U118" s="151">
        <v>980.8</v>
      </c>
      <c r="V118" s="151"/>
    </row>
    <row r="119" spans="1:22" ht="15.75" customHeight="1">
      <c r="A119" s="697"/>
      <c r="B119" s="700"/>
      <c r="C119" s="651"/>
      <c r="D119" s="674"/>
      <c r="E119" s="1032"/>
      <c r="F119" s="677"/>
      <c r="G119" s="932"/>
      <c r="H119" s="82" t="s">
        <v>29</v>
      </c>
      <c r="I119" s="120">
        <f>J119+L119</f>
        <v>0</v>
      </c>
      <c r="J119" s="121"/>
      <c r="K119" s="142"/>
      <c r="L119" s="122"/>
      <c r="M119" s="120">
        <f>N119+P119</f>
        <v>67.6</v>
      </c>
      <c r="N119" s="171"/>
      <c r="O119" s="167"/>
      <c r="P119" s="142">
        <v>67.6</v>
      </c>
      <c r="Q119" s="410">
        <f>R119+T119</f>
        <v>67.6</v>
      </c>
      <c r="R119" s="457"/>
      <c r="S119" s="471"/>
      <c r="T119" s="458">
        <v>67.6</v>
      </c>
      <c r="U119" s="151">
        <v>63.7</v>
      </c>
      <c r="V119" s="151"/>
    </row>
    <row r="120" spans="1:22" ht="15.75" customHeight="1">
      <c r="A120" s="697"/>
      <c r="B120" s="700"/>
      <c r="C120" s="651"/>
      <c r="D120" s="674"/>
      <c r="E120" s="1032"/>
      <c r="F120" s="677"/>
      <c r="G120" s="932"/>
      <c r="H120" s="31" t="s">
        <v>46</v>
      </c>
      <c r="I120" s="204">
        <f>J120+L120</f>
        <v>0</v>
      </c>
      <c r="J120" s="205"/>
      <c r="K120" s="206"/>
      <c r="L120" s="207"/>
      <c r="M120" s="204">
        <f>P120</f>
        <v>122.6</v>
      </c>
      <c r="N120" s="208"/>
      <c r="O120" s="209"/>
      <c r="P120" s="206">
        <v>122.6</v>
      </c>
      <c r="Q120" s="414">
        <f>R120+T120</f>
        <v>122.6</v>
      </c>
      <c r="R120" s="492"/>
      <c r="S120" s="493"/>
      <c r="T120" s="459">
        <v>122.6</v>
      </c>
      <c r="U120" s="124">
        <v>115.4</v>
      </c>
      <c r="V120" s="124"/>
    </row>
    <row r="121" spans="1:22" ht="15.75" customHeight="1" thickBot="1">
      <c r="A121" s="698"/>
      <c r="B121" s="863"/>
      <c r="C121" s="652"/>
      <c r="D121" s="675"/>
      <c r="E121" s="1033"/>
      <c r="F121" s="678"/>
      <c r="G121" s="1076"/>
      <c r="H121" s="402" t="s">
        <v>19</v>
      </c>
      <c r="I121" s="507">
        <f aca="true" t="shared" si="37" ref="I121:V121">SUM(I117:I120)</f>
        <v>0</v>
      </c>
      <c r="J121" s="464">
        <f t="shared" si="37"/>
        <v>0</v>
      </c>
      <c r="K121" s="464">
        <f t="shared" si="37"/>
        <v>0</v>
      </c>
      <c r="L121" s="466">
        <f t="shared" si="37"/>
        <v>0</v>
      </c>
      <c r="M121" s="507">
        <f t="shared" si="37"/>
        <v>1231.9999999999998</v>
      </c>
      <c r="N121" s="464">
        <f t="shared" si="37"/>
        <v>0</v>
      </c>
      <c r="O121" s="464">
        <f t="shared" si="37"/>
        <v>0</v>
      </c>
      <c r="P121" s="466">
        <f t="shared" si="37"/>
        <v>1231.9999999999998</v>
      </c>
      <c r="Q121" s="507">
        <f t="shared" si="37"/>
        <v>1231.9999999999998</v>
      </c>
      <c r="R121" s="464">
        <f t="shared" si="37"/>
        <v>0</v>
      </c>
      <c r="S121" s="464">
        <f t="shared" si="37"/>
        <v>0</v>
      </c>
      <c r="T121" s="466">
        <f t="shared" si="37"/>
        <v>1231.9999999999998</v>
      </c>
      <c r="U121" s="481">
        <f t="shared" si="37"/>
        <v>1159.9</v>
      </c>
      <c r="V121" s="481">
        <f t="shared" si="37"/>
        <v>0</v>
      </c>
    </row>
    <row r="122" spans="1:22" ht="15.75" customHeight="1">
      <c r="A122" s="311" t="s">
        <v>7</v>
      </c>
      <c r="B122" s="308" t="s">
        <v>11</v>
      </c>
      <c r="C122" s="627" t="s">
        <v>13</v>
      </c>
      <c r="D122" s="648" t="s">
        <v>257</v>
      </c>
      <c r="E122" s="961"/>
      <c r="F122" s="636" t="s">
        <v>12</v>
      </c>
      <c r="G122" s="958" t="s">
        <v>116</v>
      </c>
      <c r="H122" s="25" t="s">
        <v>10</v>
      </c>
      <c r="I122" s="115">
        <f>J122+L122</f>
        <v>0</v>
      </c>
      <c r="J122" s="125"/>
      <c r="K122" s="125"/>
      <c r="L122" s="126"/>
      <c r="M122" s="115">
        <f>N122+P122</f>
        <v>0</v>
      </c>
      <c r="N122" s="125"/>
      <c r="O122" s="125"/>
      <c r="P122" s="126"/>
      <c r="Q122" s="407">
        <f>R122+T122</f>
        <v>0</v>
      </c>
      <c r="R122" s="408"/>
      <c r="S122" s="408"/>
      <c r="T122" s="409"/>
      <c r="U122" s="191">
        <v>324.1</v>
      </c>
      <c r="V122" s="131"/>
    </row>
    <row r="123" spans="1:22" ht="15.75" customHeight="1">
      <c r="A123" s="312"/>
      <c r="B123" s="309"/>
      <c r="C123" s="628"/>
      <c r="D123" s="641"/>
      <c r="E123" s="962"/>
      <c r="F123" s="637"/>
      <c r="G123" s="959"/>
      <c r="H123" s="33" t="s">
        <v>29</v>
      </c>
      <c r="I123" s="120">
        <f>J123+L123</f>
        <v>0</v>
      </c>
      <c r="J123" s="145"/>
      <c r="K123" s="145"/>
      <c r="L123" s="146"/>
      <c r="M123" s="120">
        <f>N123+P123</f>
        <v>0</v>
      </c>
      <c r="N123" s="145"/>
      <c r="O123" s="145"/>
      <c r="P123" s="146"/>
      <c r="Q123" s="410">
        <f>R123+T123</f>
        <v>70</v>
      </c>
      <c r="R123" s="433"/>
      <c r="S123" s="433"/>
      <c r="T123" s="434">
        <v>70</v>
      </c>
      <c r="U123" s="192"/>
      <c r="V123" s="179"/>
    </row>
    <row r="124" spans="1:22" ht="15.75" customHeight="1" thickBot="1">
      <c r="A124" s="313"/>
      <c r="B124" s="310"/>
      <c r="C124" s="629"/>
      <c r="D124" s="642"/>
      <c r="E124" s="963"/>
      <c r="F124" s="638"/>
      <c r="G124" s="960"/>
      <c r="H124" s="401" t="s">
        <v>19</v>
      </c>
      <c r="I124" s="397">
        <f aca="true" t="shared" si="38" ref="I124:V124">SUM(I122:I123)</f>
        <v>0</v>
      </c>
      <c r="J124" s="398">
        <f t="shared" si="38"/>
        <v>0</v>
      </c>
      <c r="K124" s="398">
        <f t="shared" si="38"/>
        <v>0</v>
      </c>
      <c r="L124" s="399">
        <f t="shared" si="38"/>
        <v>0</v>
      </c>
      <c r="M124" s="397">
        <f t="shared" si="38"/>
        <v>0</v>
      </c>
      <c r="N124" s="398">
        <f t="shared" si="38"/>
        <v>0</v>
      </c>
      <c r="O124" s="398">
        <f t="shared" si="38"/>
        <v>0</v>
      </c>
      <c r="P124" s="399">
        <f t="shared" si="38"/>
        <v>0</v>
      </c>
      <c r="Q124" s="397">
        <f t="shared" si="38"/>
        <v>70</v>
      </c>
      <c r="R124" s="398">
        <f t="shared" si="38"/>
        <v>0</v>
      </c>
      <c r="S124" s="398">
        <f t="shared" si="38"/>
        <v>0</v>
      </c>
      <c r="T124" s="399">
        <f t="shared" si="38"/>
        <v>70</v>
      </c>
      <c r="U124" s="400">
        <f t="shared" si="38"/>
        <v>324.1</v>
      </c>
      <c r="V124" s="404">
        <f t="shared" si="38"/>
        <v>0</v>
      </c>
    </row>
    <row r="125" spans="1:22" ht="15.75" customHeight="1">
      <c r="A125" s="311" t="s">
        <v>7</v>
      </c>
      <c r="B125" s="308" t="s">
        <v>11</v>
      </c>
      <c r="C125" s="615" t="s">
        <v>14</v>
      </c>
      <c r="D125" s="618" t="s">
        <v>259</v>
      </c>
      <c r="E125" s="662" t="s">
        <v>258</v>
      </c>
      <c r="F125" s="636" t="s">
        <v>12</v>
      </c>
      <c r="G125" s="958" t="s">
        <v>116</v>
      </c>
      <c r="H125" s="25" t="s">
        <v>10</v>
      </c>
      <c r="I125" s="115">
        <f>J125+L125</f>
        <v>0</v>
      </c>
      <c r="J125" s="125"/>
      <c r="K125" s="125"/>
      <c r="L125" s="126"/>
      <c r="M125" s="115">
        <f>N125+P125</f>
        <v>0</v>
      </c>
      <c r="N125" s="125"/>
      <c r="O125" s="125"/>
      <c r="P125" s="126"/>
      <c r="Q125" s="407">
        <f>R125+T125</f>
        <v>0</v>
      </c>
      <c r="R125" s="408"/>
      <c r="S125" s="408"/>
      <c r="T125" s="409"/>
      <c r="U125" s="191"/>
      <c r="V125" s="131"/>
    </row>
    <row r="126" spans="1:22" ht="15.75" customHeight="1">
      <c r="A126" s="312"/>
      <c r="B126" s="309"/>
      <c r="C126" s="616"/>
      <c r="D126" s="619"/>
      <c r="E126" s="663"/>
      <c r="F126" s="637"/>
      <c r="G126" s="959"/>
      <c r="H126" s="33"/>
      <c r="I126" s="120">
        <f>J126+L126</f>
        <v>0</v>
      </c>
      <c r="J126" s="145"/>
      <c r="K126" s="145"/>
      <c r="L126" s="146"/>
      <c r="M126" s="120">
        <f>N126+P126</f>
        <v>0</v>
      </c>
      <c r="N126" s="145"/>
      <c r="O126" s="145"/>
      <c r="P126" s="146"/>
      <c r="Q126" s="410">
        <f>R126+T126</f>
        <v>0</v>
      </c>
      <c r="R126" s="433"/>
      <c r="S126" s="433"/>
      <c r="T126" s="434"/>
      <c r="U126" s="192"/>
      <c r="V126" s="179"/>
    </row>
    <row r="127" spans="1:22" ht="15.75" customHeight="1" thickBot="1">
      <c r="A127" s="313"/>
      <c r="B127" s="310"/>
      <c r="C127" s="617"/>
      <c r="D127" s="661"/>
      <c r="E127" s="664"/>
      <c r="F127" s="638"/>
      <c r="G127" s="960"/>
      <c r="H127" s="401" t="s">
        <v>19</v>
      </c>
      <c r="I127" s="397">
        <f aca="true" t="shared" si="39" ref="I127:V127">SUM(I125:I126)</f>
        <v>0</v>
      </c>
      <c r="J127" s="398">
        <f t="shared" si="39"/>
        <v>0</v>
      </c>
      <c r="K127" s="398">
        <f t="shared" si="39"/>
        <v>0</v>
      </c>
      <c r="L127" s="399">
        <f t="shared" si="39"/>
        <v>0</v>
      </c>
      <c r="M127" s="397">
        <f t="shared" si="39"/>
        <v>0</v>
      </c>
      <c r="N127" s="398">
        <f t="shared" si="39"/>
        <v>0</v>
      </c>
      <c r="O127" s="398">
        <f t="shared" si="39"/>
        <v>0</v>
      </c>
      <c r="P127" s="399">
        <f t="shared" si="39"/>
        <v>0</v>
      </c>
      <c r="Q127" s="397">
        <f t="shared" si="39"/>
        <v>0</v>
      </c>
      <c r="R127" s="398">
        <f t="shared" si="39"/>
        <v>0</v>
      </c>
      <c r="S127" s="398">
        <f t="shared" si="39"/>
        <v>0</v>
      </c>
      <c r="T127" s="399">
        <f t="shared" si="39"/>
        <v>0</v>
      </c>
      <c r="U127" s="400">
        <f t="shared" si="39"/>
        <v>0</v>
      </c>
      <c r="V127" s="404">
        <f t="shared" si="39"/>
        <v>0</v>
      </c>
    </row>
    <row r="128" spans="1:22" ht="15.75" customHeight="1" thickBot="1">
      <c r="A128" s="20" t="s">
        <v>7</v>
      </c>
      <c r="B128" s="1" t="s">
        <v>11</v>
      </c>
      <c r="C128" s="659" t="s">
        <v>18</v>
      </c>
      <c r="D128" s="660"/>
      <c r="E128" s="660"/>
      <c r="F128" s="660"/>
      <c r="G128" s="660"/>
      <c r="H128" s="649"/>
      <c r="I128" s="190">
        <f aca="true" t="shared" si="40" ref="I128:T128">SUM(I127,I121,I116,I113,I107,I104)</f>
        <v>18643.100000000002</v>
      </c>
      <c r="J128" s="190">
        <f t="shared" si="40"/>
        <v>273.9</v>
      </c>
      <c r="K128" s="190">
        <f t="shared" si="40"/>
        <v>0</v>
      </c>
      <c r="L128" s="190">
        <f t="shared" si="40"/>
        <v>18369.2</v>
      </c>
      <c r="M128" s="190">
        <f t="shared" si="40"/>
        <v>15406.100000000002</v>
      </c>
      <c r="N128" s="190">
        <f t="shared" si="40"/>
        <v>229.4</v>
      </c>
      <c r="O128" s="190">
        <f t="shared" si="40"/>
        <v>0</v>
      </c>
      <c r="P128" s="190">
        <f t="shared" si="40"/>
        <v>15176.7</v>
      </c>
      <c r="Q128" s="190">
        <f t="shared" si="40"/>
        <v>15206.100000000002</v>
      </c>
      <c r="R128" s="190">
        <f t="shared" si="40"/>
        <v>229.4</v>
      </c>
      <c r="S128" s="190">
        <f t="shared" si="40"/>
        <v>0</v>
      </c>
      <c r="T128" s="190">
        <f t="shared" si="40"/>
        <v>14976.7</v>
      </c>
      <c r="U128" s="190">
        <f>SUM(U104,U107,U113,U116,U121,U127)</f>
        <v>9796.499999999998</v>
      </c>
      <c r="V128" s="190">
        <f>SUM(V104,V107,V113,V116,V121,V127)</f>
        <v>1946.7</v>
      </c>
    </row>
    <row r="129" spans="1:22" ht="15.75" customHeight="1" thickBot="1">
      <c r="A129" s="20" t="s">
        <v>7</v>
      </c>
      <c r="B129" s="1081" t="s">
        <v>20</v>
      </c>
      <c r="C129" s="1082"/>
      <c r="D129" s="1082"/>
      <c r="E129" s="1082"/>
      <c r="F129" s="1082"/>
      <c r="G129" s="1082"/>
      <c r="H129" s="1083"/>
      <c r="I129" s="379">
        <f aca="true" t="shared" si="41" ref="I129:V129">SUM(I70,I89,I100,I128)</f>
        <v>40720.4</v>
      </c>
      <c r="J129" s="379">
        <f t="shared" si="41"/>
        <v>21189.4</v>
      </c>
      <c r="K129" s="379">
        <f t="shared" si="41"/>
        <v>815.0999999999999</v>
      </c>
      <c r="L129" s="379">
        <f t="shared" si="41"/>
        <v>19531</v>
      </c>
      <c r="M129" s="379">
        <f t="shared" si="41"/>
        <v>45013.5</v>
      </c>
      <c r="N129" s="379">
        <f t="shared" si="41"/>
        <v>25279.100000000006</v>
      </c>
      <c r="O129" s="379">
        <f t="shared" si="41"/>
        <v>813.8</v>
      </c>
      <c r="P129" s="379">
        <f t="shared" si="41"/>
        <v>19734.4</v>
      </c>
      <c r="Q129" s="379">
        <f t="shared" si="41"/>
        <v>34632.3</v>
      </c>
      <c r="R129" s="379">
        <f t="shared" si="41"/>
        <v>17503.600000000002</v>
      </c>
      <c r="S129" s="379">
        <f t="shared" si="41"/>
        <v>773.4</v>
      </c>
      <c r="T129" s="379">
        <f t="shared" si="41"/>
        <v>17128.7</v>
      </c>
      <c r="U129" s="379">
        <f t="shared" si="41"/>
        <v>32340.199999999997</v>
      </c>
      <c r="V129" s="379">
        <f t="shared" si="41"/>
        <v>23799.500000000004</v>
      </c>
    </row>
    <row r="130" spans="1:22" ht="15.75" customHeight="1" thickBot="1">
      <c r="A130" s="24" t="s">
        <v>14</v>
      </c>
      <c r="B130" s="380"/>
      <c r="C130" s="381"/>
      <c r="D130" s="387"/>
      <c r="E130" s="544"/>
      <c r="F130" s="544"/>
      <c r="G130" s="873" t="s">
        <v>22</v>
      </c>
      <c r="H130" s="873"/>
      <c r="I130" s="215">
        <f aca="true" t="shared" si="42" ref="I130:V130">I129</f>
        <v>40720.4</v>
      </c>
      <c r="J130" s="215">
        <f t="shared" si="42"/>
        <v>21189.4</v>
      </c>
      <c r="K130" s="215">
        <f t="shared" si="42"/>
        <v>815.0999999999999</v>
      </c>
      <c r="L130" s="215">
        <f t="shared" si="42"/>
        <v>19531</v>
      </c>
      <c r="M130" s="215">
        <f t="shared" si="42"/>
        <v>45013.5</v>
      </c>
      <c r="N130" s="215">
        <f t="shared" si="42"/>
        <v>25279.100000000006</v>
      </c>
      <c r="O130" s="215">
        <f t="shared" si="42"/>
        <v>813.8</v>
      </c>
      <c r="P130" s="215">
        <f t="shared" si="42"/>
        <v>19734.4</v>
      </c>
      <c r="Q130" s="215">
        <f t="shared" si="42"/>
        <v>34632.3</v>
      </c>
      <c r="R130" s="215">
        <f t="shared" si="42"/>
        <v>17503.600000000002</v>
      </c>
      <c r="S130" s="215">
        <f t="shared" si="42"/>
        <v>773.4</v>
      </c>
      <c r="T130" s="215">
        <f t="shared" si="42"/>
        <v>17128.7</v>
      </c>
      <c r="U130" s="215">
        <f t="shared" si="42"/>
        <v>32340.199999999997</v>
      </c>
      <c r="V130" s="215">
        <f t="shared" si="42"/>
        <v>23799.500000000004</v>
      </c>
    </row>
    <row r="132" spans="1:22" ht="15" customHeight="1">
      <c r="A132" s="881" t="s">
        <v>34</v>
      </c>
      <c r="B132" s="881"/>
      <c r="C132" s="881"/>
      <c r="D132" s="881"/>
      <c r="E132" s="881"/>
      <c r="F132" s="881"/>
      <c r="G132" s="881"/>
      <c r="H132" s="881"/>
      <c r="I132" s="881"/>
      <c r="J132" s="881"/>
      <c r="K132" s="881"/>
      <c r="L132" s="881"/>
      <c r="M132" s="881"/>
      <c r="N132" s="881"/>
      <c r="O132" s="881"/>
      <c r="P132" s="881"/>
      <c r="Q132" s="881"/>
      <c r="R132" s="881"/>
      <c r="S132" s="881"/>
      <c r="T132" s="881"/>
      <c r="U132" s="7"/>
      <c r="V132" s="7"/>
    </row>
    <row r="133" spans="1:22" ht="14.25" customHeight="1" thickBot="1">
      <c r="A133" s="5"/>
      <c r="B133" s="6"/>
      <c r="C133" s="6"/>
      <c r="D133" s="6"/>
      <c r="E133" s="12"/>
      <c r="F133" s="12"/>
      <c r="G133" s="6"/>
      <c r="H133" s="11"/>
      <c r="I133" s="739"/>
      <c r="J133" s="739"/>
      <c r="K133" s="739"/>
      <c r="L133" s="739"/>
      <c r="M133" s="7"/>
      <c r="N133" s="7"/>
      <c r="O133" s="8"/>
      <c r="P133" s="7"/>
      <c r="Q133" s="741"/>
      <c r="R133" s="741"/>
      <c r="S133" s="741"/>
      <c r="T133" s="741"/>
      <c r="U133" s="67"/>
      <c r="V133" s="42"/>
    </row>
    <row r="134" spans="1:22" ht="37.5" customHeight="1" thickBot="1">
      <c r="A134" s="653" t="s">
        <v>26</v>
      </c>
      <c r="B134" s="654"/>
      <c r="C134" s="654"/>
      <c r="D134" s="654"/>
      <c r="E134" s="654"/>
      <c r="F134" s="654"/>
      <c r="G134" s="654"/>
      <c r="H134" s="655"/>
      <c r="I134" s="736" t="s">
        <v>124</v>
      </c>
      <c r="J134" s="737"/>
      <c r="K134" s="737"/>
      <c r="L134" s="738"/>
      <c r="M134" s="736" t="s">
        <v>122</v>
      </c>
      <c r="N134" s="737"/>
      <c r="O134" s="737"/>
      <c r="P134" s="738"/>
      <c r="Q134" s="740" t="s">
        <v>93</v>
      </c>
      <c r="R134" s="737"/>
      <c r="S134" s="737"/>
      <c r="T134" s="738"/>
      <c r="U134" s="734"/>
      <c r="V134" s="735"/>
    </row>
    <row r="135" spans="1:22" ht="13.5" customHeight="1">
      <c r="A135" s="810" t="s">
        <v>30</v>
      </c>
      <c r="B135" s="811"/>
      <c r="C135" s="811"/>
      <c r="D135" s="811"/>
      <c r="E135" s="811"/>
      <c r="F135" s="811"/>
      <c r="G135" s="811"/>
      <c r="H135" s="812"/>
      <c r="I135" s="1078">
        <f>SUM(I136:L141)</f>
        <v>23936.100000000002</v>
      </c>
      <c r="J135" s="1079"/>
      <c r="K135" s="1079"/>
      <c r="L135" s="1080"/>
      <c r="M135" s="1078">
        <f>SUM(M136:P141)</f>
        <v>29829.400000000005</v>
      </c>
      <c r="N135" s="1079"/>
      <c r="O135" s="1079"/>
      <c r="P135" s="1080"/>
      <c r="Q135" s="1078">
        <f>SUM(Q136:T141)</f>
        <v>19493.200000000004</v>
      </c>
      <c r="R135" s="1079"/>
      <c r="S135" s="1079"/>
      <c r="T135" s="1080"/>
      <c r="U135" s="19"/>
      <c r="V135" s="19"/>
    </row>
    <row r="136" spans="1:22" ht="13.5" customHeight="1">
      <c r="A136" s="900" t="s">
        <v>31</v>
      </c>
      <c r="B136" s="901"/>
      <c r="C136" s="901"/>
      <c r="D136" s="901"/>
      <c r="E136" s="901"/>
      <c r="F136" s="901"/>
      <c r="G136" s="901"/>
      <c r="H136" s="902"/>
      <c r="I136" s="807">
        <f>SUMIF(H12:H131,"SB",I12:I131)</f>
        <v>21520.6</v>
      </c>
      <c r="J136" s="808"/>
      <c r="K136" s="808"/>
      <c r="L136" s="809"/>
      <c r="M136" s="807">
        <f>SUMIF(H12:H131,"SB",M12:M16)</f>
        <v>27345.100000000002</v>
      </c>
      <c r="N136" s="808"/>
      <c r="O136" s="808"/>
      <c r="P136" s="809"/>
      <c r="Q136" s="807">
        <f>SUMIF(H12:H131,"sb",Q12:Q131)</f>
        <v>17108.9</v>
      </c>
      <c r="R136" s="808"/>
      <c r="S136" s="808"/>
      <c r="T136" s="809"/>
      <c r="U136" s="388"/>
      <c r="V136" s="388"/>
    </row>
    <row r="137" spans="1:22" ht="13.5" customHeight="1">
      <c r="A137" s="890" t="s">
        <v>118</v>
      </c>
      <c r="B137" s="891"/>
      <c r="C137" s="891"/>
      <c r="D137" s="891"/>
      <c r="E137" s="891"/>
      <c r="F137" s="891"/>
      <c r="G137" s="891"/>
      <c r="H137" s="892"/>
      <c r="I137" s="807">
        <f>SUMIF(H12:H131,"SB(SP)",I12:I131)</f>
        <v>12.4</v>
      </c>
      <c r="J137" s="808"/>
      <c r="K137" s="808"/>
      <c r="L137" s="809"/>
      <c r="M137" s="751">
        <f>SUMIF(H12:H131,"SB(SP)",M12:M131)</f>
        <v>59.9</v>
      </c>
      <c r="N137" s="752"/>
      <c r="O137" s="752"/>
      <c r="P137" s="753"/>
      <c r="Q137" s="751">
        <f>SUMIF(H12:H131,"sb(sp)",Q12:Q131)</f>
        <v>59.9</v>
      </c>
      <c r="R137" s="752"/>
      <c r="S137" s="752"/>
      <c r="T137" s="753"/>
      <c r="U137" s="388"/>
      <c r="V137" s="388"/>
    </row>
    <row r="138" spans="1:22" ht="13.5" customHeight="1">
      <c r="A138" s="875" t="s">
        <v>249</v>
      </c>
      <c r="B138" s="876"/>
      <c r="C138" s="876"/>
      <c r="D138" s="876"/>
      <c r="E138" s="876"/>
      <c r="F138" s="876"/>
      <c r="G138" s="876"/>
      <c r="H138" s="877"/>
      <c r="I138" s="751">
        <f>SUMIF(H12:H131,"SB(SPN)",I12:I131)</f>
        <v>48.400000000000006</v>
      </c>
      <c r="J138" s="752"/>
      <c r="K138" s="752"/>
      <c r="L138" s="753"/>
      <c r="M138" s="751">
        <f>SUMIF(H12:H131,"SB(SPN)",M12:M131)</f>
        <v>0</v>
      </c>
      <c r="N138" s="752"/>
      <c r="O138" s="752"/>
      <c r="P138" s="753"/>
      <c r="Q138" s="751">
        <f>SUMIF(H12:H131,"SB(sPN)",Q12:Q131)</f>
        <v>0</v>
      </c>
      <c r="R138" s="752"/>
      <c r="S138" s="752"/>
      <c r="T138" s="753"/>
      <c r="U138" s="388"/>
      <c r="V138" s="388"/>
    </row>
    <row r="139" spans="1:22" ht="13.5" customHeight="1">
      <c r="A139" s="878" t="s">
        <v>250</v>
      </c>
      <c r="B139" s="879"/>
      <c r="C139" s="879"/>
      <c r="D139" s="879"/>
      <c r="E139" s="879"/>
      <c r="F139" s="879"/>
      <c r="G139" s="879"/>
      <c r="H139" s="880"/>
      <c r="I139" s="807">
        <f>SUMIF(H12:H131,"P",I12:I131)</f>
        <v>2354.7</v>
      </c>
      <c r="J139" s="808"/>
      <c r="K139" s="808"/>
      <c r="L139" s="809"/>
      <c r="M139" s="807">
        <f>SUMIF(H12:H131,"P",M12:M131)</f>
        <v>2201.5</v>
      </c>
      <c r="N139" s="808"/>
      <c r="O139" s="808"/>
      <c r="P139" s="809"/>
      <c r="Q139" s="807">
        <f>SUMIF(H12:H131,"P",Q12:Q131)</f>
        <v>2101.5</v>
      </c>
      <c r="R139" s="808"/>
      <c r="S139" s="808"/>
      <c r="T139" s="809"/>
      <c r="U139" s="388"/>
      <c r="V139" s="388"/>
    </row>
    <row r="140" spans="1:22" ht="13.5" customHeight="1">
      <c r="A140" s="875" t="s">
        <v>107</v>
      </c>
      <c r="B140" s="876"/>
      <c r="C140" s="876"/>
      <c r="D140" s="876"/>
      <c r="E140" s="876"/>
      <c r="F140" s="876"/>
      <c r="G140" s="876"/>
      <c r="H140" s="877"/>
      <c r="I140" s="807">
        <f>SUMIF(H12:H131,"SB(F)",I12:I131)</f>
        <v>0</v>
      </c>
      <c r="J140" s="808"/>
      <c r="K140" s="808"/>
      <c r="L140" s="809"/>
      <c r="M140" s="807">
        <f>SUMIF(H12:H131,"SB(F)",M12:M131)</f>
        <v>222.9</v>
      </c>
      <c r="N140" s="808"/>
      <c r="O140" s="808"/>
      <c r="P140" s="809"/>
      <c r="Q140" s="807">
        <f>SUMIF(H12:H131,"SB(F)",Q12:Q131)</f>
        <v>222.9</v>
      </c>
      <c r="R140" s="808"/>
      <c r="S140" s="808"/>
      <c r="T140" s="809"/>
      <c r="U140" s="388"/>
      <c r="V140" s="388"/>
    </row>
    <row r="141" spans="1:22" ht="13.5" customHeight="1">
      <c r="A141" s="897" t="s">
        <v>28</v>
      </c>
      <c r="B141" s="898"/>
      <c r="C141" s="898"/>
      <c r="D141" s="898"/>
      <c r="E141" s="898"/>
      <c r="F141" s="898"/>
      <c r="G141" s="898"/>
      <c r="H141" s="899"/>
      <c r="I141" s="668">
        <f>SUMIF(H12:H131,"PF",I12:I131)</f>
        <v>0</v>
      </c>
      <c r="J141" s="669"/>
      <c r="K141" s="669"/>
      <c r="L141" s="670"/>
      <c r="M141" s="668">
        <f>SUMIF(H12:H131,"PF",M12:M131)</f>
        <v>0</v>
      </c>
      <c r="N141" s="669"/>
      <c r="O141" s="669"/>
      <c r="P141" s="670"/>
      <c r="Q141" s="668">
        <f>SUMIF(H12:H131,"pf",Q12:Q131)</f>
        <v>0</v>
      </c>
      <c r="R141" s="669"/>
      <c r="S141" s="669"/>
      <c r="T141" s="670"/>
      <c r="U141" s="388"/>
      <c r="V141" s="388"/>
    </row>
    <row r="142" spans="1:22" ht="13.5" customHeight="1">
      <c r="A142" s="882" t="s">
        <v>32</v>
      </c>
      <c r="B142" s="883"/>
      <c r="C142" s="883"/>
      <c r="D142" s="883"/>
      <c r="E142" s="883"/>
      <c r="F142" s="883"/>
      <c r="G142" s="883"/>
      <c r="H142" s="884"/>
      <c r="I142" s="748">
        <f>SUM(I143:L146)</f>
        <v>16784.3</v>
      </c>
      <c r="J142" s="749"/>
      <c r="K142" s="749"/>
      <c r="L142" s="750"/>
      <c r="M142" s="748">
        <f>SUM(M143:P146)</f>
        <v>15184.1</v>
      </c>
      <c r="N142" s="749"/>
      <c r="O142" s="749"/>
      <c r="P142" s="750"/>
      <c r="Q142" s="748">
        <f>SUM(Q143:T146)</f>
        <v>15209.1</v>
      </c>
      <c r="R142" s="749"/>
      <c r="S142" s="749"/>
      <c r="T142" s="750"/>
      <c r="U142" s="19"/>
      <c r="V142" s="19"/>
    </row>
    <row r="143" spans="1:22" ht="13.5" customHeight="1">
      <c r="A143" s="878" t="s">
        <v>49</v>
      </c>
      <c r="B143" s="879"/>
      <c r="C143" s="879"/>
      <c r="D143" s="879"/>
      <c r="E143" s="879"/>
      <c r="F143" s="879"/>
      <c r="G143" s="879"/>
      <c r="H143" s="880"/>
      <c r="I143" s="807">
        <f>SUMIF(H12:H131,"LRVB",I12:I131)</f>
        <v>1556.2</v>
      </c>
      <c r="J143" s="808"/>
      <c r="K143" s="808"/>
      <c r="L143" s="809"/>
      <c r="M143" s="807">
        <f>SUMIF(H12:H131,"LRVB",M12:M131)</f>
        <v>1197.3</v>
      </c>
      <c r="N143" s="808"/>
      <c r="O143" s="808"/>
      <c r="P143" s="809"/>
      <c r="Q143" s="807">
        <f>SUMIF(H12:H131,"LRVB",Q12:Q131)</f>
        <v>1197.3</v>
      </c>
      <c r="R143" s="808"/>
      <c r="S143" s="808"/>
      <c r="T143" s="809"/>
      <c r="U143" s="388"/>
      <c r="V143" s="388"/>
    </row>
    <row r="144" spans="1:22" ht="13.5" customHeight="1">
      <c r="A144" s="875" t="s">
        <v>54</v>
      </c>
      <c r="B144" s="876"/>
      <c r="C144" s="876"/>
      <c r="D144" s="876"/>
      <c r="E144" s="876"/>
      <c r="F144" s="876"/>
      <c r="G144" s="876"/>
      <c r="H144" s="877"/>
      <c r="I144" s="751">
        <f>SUMIF(H12:H131,"KPP",I12:I131)</f>
        <v>2000</v>
      </c>
      <c r="J144" s="752"/>
      <c r="K144" s="752"/>
      <c r="L144" s="753"/>
      <c r="M144" s="751">
        <f>SUMIF(H12:H131,"KPP",M12:M131)</f>
        <v>1200</v>
      </c>
      <c r="N144" s="752"/>
      <c r="O144" s="752"/>
      <c r="P144" s="753"/>
      <c r="Q144" s="751">
        <f>SUMIF(H12:H131,"KPP",Q12:Q131)</f>
        <v>1155</v>
      </c>
      <c r="R144" s="752"/>
      <c r="S144" s="752"/>
      <c r="T144" s="753"/>
      <c r="U144" s="388"/>
      <c r="V144" s="388"/>
    </row>
    <row r="145" spans="1:22" ht="13.5" customHeight="1">
      <c r="A145" s="754" t="s">
        <v>50</v>
      </c>
      <c r="B145" s="755"/>
      <c r="C145" s="755"/>
      <c r="D145" s="755"/>
      <c r="E145" s="755"/>
      <c r="F145" s="755"/>
      <c r="G145" s="755"/>
      <c r="H145" s="756"/>
      <c r="I145" s="745">
        <f>SUMIF(H12:H131,"ES",I12:I131)</f>
        <v>13228.1</v>
      </c>
      <c r="J145" s="746"/>
      <c r="K145" s="746"/>
      <c r="L145" s="747"/>
      <c r="M145" s="745">
        <f>SUMIF(H12:H131,"ES",M12:M131)</f>
        <v>11393.7</v>
      </c>
      <c r="N145" s="746"/>
      <c r="O145" s="746"/>
      <c r="P145" s="747"/>
      <c r="Q145" s="745">
        <f>SUMIF(H12:H131,"ES",Q12:Q131)</f>
        <v>11393.7</v>
      </c>
      <c r="R145" s="746"/>
      <c r="S145" s="746"/>
      <c r="T145" s="747"/>
      <c r="U145" s="388"/>
      <c r="V145" s="388"/>
    </row>
    <row r="146" spans="1:22" ht="13.5" customHeight="1">
      <c r="A146" s="665" t="s">
        <v>145</v>
      </c>
      <c r="B146" s="666"/>
      <c r="C146" s="666"/>
      <c r="D146" s="666"/>
      <c r="E146" s="666"/>
      <c r="F146" s="666"/>
      <c r="G146" s="666"/>
      <c r="H146" s="667"/>
      <c r="I146" s="668">
        <f>SUMIF(H12:H130,"Kt",I12:I130)</f>
        <v>0</v>
      </c>
      <c r="J146" s="669"/>
      <c r="K146" s="669"/>
      <c r="L146" s="670"/>
      <c r="M146" s="668">
        <f>SUMIF(H12:H130,"Kt",M12:M130)</f>
        <v>1393.1</v>
      </c>
      <c r="N146" s="669"/>
      <c r="O146" s="669"/>
      <c r="P146" s="670"/>
      <c r="Q146" s="668">
        <f>SUMIF(H12:H130,"Kt",Q12:Q130)</f>
        <v>1463.1</v>
      </c>
      <c r="R146" s="669"/>
      <c r="S146" s="669"/>
      <c r="T146" s="670"/>
      <c r="U146" s="388"/>
      <c r="V146" s="388"/>
    </row>
    <row r="147" spans="1:22" ht="13.5" customHeight="1" thickBot="1">
      <c r="A147" s="869" t="s">
        <v>33</v>
      </c>
      <c r="B147" s="870"/>
      <c r="C147" s="870"/>
      <c r="D147" s="870"/>
      <c r="E147" s="870"/>
      <c r="F147" s="870"/>
      <c r="G147" s="870"/>
      <c r="H147" s="871"/>
      <c r="I147" s="887">
        <f>I142+I135</f>
        <v>40720.4</v>
      </c>
      <c r="J147" s="888"/>
      <c r="K147" s="888"/>
      <c r="L147" s="889"/>
      <c r="M147" s="887">
        <f>M142+M135</f>
        <v>45013.50000000001</v>
      </c>
      <c r="N147" s="888"/>
      <c r="O147" s="888"/>
      <c r="P147" s="889"/>
      <c r="Q147" s="887">
        <f>Q142+Q135</f>
        <v>34702.3</v>
      </c>
      <c r="R147" s="888"/>
      <c r="S147" s="888"/>
      <c r="T147" s="889"/>
      <c r="U147" s="88"/>
      <c r="V147" s="88"/>
    </row>
    <row r="148" spans="9:20" ht="12.75">
      <c r="I148" s="885"/>
      <c r="J148" s="886"/>
      <c r="K148" s="886"/>
      <c r="L148" s="886"/>
      <c r="Q148" s="885"/>
      <c r="R148" s="886"/>
      <c r="S148" s="886"/>
      <c r="T148" s="886"/>
    </row>
  </sheetData>
  <sheetProtection/>
  <mergeCells count="274">
    <mergeCell ref="I148:L148"/>
    <mergeCell ref="Q148:T148"/>
    <mergeCell ref="A147:H147"/>
    <mergeCell ref="I147:L147"/>
    <mergeCell ref="M147:P147"/>
    <mergeCell ref="Q147:T147"/>
    <mergeCell ref="A146:H146"/>
    <mergeCell ref="I146:L146"/>
    <mergeCell ref="M146:P146"/>
    <mergeCell ref="Q146:T146"/>
    <mergeCell ref="A145:H145"/>
    <mergeCell ref="I145:L145"/>
    <mergeCell ref="M145:P145"/>
    <mergeCell ref="Q145:T145"/>
    <mergeCell ref="A144:H144"/>
    <mergeCell ref="I144:L144"/>
    <mergeCell ref="M144:P144"/>
    <mergeCell ref="Q144:T144"/>
    <mergeCell ref="A143:H143"/>
    <mergeCell ref="I143:L143"/>
    <mergeCell ref="M143:P143"/>
    <mergeCell ref="Q143:T143"/>
    <mergeCell ref="A142:H142"/>
    <mergeCell ref="I142:L142"/>
    <mergeCell ref="M142:P142"/>
    <mergeCell ref="Q142:T142"/>
    <mergeCell ref="A141:H141"/>
    <mergeCell ref="I141:L141"/>
    <mergeCell ref="M141:P141"/>
    <mergeCell ref="Q141:T141"/>
    <mergeCell ref="A140:H140"/>
    <mergeCell ref="I140:L140"/>
    <mergeCell ref="M140:P140"/>
    <mergeCell ref="Q140:T140"/>
    <mergeCell ref="A139:H139"/>
    <mergeCell ref="I139:L139"/>
    <mergeCell ref="M139:P139"/>
    <mergeCell ref="Q139:T139"/>
    <mergeCell ref="A138:H138"/>
    <mergeCell ref="I138:L138"/>
    <mergeCell ref="M138:P138"/>
    <mergeCell ref="Q138:T138"/>
    <mergeCell ref="A137:H137"/>
    <mergeCell ref="I137:L137"/>
    <mergeCell ref="M137:P137"/>
    <mergeCell ref="Q137:T137"/>
    <mergeCell ref="Q136:T136"/>
    <mergeCell ref="A134:H134"/>
    <mergeCell ref="I134:L134"/>
    <mergeCell ref="M134:P134"/>
    <mergeCell ref="Q134:T134"/>
    <mergeCell ref="I133:L133"/>
    <mergeCell ref="A136:H136"/>
    <mergeCell ref="I136:L136"/>
    <mergeCell ref="M136:P136"/>
    <mergeCell ref="C128:H128"/>
    <mergeCell ref="B129:H129"/>
    <mergeCell ref="G130:H130"/>
    <mergeCell ref="A132:T132"/>
    <mergeCell ref="U134:V134"/>
    <mergeCell ref="A135:H135"/>
    <mergeCell ref="I135:L135"/>
    <mergeCell ref="M135:P135"/>
    <mergeCell ref="Q135:T135"/>
    <mergeCell ref="Q133:T133"/>
    <mergeCell ref="G114:G116"/>
    <mergeCell ref="A117:A121"/>
    <mergeCell ref="B117:B121"/>
    <mergeCell ref="C117:C121"/>
    <mergeCell ref="D117:D121"/>
    <mergeCell ref="E117:E121"/>
    <mergeCell ref="F117:F121"/>
    <mergeCell ref="G117:G121"/>
    <mergeCell ref="A114:A116"/>
    <mergeCell ref="A108:A113"/>
    <mergeCell ref="B108:B113"/>
    <mergeCell ref="C108:C113"/>
    <mergeCell ref="D108:D113"/>
    <mergeCell ref="E102:E104"/>
    <mergeCell ref="F102:F104"/>
    <mergeCell ref="G102:G104"/>
    <mergeCell ref="B114:B116"/>
    <mergeCell ref="C114:C116"/>
    <mergeCell ref="D114:D116"/>
    <mergeCell ref="E114:E116"/>
    <mergeCell ref="F114:F116"/>
    <mergeCell ref="F108:F113"/>
    <mergeCell ref="E105:E107"/>
    <mergeCell ref="A94:A96"/>
    <mergeCell ref="B94:B96"/>
    <mergeCell ref="C94:C96"/>
    <mergeCell ref="D94:D96"/>
    <mergeCell ref="E94:E96"/>
    <mergeCell ref="C100:H100"/>
    <mergeCell ref="C101:V101"/>
    <mergeCell ref="C102:C104"/>
    <mergeCell ref="D102:D104"/>
    <mergeCell ref="D86:D88"/>
    <mergeCell ref="A105:A107"/>
    <mergeCell ref="B105:B107"/>
    <mergeCell ref="C105:C107"/>
    <mergeCell ref="D105:D107"/>
    <mergeCell ref="A97:A99"/>
    <mergeCell ref="B97:B99"/>
    <mergeCell ref="C97:C99"/>
    <mergeCell ref="D97:D99"/>
    <mergeCell ref="F86:F88"/>
    <mergeCell ref="G86:G88"/>
    <mergeCell ref="C90:V90"/>
    <mergeCell ref="C91:C93"/>
    <mergeCell ref="D91:D93"/>
    <mergeCell ref="E91:E93"/>
    <mergeCell ref="F91:F93"/>
    <mergeCell ref="G91:G93"/>
    <mergeCell ref="E86:E88"/>
    <mergeCell ref="C86:C88"/>
    <mergeCell ref="D82:D85"/>
    <mergeCell ref="E82:E85"/>
    <mergeCell ref="F82:F85"/>
    <mergeCell ref="G82:G85"/>
    <mergeCell ref="F75:F77"/>
    <mergeCell ref="G75:G77"/>
    <mergeCell ref="E75:E77"/>
    <mergeCell ref="C78:C80"/>
    <mergeCell ref="D78:D80"/>
    <mergeCell ref="E78:E80"/>
    <mergeCell ref="F78:F80"/>
    <mergeCell ref="G78:G80"/>
    <mergeCell ref="A75:A77"/>
    <mergeCell ref="B75:B77"/>
    <mergeCell ref="C75:C77"/>
    <mergeCell ref="D75:D77"/>
    <mergeCell ref="G67:G69"/>
    <mergeCell ref="C70:H70"/>
    <mergeCell ref="C71:Q71"/>
    <mergeCell ref="A72:A74"/>
    <mergeCell ref="B72:B74"/>
    <mergeCell ref="C72:C74"/>
    <mergeCell ref="D72:D74"/>
    <mergeCell ref="A67:A69"/>
    <mergeCell ref="B67:B69"/>
    <mergeCell ref="C67:C69"/>
    <mergeCell ref="G59:G62"/>
    <mergeCell ref="A63:A66"/>
    <mergeCell ref="B63:B66"/>
    <mergeCell ref="C63:C66"/>
    <mergeCell ref="D63:D66"/>
    <mergeCell ref="E63:E66"/>
    <mergeCell ref="F63:F66"/>
    <mergeCell ref="E59:E62"/>
    <mergeCell ref="F59:F62"/>
    <mergeCell ref="D67:D69"/>
    <mergeCell ref="E67:E69"/>
    <mergeCell ref="F67:F69"/>
    <mergeCell ref="A59:A62"/>
    <mergeCell ref="B59:B62"/>
    <mergeCell ref="C59:C62"/>
    <mergeCell ref="D59:D62"/>
    <mergeCell ref="E53:E55"/>
    <mergeCell ref="F53:F55"/>
    <mergeCell ref="G53:G55"/>
    <mergeCell ref="A56:A58"/>
    <mergeCell ref="B56:B58"/>
    <mergeCell ref="C56:C58"/>
    <mergeCell ref="D56:D58"/>
    <mergeCell ref="F56:F58"/>
    <mergeCell ref="G56:G58"/>
    <mergeCell ref="A53:A55"/>
    <mergeCell ref="B53:B55"/>
    <mergeCell ref="C53:C55"/>
    <mergeCell ref="D53:D55"/>
    <mergeCell ref="G41:G44"/>
    <mergeCell ref="C46:C48"/>
    <mergeCell ref="D46:D48"/>
    <mergeCell ref="C49:C51"/>
    <mergeCell ref="D49:D51"/>
    <mergeCell ref="C41:C44"/>
    <mergeCell ref="D41:D44"/>
    <mergeCell ref="E41:E44"/>
    <mergeCell ref="F41:F44"/>
    <mergeCell ref="A38:A40"/>
    <mergeCell ref="B38:B40"/>
    <mergeCell ref="C38:C40"/>
    <mergeCell ref="D38:D40"/>
    <mergeCell ref="A35:A37"/>
    <mergeCell ref="B35:B37"/>
    <mergeCell ref="C35:C37"/>
    <mergeCell ref="D35:D37"/>
    <mergeCell ref="E31:E33"/>
    <mergeCell ref="F31:F33"/>
    <mergeCell ref="G31:G33"/>
    <mergeCell ref="D32:D33"/>
    <mergeCell ref="C25:C27"/>
    <mergeCell ref="A31:A33"/>
    <mergeCell ref="B31:B33"/>
    <mergeCell ref="C31:C33"/>
    <mergeCell ref="A28:A30"/>
    <mergeCell ref="B28:B30"/>
    <mergeCell ref="C28:C30"/>
    <mergeCell ref="D28:D30"/>
    <mergeCell ref="E28:E30"/>
    <mergeCell ref="A21:A23"/>
    <mergeCell ref="B21:B23"/>
    <mergeCell ref="C21:C23"/>
    <mergeCell ref="D21:D23"/>
    <mergeCell ref="A18:A20"/>
    <mergeCell ref="B18:B20"/>
    <mergeCell ref="C18:C20"/>
    <mergeCell ref="A12:A14"/>
    <mergeCell ref="B12:B14"/>
    <mergeCell ref="C12:C14"/>
    <mergeCell ref="R6:S6"/>
    <mergeCell ref="T6:T7"/>
    <mergeCell ref="A8:V8"/>
    <mergeCell ref="A9:V9"/>
    <mergeCell ref="D5:D7"/>
    <mergeCell ref="Q5:T5"/>
    <mergeCell ref="U5:U7"/>
    <mergeCell ref="V5:V7"/>
    <mergeCell ref="I6:I7"/>
    <mergeCell ref="Q6:Q7"/>
    <mergeCell ref="C125:C127"/>
    <mergeCell ref="D125:D127"/>
    <mergeCell ref="C122:C124"/>
    <mergeCell ref="D122:D124"/>
    <mergeCell ref="E122:E124"/>
    <mergeCell ref="B10:V10"/>
    <mergeCell ref="G12:G14"/>
    <mergeCell ref="D12:D14"/>
    <mergeCell ref="E12:E14"/>
    <mergeCell ref="J6:K6"/>
    <mergeCell ref="L6:L7"/>
    <mergeCell ref="M6:M7"/>
    <mergeCell ref="P6:P7"/>
    <mergeCell ref="E5:E7"/>
    <mergeCell ref="D15:D17"/>
    <mergeCell ref="E15:E17"/>
    <mergeCell ref="G105:G107"/>
    <mergeCell ref="D18:D20"/>
    <mergeCell ref="F12:F14"/>
    <mergeCell ref="E18:E20"/>
    <mergeCell ref="F18:F20"/>
    <mergeCell ref="F28:F30"/>
    <mergeCell ref="D25:D27"/>
    <mergeCell ref="G15:G17"/>
    <mergeCell ref="G18:G20"/>
    <mergeCell ref="F21:F23"/>
    <mergeCell ref="E125:E127"/>
    <mergeCell ref="F125:F127"/>
    <mergeCell ref="G125:G127"/>
    <mergeCell ref="F122:F124"/>
    <mergeCell ref="G122:G124"/>
    <mergeCell ref="E25:E27"/>
    <mergeCell ref="G28:G30"/>
    <mergeCell ref="A2:V2"/>
    <mergeCell ref="A3:V3"/>
    <mergeCell ref="A5:A7"/>
    <mergeCell ref="B5:B7"/>
    <mergeCell ref="C5:C7"/>
    <mergeCell ref="H5:H7"/>
    <mergeCell ref="I5:L5"/>
    <mergeCell ref="N6:O6"/>
    <mergeCell ref="F5:F7"/>
    <mergeCell ref="G5:G7"/>
    <mergeCell ref="M5:P5"/>
    <mergeCell ref="C11:V11"/>
    <mergeCell ref="C15:C17"/>
    <mergeCell ref="G108:G113"/>
    <mergeCell ref="F25:F27"/>
    <mergeCell ref="G25:G27"/>
    <mergeCell ref="E112:E113"/>
    <mergeCell ref="F105:F107"/>
    <mergeCell ref="G21:G23"/>
    <mergeCell ref="F15:F17"/>
  </mergeCells>
  <printOptions/>
  <pageMargins left="0" right="0" top="0" bottom="0" header="0.31496062992125984" footer="0.31496062992125984"/>
  <pageSetup horizontalDpi="600" verticalDpi="600" orientation="landscape" paperSize="9" scale="80" r:id="rId1"/>
  <rowBreaks count="3" manualBreakCount="3">
    <brk id="34" max="255" man="1"/>
    <brk id="70" max="255" man="1"/>
    <brk id="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valdyba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L.Demidova</cp:lastModifiedBy>
  <cp:lastPrinted>2012-07-09T06:25:03Z</cp:lastPrinted>
  <dcterms:created xsi:type="dcterms:W3CDTF">2004-04-19T12:01:47Z</dcterms:created>
  <dcterms:modified xsi:type="dcterms:W3CDTF">2012-07-12T13:00:33Z</dcterms:modified>
  <cp:category/>
  <cp:version/>
  <cp:contentType/>
  <cp:contentStatus/>
</cp:coreProperties>
</file>