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200" windowHeight="11580" tabRatio="859" activeTab="0"/>
  </bookViews>
  <sheets>
    <sheet name="1 lentelė" sheetId="1" r:id="rId1"/>
    <sheet name="bendras lesu poreikis" sheetId="2" r:id="rId2"/>
    <sheet name="vertinimo kriterijai" sheetId="3" r:id="rId3"/>
    <sheet name="01.01.01" sheetId="4" r:id="rId4"/>
    <sheet name="02.01.01" sheetId="5" r:id="rId5"/>
  </sheets>
  <definedNames>
    <definedName name="_xlnm.Print_Area" localSheetId="2">'vertinimo kriterijai'!$A$1:$G$44</definedName>
    <definedName name="_xlnm.Print_Titles" localSheetId="0">'1 lentelė'!$6:$8</definedName>
    <definedName name="_xlnm.Print_Titles" localSheetId="2">'vertinimo kriterijai'!$7:$8</definedName>
  </definedNames>
  <calcPr fullCalcOnLoad="1"/>
</workbook>
</file>

<file path=xl/comments1.xml><?xml version="1.0" encoding="utf-8"?>
<comments xmlns="http://schemas.openxmlformats.org/spreadsheetml/2006/main">
  <authors>
    <author>S.Kacerauskaite</author>
    <author>Snieguole Kacerauskaite</author>
  </authors>
  <commentList>
    <comment ref="D74" authorId="0">
      <text>
        <r>
          <rPr>
            <sz val="9"/>
            <rFont val="Tahoma"/>
            <family val="2"/>
          </rPr>
          <t>Planuojama įrengti liftą su šachta neįgaliųjų patekimui į mokymo klases</t>
        </r>
      </text>
    </comment>
    <comment ref="D98" authorId="1">
      <text>
        <r>
          <rPr>
            <sz val="9"/>
            <rFont val="Tahoma"/>
            <family val="2"/>
          </rPr>
          <t>Klaipėdos miesto centrinės ir šiaurinės dalies ikimokyklinio ugdymo įstaigų patalpų renovacija ir įrangos įsigijimas įvykdyti 2011 m., 2012 m. lėšos reikalingos kreditiniams įsiskolinimams padengti.</t>
        </r>
        <r>
          <rPr>
            <sz val="9"/>
            <rFont val="Tahoma"/>
            <family val="2"/>
          </rPr>
          <t xml:space="preserve">
</t>
        </r>
      </text>
    </comment>
  </commentList>
</comments>
</file>

<file path=xl/comments3.xml><?xml version="1.0" encoding="utf-8"?>
<comments xmlns="http://schemas.openxmlformats.org/spreadsheetml/2006/main">
  <authors>
    <author>Snieguole Kacerauskaite</author>
  </authors>
  <commentList>
    <comment ref="E34" authorId="0">
      <text>
        <r>
          <rPr>
            <sz val="9"/>
            <rFont val="Tahoma"/>
            <family val="2"/>
          </rPr>
          <t xml:space="preserve">1) Klaipėdos ,,Varpo“ gimnazijos pastato šiluminė renovacija,
2) Klaipėdos Liudviko Stulpino  pagrindinės mokyklos pastato  šiluminė renovacija,
3) Klaipėdos Sendvario pagrindinės mokyklos pastato šiluminė renovacija, 
4) Vitės pagrindinės mokyklos pastato modernizavimas,
5) Klaipėdos „Santarvės“ pagrindinės mokyklos pastato rekonstrukcija
</t>
        </r>
      </text>
    </comment>
    <comment ref="D18" authorId="0">
      <text>
        <r>
          <rPr>
            <sz val="9"/>
            <rFont val="Tahoma"/>
            <family val="2"/>
          </rPr>
          <t xml:space="preserve">Projekto "Gamtos mokslų kokybės gerinimas Vakarų Latvijoje ir Lietuvoje" įgyvendinimas  („Vėtrungės“, Vytauto Didžiojo ir Hermano Zudermano gimnazijose)
</t>
        </r>
      </text>
    </comment>
    <comment ref="D15" authorId="0">
      <text>
        <r>
          <rPr>
            <sz val="9"/>
            <rFont val="Tahoma"/>
            <family val="2"/>
          </rPr>
          <t xml:space="preserve">Projekto "Gamtos mokslų kokybės gerinimas Vakarų Latvijoje ir Lietuvoje" įgyvendinimas  („Vėtrungės“, Vytauto Didžiojo ir Hermano Zudermano gimnazijose)
</t>
        </r>
      </text>
    </comment>
  </commentList>
</comments>
</file>

<file path=xl/comments5.xml><?xml version="1.0" encoding="utf-8"?>
<comments xmlns="http://schemas.openxmlformats.org/spreadsheetml/2006/main">
  <authors>
    <author>S.Kacerauskaite</author>
  </authors>
  <commentList>
    <comment ref="D34" authorId="0">
      <text>
        <r>
          <rPr>
            <sz val="9"/>
            <rFont val="Tahoma"/>
            <family val="2"/>
          </rPr>
          <t>2012 m. planuojamas pastogės patalpų pritaikymas mokymo reikmėms, drenažo sistemos rekonstrukcija, kompiuterinių telefoninių tinklų sutvarkymas, apšvietimo klasėje sutvarkymas, vėdinimo sistemos pajungimas</t>
        </r>
      </text>
    </comment>
  </commentList>
</comments>
</file>

<file path=xl/sharedStrings.xml><?xml version="1.0" encoding="utf-8"?>
<sst xmlns="http://schemas.openxmlformats.org/spreadsheetml/2006/main" count="621" uniqueCount="267">
  <si>
    <t>P5.1.2.3</t>
  </si>
  <si>
    <r>
      <t xml:space="preserve">Gautinos lėšos iš kitų savivaldybių atsiskaitymui už atvykusius mokinius </t>
    </r>
    <r>
      <rPr>
        <b/>
        <sz val="10"/>
        <rFont val="Times New Roman"/>
        <family val="1"/>
      </rPr>
      <t>SB(MK)</t>
    </r>
  </si>
  <si>
    <r>
      <t>Savivaldybės privatizavimo fondo lėšos</t>
    </r>
    <r>
      <rPr>
        <b/>
        <sz val="10"/>
        <rFont val="Times New Roman"/>
        <family val="1"/>
      </rPr>
      <t xml:space="preserve"> PF</t>
    </r>
  </si>
  <si>
    <r>
      <t xml:space="preserve">Valstybės biudžeto lėšos </t>
    </r>
    <r>
      <rPr>
        <b/>
        <sz val="10"/>
        <rFont val="Times New Roman"/>
        <family val="1"/>
      </rPr>
      <t>LRVB</t>
    </r>
  </si>
  <si>
    <t>Finansavimo šaltinių suvestinė</t>
  </si>
  <si>
    <t>Finansavimo šaltiniai</t>
  </si>
  <si>
    <t>I</t>
  </si>
  <si>
    <t>LRVB</t>
  </si>
  <si>
    <t>ES</t>
  </si>
  <si>
    <t>PF</t>
  </si>
  <si>
    <t>08</t>
  </si>
  <si>
    <t>tūkst. Lt</t>
  </si>
  <si>
    <t>10</t>
  </si>
  <si>
    <t>11</t>
  </si>
  <si>
    <t>Iš viso tikslui:</t>
  </si>
  <si>
    <t>Iš viso programai:</t>
  </si>
  <si>
    <t>Programos tikslo kodas</t>
  </si>
  <si>
    <t>SB(MK)</t>
  </si>
  <si>
    <t>Uždavinio kodas</t>
  </si>
  <si>
    <t>Priemonės kodas</t>
  </si>
  <si>
    <t>Priemonės požymis</t>
  </si>
  <si>
    <t>Asignavimų valdytojo kodas</t>
  </si>
  <si>
    <t>Finansavimo šaltinis</t>
  </si>
  <si>
    <t>Iš viso</t>
  </si>
  <si>
    <t>Išlaidoms</t>
  </si>
  <si>
    <t>01</t>
  </si>
  <si>
    <t>09</t>
  </si>
  <si>
    <t>SB</t>
  </si>
  <si>
    <t>Iš viso:</t>
  </si>
  <si>
    <t>02</t>
  </si>
  <si>
    <t>SB(VB)</t>
  </si>
  <si>
    <t>03</t>
  </si>
  <si>
    <t>Iš viso uždaviniui:</t>
  </si>
  <si>
    <t>04</t>
  </si>
  <si>
    <t>05</t>
  </si>
  <si>
    <t>06</t>
  </si>
  <si>
    <t>Turtui įsigyti ir finansiniams įsipareigojimams vykdyti</t>
  </si>
  <si>
    <t>Pavadinimas</t>
  </si>
  <si>
    <t>Iš jų darbo užmokesčiui</t>
  </si>
  <si>
    <t>SAVIVALDYBĖS  LĖŠOS, IŠ VISO:</t>
  </si>
  <si>
    <t>KITI ŠALTINIAI, IŠ VISO:</t>
  </si>
  <si>
    <t>IŠ VISO:</t>
  </si>
  <si>
    <t>SB(SP)</t>
  </si>
  <si>
    <t>VERTINIMO KRITERIJŲ SUVESTINĖ</t>
  </si>
  <si>
    <t>2 lentelė</t>
  </si>
  <si>
    <t xml:space="preserve">Kodas </t>
  </si>
  <si>
    <t>(Savivaldybės strateginio tikslo pavadinimas)</t>
  </si>
  <si>
    <t>(Programos, skirtos šiam strateginiam tikslui įgyvendinti, pavadinimas)</t>
  </si>
  <si>
    <t>Įgyvendinamas įstaigos strateginio tikslo kodas, programos kodas</t>
  </si>
  <si>
    <t>Vertinimo kriterijus</t>
  </si>
  <si>
    <t>Vertinimo kriterijaus kodas</t>
  </si>
  <si>
    <t>2012-ųjų metų planas</t>
  </si>
  <si>
    <t>Mato vienetas</t>
  </si>
  <si>
    <t>Rezultato:</t>
  </si>
  <si>
    <t>1-ajam programos tikslui</t>
  </si>
  <si>
    <t>2-ajam programos tikslui</t>
  </si>
  <si>
    <t>Produkto:</t>
  </si>
  <si>
    <t>1-ajam uždaviniui</t>
  </si>
  <si>
    <t>2-ajam uždaviniui</t>
  </si>
  <si>
    <t>03.10</t>
  </si>
  <si>
    <t>KLAIPĖDOS MIESTO SAVIVALDYBĖS UGDYMO PROCESO UŽTIKRINIMO PROGRAMA (Nr. 10)</t>
  </si>
  <si>
    <t>P-10-01-01-01</t>
  </si>
  <si>
    <t>P-10-01-02-01</t>
  </si>
  <si>
    <t>P-10-02-01-01</t>
  </si>
  <si>
    <t>P-10-02-01-02</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</si>
  <si>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</si>
  <si>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</si>
  <si>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</si>
  <si>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r>
      <t xml:space="preserve">Kiti finansavimo šaltiniai </t>
    </r>
    <r>
      <rPr>
        <b/>
        <sz val="10"/>
        <rFont val="Times New Roman"/>
        <family val="1"/>
      </rPr>
      <t>Kt</t>
    </r>
  </si>
  <si>
    <t>UGDYMO PROCESO UŽTIKRINIMO PROGRAMOS (NR. 10)</t>
  </si>
  <si>
    <t>10 Ugdymo proceso užtikrinimo programa</t>
  </si>
  <si>
    <t>Savivaldybės biudžetas, iš jo:</t>
  </si>
  <si>
    <t>2013-ųjų metų planas</t>
  </si>
  <si>
    <t>P-10-01-01-02</t>
  </si>
  <si>
    <t>1 lentelė</t>
  </si>
  <si>
    <t>R-10-01-01</t>
  </si>
  <si>
    <t>R-10-01-03</t>
  </si>
  <si>
    <t>R-10-02-01</t>
  </si>
  <si>
    <t>R-10-02-02</t>
  </si>
  <si>
    <t xml:space="preserve"> P5.1.4.6</t>
  </si>
  <si>
    <t>P11</t>
  </si>
  <si>
    <t>P5.1.4.1</t>
  </si>
  <si>
    <t>P5.1.4.8</t>
  </si>
  <si>
    <t xml:space="preserve"> P5.1.2.2</t>
  </si>
  <si>
    <t xml:space="preserve"> P5.1.3.4</t>
  </si>
  <si>
    <r>
      <t>03 Strateginis tikslas. Užtikrinti gyventojams aukštą švietimo, kultūros, socialinių, sporto ir sveikatos apsaugos paslaugų kokybę ir prieinamu</t>
    </r>
    <r>
      <rPr>
        <b/>
        <sz val="10"/>
        <rFont val="Times New Roman"/>
        <family val="1"/>
      </rPr>
      <t>mą</t>
    </r>
    <r>
      <rPr>
        <b/>
        <sz val="10"/>
        <rFont val="Times New Roman"/>
        <family val="1"/>
      </rPr>
      <t xml:space="preserve"> </t>
    </r>
  </si>
  <si>
    <t>Kt</t>
  </si>
  <si>
    <t>3-iajam uždaviniui</t>
  </si>
  <si>
    <r>
      <t xml:space="preserve">Lifto įrengimas </t>
    </r>
    <r>
      <rPr>
        <sz val="10"/>
        <rFont val="Times New Roman"/>
        <family val="1"/>
      </rPr>
      <t>Klaipėdos 2-ojoje specialiojoje mokykloje</t>
    </r>
  </si>
  <si>
    <t>P5.1.2.2.</t>
  </si>
  <si>
    <t xml:space="preserve">Turtui įsigyti ir finansiniams įsipareigojimams vykdyti </t>
  </si>
  <si>
    <t>1</t>
  </si>
  <si>
    <t>2</t>
  </si>
  <si>
    <r>
      <t xml:space="preserve">Pajamų įmokos už paslaugas </t>
    </r>
    <r>
      <rPr>
        <b/>
        <sz val="10"/>
        <rFont val="Times New Roman"/>
        <family val="1"/>
      </rPr>
      <t>SB(SP)</t>
    </r>
  </si>
  <si>
    <t xml:space="preserve">2011–2014 METŲ KLAIPĖDOS MIESTO SAVIVALDYBĖS </t>
  </si>
  <si>
    <t>Asignavimai 2011-iesiems metams</t>
  </si>
  <si>
    <t>2012-ųjų metų asignavimų planas</t>
  </si>
  <si>
    <t>Asignavimai 2011-iesiems metams*</t>
  </si>
  <si>
    <t>Brandos egzaminų administravimas ir išorės vertinimo vykdymas</t>
  </si>
  <si>
    <t>KVJUD</t>
  </si>
  <si>
    <t>Sudaryti sąlygas gauti pedagoginę, psichologinę, metodinę ir kitą ugdymo proceso kokybės gerinimui įtakos turinčią pagalbą</t>
  </si>
  <si>
    <t>2014-ųjų metų planas</t>
  </si>
  <si>
    <t>Sudaryti sąlygas aukštesnei bendrojo lavinimo ir neformaliojo švietimo kokybei</t>
  </si>
  <si>
    <t>P-10-01-02-02</t>
  </si>
  <si>
    <t>2090/1130</t>
  </si>
  <si>
    <t>2100/1110</t>
  </si>
  <si>
    <t>2120/1100</t>
  </si>
  <si>
    <t>1. Pedagoginėje psichologinėje tarnyboje aptarnautų asmenų skaičius per metus</t>
  </si>
  <si>
    <t>2. Ugdytinių skaičius Regos ugdymo centre</t>
  </si>
  <si>
    <t xml:space="preserve">1. Įstaigų, per metus prijungtų prie LITNET paslaugų sistemos, skaičius </t>
  </si>
  <si>
    <t>Edukacinių renginių organizavimas, dalyvavimas respublikiniuose renginiuose, kitų projektų vykdymas</t>
  </si>
  <si>
    <t>Jaunimo saviraiškos centro išvystymo galimybių studijos (koncepcijos ir ekonominio modelio) parengimas</t>
  </si>
  <si>
    <t>Ugdymo proceso ir aplinkos užtikrinimas neformaliojo ugdymo įstaigose</t>
  </si>
  <si>
    <t>Vadovų atestavimas, dalyvavimas respublikiniuose mokymuose ir miesto metodinėje veikloje</t>
  </si>
  <si>
    <t>Lėšų poreikis biudžetiniams 2012-iesiems metams</t>
  </si>
  <si>
    <t>*Švietimo įstaigų paruošimas naujiems mokslo metams</t>
  </si>
  <si>
    <t>*Šilumos tinklų ir karšto vandens tinklų sistemų priežiūra</t>
  </si>
  <si>
    <t>*Ryšių kabelių kanalų nuoma</t>
  </si>
  <si>
    <t>*Šilumos ir karšto vandens tiekimo sistemų renovacija ir remontas</t>
  </si>
  <si>
    <t>*Švietimo įstaigų pastatų apsauga</t>
  </si>
  <si>
    <t>*Priešgaisrinių reikalavimų vykdymas švietimo įstaigose</t>
  </si>
  <si>
    <t>*Kiemų ir privažiavimų kelių prie švietimo įstaigų sutvarkymas</t>
  </si>
  <si>
    <t>Neformaliojo švietimo įstaigų pastatų rekonstrukcija:</t>
  </si>
  <si>
    <t>Ikimokyklinio ugdymo įstaigų, kuriose vykdomi struktūriniai pertvarkymai, patalpų pritaikymas ugdymo proceso organizavimui:</t>
  </si>
  <si>
    <t>P5.1.1.4</t>
  </si>
  <si>
    <t>Neformaliojo švietimo įstaigų patalpų pritaikymas ugdymo proceso organizavimui:</t>
  </si>
  <si>
    <t>Vaikų laisvalaikio centro (Molo g. 2);</t>
  </si>
  <si>
    <t>Moksleivių saviraiškos centro (naujų patalpų Smiltelės  g .22 pritaikymas).</t>
  </si>
  <si>
    <t>Renovuoti ugdymo įstaigų pastatus ir patalpas</t>
  </si>
  <si>
    <t>Organizuoti materialinį, ūkinį ir techninį ugdymo įstaigų aptarnavimą</t>
  </si>
  <si>
    <t>Padidinti ikimokyklinio ugdymo paslaugų prieinamumą</t>
  </si>
  <si>
    <t>*LITNET paslaugų užtikrinimas</t>
  </si>
  <si>
    <t>Ikimokyklinio amžiaus vaikų registravimo ir apskaitos informacinės sistemos sukūrimas</t>
  </si>
  <si>
    <t>Ugdymo įstaigų ūkinio aptarnavimo organizavimas:</t>
  </si>
  <si>
    <t>Užtikrinti kokybišką ugdymo proceso organizavimą</t>
  </si>
  <si>
    <t>12</t>
  </si>
  <si>
    <t>Transporto priemonės įsigijimas Klaipėdos lopšelio-darželio „Sakalėlis“ specialiųjų  poreikių vaikams pavėžėti</t>
  </si>
  <si>
    <r>
      <t xml:space="preserve">BĮ Klaipėdos pedagoginės psichologinės tarnybos </t>
    </r>
    <r>
      <rPr>
        <sz val="10"/>
        <rFont val="Times New Roman"/>
        <family val="1"/>
      </rPr>
      <t>veiklos organizavimo užtikrinimas</t>
    </r>
  </si>
  <si>
    <r>
      <t xml:space="preserve">Klaipėdos regos ugdymo centro </t>
    </r>
    <r>
      <rPr>
        <sz val="10"/>
        <rFont val="Times New Roman"/>
        <family val="1"/>
      </rPr>
      <t>veiklos organizavimo užtikrinimas</t>
    </r>
  </si>
  <si>
    <r>
      <t xml:space="preserve">BĮ Klaipėdos pedagogų švietimo ir kultūros centro </t>
    </r>
    <r>
      <rPr>
        <sz val="10"/>
        <rFont val="Times New Roman"/>
        <family val="1"/>
      </rPr>
      <t xml:space="preserve"> veiklos organizavimo užtikrinimas</t>
    </r>
  </si>
  <si>
    <r>
      <t xml:space="preserve">Ugdymo proceso ir aplinkos užtikrinimas </t>
    </r>
    <r>
      <rPr>
        <b/>
        <sz val="10"/>
        <rFont val="Times New Roman"/>
        <family val="1"/>
      </rPr>
      <t>mokyklose-darželiuose ir pradinėse mokyklose</t>
    </r>
  </si>
  <si>
    <t xml:space="preserve">Ugdymo proceso ir aplinkos užtikrinimas gimnazijose, vidurinio  ugdymo mokyklose, progimnazijose, pagrindinio ugdymo ir  nevalstybinėse bendrojo ugdymo mokyklose </t>
  </si>
  <si>
    <r>
      <t xml:space="preserve">Klaipėdos miesto </t>
    </r>
    <r>
      <rPr>
        <b/>
        <sz val="10"/>
        <rFont val="Times New Roman"/>
        <family val="1"/>
      </rPr>
      <t>ikimokyklinio ugdymo įstaigų</t>
    </r>
    <r>
      <rPr>
        <sz val="10"/>
        <rFont val="Times New Roman"/>
        <family val="1"/>
      </rPr>
      <t xml:space="preserve"> patalpų renovacija ir įrangos įsigijimas</t>
    </r>
  </si>
  <si>
    <r>
      <t>Įrengimų įsigijimas ugdymo įstaigų maisto blokuose</t>
    </r>
    <r>
      <rPr>
        <sz val="10"/>
        <rFont val="Times New Roman"/>
        <family val="1"/>
      </rPr>
      <t xml:space="preserve"> pagal tikrinančių institucijų reikalavimus </t>
    </r>
  </si>
  <si>
    <r>
      <t xml:space="preserve">Sanitarinių patalpų einamasis remontas </t>
    </r>
    <r>
      <rPr>
        <b/>
        <sz val="10"/>
        <rFont val="Times New Roman"/>
        <family val="1"/>
      </rPr>
      <t>ugdymo įstaigose</t>
    </r>
  </si>
  <si>
    <t>Sudaryti sąlygas ugdytis ir įgyti išsilavinimą pagal įvairias ugdymo programas</t>
  </si>
  <si>
    <t>3. Įsigytų vaikiškų lovyčių skaičius</t>
  </si>
  <si>
    <t>2-iajam programos tikslui</t>
  </si>
  <si>
    <t>R-10-01-04</t>
  </si>
  <si>
    <t>P-10-01-01-04</t>
  </si>
  <si>
    <t>P-10-01-01-05</t>
  </si>
  <si>
    <t>P-10-01-02-04</t>
  </si>
  <si>
    <t>P-10-02-03-01</t>
  </si>
  <si>
    <t>P-10-02-03-02</t>
  </si>
  <si>
    <t>P-10-02-03-04</t>
  </si>
  <si>
    <t>P-10-02-02-01</t>
  </si>
  <si>
    <t>P-10-02-02-02</t>
  </si>
  <si>
    <t>P-10-02-02-03</t>
  </si>
  <si>
    <t>2013-ųjų metų lėšų poreikis</t>
  </si>
  <si>
    <t>2014-ųjų metų  lėšų poreikis</t>
  </si>
  <si>
    <t>Patalpų pritaikymas bendrojo ugdymo mokyklų reikmėms:</t>
  </si>
  <si>
    <t>SB(P)</t>
  </si>
  <si>
    <r>
      <t xml:space="preserve">Paskolos lėšos </t>
    </r>
    <r>
      <rPr>
        <b/>
        <sz val="10"/>
        <rFont val="Times New Roman"/>
        <family val="1"/>
      </rPr>
      <t>SB(P)</t>
    </r>
  </si>
  <si>
    <t>Ikimokyklinio ugdymo įstaigų pastatų modernizavimas:</t>
  </si>
  <si>
    <t xml:space="preserve">Programos (Nr. 10) lėšų poreikis ir numatomi finansavimo šaltiniai       </t>
  </si>
  <si>
    <t>Ekonominės klasifikacijos grupės</t>
  </si>
  <si>
    <t>1. IŠ VISO LĖŠŲ POREIKIS:</t>
  </si>
  <si>
    <t>1.1. išlaidoms, iš jų:</t>
  </si>
  <si>
    <t>1.1.1. darbo užmokesčiui</t>
  </si>
  <si>
    <t>1.2. turtui įsigyti ir finansiniams įsipareigojimams vykdyti</t>
  </si>
  <si>
    <t>2. FINANSAVIMO ŠALTINIAI:</t>
  </si>
  <si>
    <t>2.1. SAVIVALDYBĖS  LĖŠOS, IŠ VISO:</t>
  </si>
  <si>
    <t>2.1.1. Savivaldybės biudžetas, iš jo:</t>
  </si>
  <si>
    <r>
      <t xml:space="preserve">2.1.1.1.  savivaldybės biudžeto lėšos </t>
    </r>
    <r>
      <rPr>
        <b/>
        <sz val="10"/>
        <rFont val="Times New Roman"/>
        <family val="1"/>
      </rPr>
      <t>SB</t>
    </r>
  </si>
  <si>
    <t>2.1.2. Savivaldybės privatizavimo fondo lėšos PF</t>
  </si>
  <si>
    <t>2.2. KITI ŠALTINIAI, IŠ VISO:</t>
  </si>
  <si>
    <r>
      <t xml:space="preserve">2.2.1. Europos Sąjungos paramos lėšos </t>
    </r>
    <r>
      <rPr>
        <b/>
        <sz val="10"/>
        <rFont val="Times New Roman"/>
        <family val="1"/>
      </rPr>
      <t>ES</t>
    </r>
  </si>
  <si>
    <r>
      <t xml:space="preserve">2.2.2. valstybės biudžeto lėšos </t>
    </r>
    <r>
      <rPr>
        <b/>
        <sz val="10"/>
        <rFont val="Times New Roman"/>
        <family val="1"/>
      </rPr>
      <t>LRVB</t>
    </r>
  </si>
  <si>
    <r>
      <t xml:space="preserve">2.2.3. kiti finansavimo šaltiniai </t>
    </r>
    <r>
      <rPr>
        <b/>
        <sz val="10"/>
        <rFont val="Times New Roman"/>
        <family val="1"/>
      </rPr>
      <t>Kt</t>
    </r>
  </si>
  <si>
    <r>
      <t xml:space="preserve">2.1.1.3. Pajamų įmokos už paslaugas </t>
    </r>
    <r>
      <rPr>
        <b/>
        <sz val="10"/>
        <rFont val="Times New Roman"/>
        <family val="1"/>
      </rPr>
      <t>SB(SP)</t>
    </r>
  </si>
  <si>
    <r>
      <t xml:space="preserve">2.1.1.4.  Valstybės biudžeto specialiosios tikslinės dotacijos lėšos </t>
    </r>
    <r>
      <rPr>
        <b/>
        <sz val="10"/>
        <rFont val="Times New Roman"/>
        <family val="1"/>
      </rPr>
      <t>SB(VB)</t>
    </r>
  </si>
  <si>
    <r>
      <t xml:space="preserve">2.1.1.5. gautinos lėšos iš kitų savivaldybių atsiskaitymui už atvykusius mokinius </t>
    </r>
    <r>
      <rPr>
        <b/>
        <sz val="10"/>
        <rFont val="Times New Roman"/>
        <family val="1"/>
      </rPr>
      <t>SB(MK)</t>
    </r>
  </si>
  <si>
    <r>
      <t xml:space="preserve">2.1.1.6. paskolos lėšos </t>
    </r>
    <r>
      <rPr>
        <b/>
        <sz val="10"/>
        <rFont val="Times New Roman"/>
        <family val="1"/>
      </rPr>
      <t>SB(P)</t>
    </r>
  </si>
  <si>
    <t>2014-ųjų metų lėšų poreikis</t>
  </si>
  <si>
    <t>07</t>
  </si>
  <si>
    <t xml:space="preserve"> TIKSLŲ, UŽDAVINIŲ, PRIEMONIŲ IR PRIEMONIŲ IŠLAIDŲ SUVESTINĖ</t>
  </si>
  <si>
    <t>Gerinti ugdymo sąlygas ir aplinką</t>
  </si>
  <si>
    <t>2010-ųjų metų faktas</t>
  </si>
  <si>
    <t>Bendrojo ugdymo mokyklų pastatų modernizavimas:</t>
  </si>
  <si>
    <t>R-10-01-02</t>
  </si>
  <si>
    <t xml:space="preserve">2. Mokyklos ūkiui steigėjo skirtų lėšų suma (tūkst. Lt), tenkanti vienam mokiniui </t>
  </si>
  <si>
    <t>3. Mokinių, kuriems kompensuojamos pavežėjimo išlaidos, skaičius</t>
  </si>
  <si>
    <t>1497/633</t>
  </si>
  <si>
    <t>4. Suorganizuotų renginių, skirtų miesto mokiniams ir mokytojams, sk.</t>
  </si>
  <si>
    <t>P1</t>
  </si>
  <si>
    <t>*Švietimo įstaigų patalpų šildymas</t>
  </si>
  <si>
    <t>n.d.</t>
  </si>
  <si>
    <t>augantis</t>
  </si>
  <si>
    <t>R-10-01-05</t>
  </si>
  <si>
    <t>1. Gyventojų, kurie mieste teikiamas ugdymo paslaugas vertina teigiamai, dalis, proc.</t>
  </si>
  <si>
    <t>3. Įgijusių išsilavinimą mokinių dalis, proc.</t>
  </si>
  <si>
    <t>1. Švietimo įstaigų dalis, kuriose atlikta rekonstrukcijos ar renovacijos darbų, proc.</t>
  </si>
  <si>
    <t>2. Švietimo įstaigų dalis, neturinčių higienos paso, proc.</t>
  </si>
  <si>
    <t>1. Ugdoma vaikų ikimokyklinio ugdymo įstaigose, skaičius</t>
  </si>
  <si>
    <t>3. Mokinių skaičius bendrojo ugdymo mokyklose</t>
  </si>
  <si>
    <t>4. Mokinių skaičius nevalstybinėse bendrojo ugdymo mokyklose</t>
  </si>
  <si>
    <t>5. Ugdytinių, dalyvaujančių neformaliojo ugdymo įgyvendinimo programose, skaičius</t>
  </si>
  <si>
    <t>3. Bendrojo lavinimo mokyklų pedagogų kvalifikacijai tobulinti panaudotų ir skirtų mokinio krepšelio lėšų santykis, proc.</t>
  </si>
  <si>
    <t>P-10-01-02-03</t>
  </si>
  <si>
    <t>1. Modernizuota bendrojo ugdymo mokyklų pastatų, skaičius</t>
  </si>
  <si>
    <t>5. Modernias gamtos mokslų laboratorijas turinčių gimnazijų ir vidurinių mokyklų dalis, proc.</t>
  </si>
  <si>
    <t>3. Modernizuota neformaliojo švietimo įstaigų pastatų, skaičius</t>
  </si>
  <si>
    <t>2. Modernizuota ikimokyklinio ugdymo įstaigų pastatų, skaičius</t>
  </si>
  <si>
    <t>P-10-02-01-03</t>
  </si>
  <si>
    <t>2. Sukurta ikimokyklinio amžiaus vaikų registravimo ir apskaitos programa, vnt.</t>
  </si>
  <si>
    <t>P-10-01-01-03</t>
  </si>
  <si>
    <r>
      <t xml:space="preserve">Klaipėdos valstybinio jūrų uosto direkcijos lėšos </t>
    </r>
    <r>
      <rPr>
        <b/>
        <sz val="10"/>
        <rFont val="Times New Roman"/>
        <family val="1"/>
      </rPr>
      <t>KVJUD</t>
    </r>
  </si>
  <si>
    <r>
      <t xml:space="preserve">2.2.3. Klaipėdos valstybinio jūrų uosto direkcijos lėšos </t>
    </r>
    <r>
      <rPr>
        <b/>
        <sz val="10"/>
        <rFont val="Times New Roman"/>
        <family val="1"/>
      </rPr>
      <t>KVJUD</t>
    </r>
  </si>
  <si>
    <t>Klaipėdos lopšelio-darželio ,,Obelėlė“ Valstiečių g. 10 pastato renovacija</t>
  </si>
  <si>
    <t>Klaipėdos „Varpo“ gimnazijos pastato šiluminė renovacija;</t>
  </si>
  <si>
    <t>Klaipėdos „Santarvės“ pagrindinės mokyklos pastato rekonstrukcija;</t>
  </si>
  <si>
    <t>Klaipėdos „Vėtrungės“ gimnazijos  pastato rekonstrukcija;</t>
  </si>
  <si>
    <t>Klaipėdos Liudviko Stulpino  pagrindinės mokyklos pastato Klaipėdoje,  Bandužių g. 4, energetinių charakteristikų gerinimas (pastato šiluminė renovacija);</t>
  </si>
  <si>
    <t>Klaipėdos Vitės pagrindinės mokyklos Švyturio g. 2, pastato modernizavimas;</t>
  </si>
  <si>
    <t>Klaipėdos Vytauto Didžiojo gimnazijos pastato (S. Daukanto g. 3) rekonstrukcija</t>
  </si>
  <si>
    <t>Klaipėdos Adomo Brako dailės mokyklos pastato kapitalinis remontas (šiluminė renovacija);</t>
  </si>
  <si>
    <t>Klaipėdos jaunimo centro pastatų (Puodžių g. 1) modernizavimas</t>
  </si>
  <si>
    <t xml:space="preserve">Klaipėdos Liudviko Stulpino pagrindinės mokyklos teritorijos aptvėrimas                </t>
  </si>
  <si>
    <t>Klaipėdos „Baltijos“ gimnazijos (Baltijos pr. 51);</t>
  </si>
  <si>
    <t>Klaipėdos Vydūno vidurinės mokyklos (Sulupės g. 26);</t>
  </si>
  <si>
    <t>Klaipėdos „Aukuro“ gimnazijos (Statybininkų pr. 7)</t>
  </si>
  <si>
    <r>
      <t xml:space="preserve">Projekto „Gamtos mokslų kokybės gerinimas Vakarų Latvijoje ir Lietuvoje“ įgyvendinimas </t>
    </r>
    <r>
      <rPr>
        <sz val="10"/>
        <rFont val="Times New Roman"/>
        <family val="1"/>
      </rPr>
      <t xml:space="preserve"> („Vėtrungės“, Vytauto Didžiojo ir Hermano Zudermano gimnazijose)</t>
    </r>
  </si>
  <si>
    <t>Lopšelio-darželio „Aitvarėlis“;</t>
  </si>
  <si>
    <t>Lopšelio-darželio „Pumpurėlis“;</t>
  </si>
  <si>
    <t>Regos ugdymo centro</t>
  </si>
  <si>
    <t>Mokyklos-darželio „Nykštukas“;</t>
  </si>
  <si>
    <t>Spec. mokyklos-darželio „Versmė“;</t>
  </si>
  <si>
    <t>Mokyklos-darželio „Inkarėlis“;</t>
  </si>
  <si>
    <r>
      <t>Vaikiškų lovyčių įsigijimas</t>
    </r>
    <r>
      <rPr>
        <sz val="10"/>
        <rFont val="Times New Roman"/>
        <family val="1"/>
      </rPr>
      <t xml:space="preserve"> vaikų lopšeliuose-darželiuose (2012 m.: „Puriena“, „Želmenėlis“, „Volungėlė“, „Žiogelis“, „Traukinukas“)</t>
    </r>
  </si>
  <si>
    <t>Mokinių pavėžėjimo užtikrinimas</t>
  </si>
  <si>
    <t>2. Ikimokyklinio ugdymo įstaigose ugdomų 1–6 metų vaikų dalis, palyginti su bendru to amžiaus  vaikų skaičiumi, pokytis, proc.</t>
  </si>
  <si>
    <t xml:space="preserve">4. Vaikų, dalyvaujančių neformaliojo ugdymo programose, finansuojamose iš mokinio krepšelio lėšų, dalis nuo visų besimokančių mokinių skaičiaus, proc. </t>
  </si>
  <si>
    <t>2. Ugdoma vaikų mokyklose-darželiuose, iš jų mokinių, skaičius</t>
  </si>
  <si>
    <t>1. Įrengta lopšelio grupių 1–3 metų vaikams, skaičius</t>
  </si>
  <si>
    <r>
      <t xml:space="preserve">Funkcinės klasifikacijos kodas </t>
    </r>
    <r>
      <rPr>
        <b/>
        <sz val="10"/>
        <rFont val="Times New Roman"/>
        <family val="1"/>
      </rPr>
      <t xml:space="preserve"> </t>
    </r>
  </si>
  <si>
    <t>2012-ųjų asignavimų planas**</t>
  </si>
  <si>
    <t>5</t>
  </si>
  <si>
    <r>
      <t>Projekto</t>
    </r>
    <r>
      <rPr>
        <b/>
        <sz val="10"/>
        <rFont val="Times New Roman"/>
        <family val="1"/>
      </rPr>
      <t xml:space="preserve"> „Pedagoginių psichologinių tarnybų infrastruktūros, švietimo įstaigose dirbančių specialiųjų pedagogų, psichologų, logopedų darbo aplinkos modernizavimas“ </t>
    </r>
    <r>
      <rPr>
        <sz val="10"/>
        <rFont val="Times New Roman"/>
        <family val="1"/>
      </rPr>
      <t>įgyvendinimas</t>
    </r>
  </si>
  <si>
    <r>
      <t>Klaipėdos lopšelių-darželių (</t>
    </r>
    <r>
      <rPr>
        <b/>
        <sz val="10"/>
        <color indexed="10"/>
        <rFont val="Times New Roman"/>
        <family val="1"/>
      </rPr>
      <t xml:space="preserve">2012 m.: „Dobiliukas“, „Papartėlis“, „Žiburėlis“, </t>
    </r>
    <r>
      <rPr>
        <b/>
        <sz val="10"/>
        <rFont val="Times New Roman"/>
        <family val="1"/>
      </rPr>
      <t>2013 m.: „Putinėlis“, „Vėrinėlis“, mokyklos-darželio „Šaltinėlis“, 2014 m. : „Du gaideliai“, „Linelis“,  „Bangelė“, „Berželis“)  ir  Regos ugdymo centro pastatų langų pakeitimas</t>
    </r>
  </si>
  <si>
    <r>
      <t xml:space="preserve">Ugdymo proceso ir aplinkos užtikrinimas </t>
    </r>
    <r>
      <rPr>
        <b/>
        <sz val="10"/>
        <color indexed="10"/>
        <rFont val="Times New Roman"/>
        <family val="1"/>
      </rPr>
      <t>lopšeliuose-darželiuose</t>
    </r>
  </si>
  <si>
    <t xml:space="preserve">Elektrinės maisto gaminimo viryklės įsigijimas lopšelyje-darželyje „Obelėlė“ </t>
  </si>
  <si>
    <t xml:space="preserve">Avarinės būklės šiltnamio nugriovimas lopšelyje-darželyje „Pingvinukas“ </t>
  </si>
  <si>
    <t>Klaipėdos Vydūno vidurinės mokyklos ir Klaipėdos Salio Šemerio suaugusiųjų gimnazijos pastato Klaipėdoje Sulupės g. 26, modernizavimas</t>
  </si>
  <si>
    <t>Klaipėdos „Smeltės“ progimnazijos pastato Klaipėdoje, Reikjaviko g. 17, modernizavimas</t>
  </si>
  <si>
    <t>Bendrojo lavinimo mokyklų pastatų rekonstrukcija:</t>
  </si>
  <si>
    <r>
      <t xml:space="preserve">Klaipėdos ,,Varpo“ gimnazijos </t>
    </r>
    <r>
      <rPr>
        <sz val="10"/>
        <rFont val="Times New Roman"/>
        <family val="1"/>
      </rPr>
      <t>pastato šiluminė renovacija</t>
    </r>
  </si>
  <si>
    <t>P9</t>
  </si>
  <si>
    <r>
      <t xml:space="preserve">Klaipėdos Liudviko Stulpino  pagrindinės mokyklos </t>
    </r>
    <r>
      <rPr>
        <sz val="10"/>
        <rFont val="Times New Roman"/>
        <family val="1"/>
      </rPr>
      <t xml:space="preserve">pastato, Klaipėdoje  Bandužių g. 4 energetinių charakteristikų gerinimas (pastato šiluminė renovacija) </t>
    </r>
  </si>
  <si>
    <r>
      <t xml:space="preserve">Klaipėdos „Vitės“ pagrindinės mokyklos, </t>
    </r>
    <r>
      <rPr>
        <sz val="10"/>
        <rFont val="Times New Roman"/>
        <family val="1"/>
      </rPr>
      <t>Švyturio g. 2, pastato modernizavimas</t>
    </r>
  </si>
  <si>
    <r>
      <t xml:space="preserve">Klaipėdos „Santarvės“ pagrindinės mokyklos </t>
    </r>
    <r>
      <rPr>
        <sz val="10"/>
        <rFont val="Times New Roman"/>
        <family val="1"/>
      </rPr>
      <t>pastato rekonstrukcija</t>
    </r>
  </si>
  <si>
    <r>
      <t xml:space="preserve">Klaipėdos „Vėtrungės“ gimnazijos  </t>
    </r>
    <r>
      <rPr>
        <sz val="10"/>
        <rFont val="Times New Roman"/>
        <family val="1"/>
      </rPr>
      <t>pastato rekonstrukcija</t>
    </r>
  </si>
  <si>
    <r>
      <t>Klaipėdos Vytauto Didžiojo gimnazijos pastato</t>
    </r>
    <r>
      <rPr>
        <sz val="10"/>
        <rFont val="Times New Roman"/>
        <family val="1"/>
      </rPr>
      <t>, S. Daukanto g. 31, rekonstrukcija</t>
    </r>
  </si>
  <si>
    <r>
      <t xml:space="preserve">Klaipėdos „Verdenės“ pagrindinės mokyklos </t>
    </r>
    <r>
      <rPr>
        <sz val="10"/>
        <rFont val="Times New Roman"/>
        <family val="1"/>
      </rPr>
      <t>pastato Kretingos g. 22 energetinių charakteristikų gerinimas</t>
    </r>
  </si>
  <si>
    <r>
      <t xml:space="preserve">Visuomeninės paskirties pastato Baltijos pr. 49 </t>
    </r>
    <r>
      <rPr>
        <sz val="10"/>
        <rFont val="Times New Roman"/>
        <family val="1"/>
      </rPr>
      <t xml:space="preserve">šiluminė renovacija </t>
    </r>
  </si>
  <si>
    <r>
      <t xml:space="preserve">Sendvario pagrindinės mokyklos </t>
    </r>
    <r>
      <rPr>
        <sz val="10"/>
        <color indexed="10"/>
        <rFont val="Times New Roman"/>
        <family val="1"/>
      </rPr>
      <t>pastato modernizavimas (atnaujinimas), Tilžės g. 39, Klaipėda</t>
    </r>
  </si>
  <si>
    <t>Klaipėdos Sendvario pagrindinės mokyklos pastato modernizavimas (atnaujinimas) Tilžės g. 39, Klaipėda;</t>
  </si>
  <si>
    <t>Klaipėdos Vydūno vidurinės mokyklos ir Klaipėdos Salio Šemerio suaugusiųjų gimnazijos pastato Klaipėdoje, Sulupės g. 26, modernizavimas</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</si>
</sst>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quot;Taip&quot;;&quot;Taip&quot;;&quot;Ne&quot;"/>
    <numFmt numFmtId="183" formatCode="&quot;Teisinga&quot;;&quot;Teisinga&quot;;&quot;Klaidinga&quot;"/>
    <numFmt numFmtId="184" formatCode="[$€-2]\ ###,000_);[Red]\([$€-2]\ ###,000\)"/>
    <numFmt numFmtId="185" formatCode="0.0E+00"/>
    <numFmt numFmtId="186" formatCode="0.0;[Red]0.0"/>
    <numFmt numFmtId="187" formatCode="[$-427]yyyy\ &quot;m.&quot;\ mmmm\ d\ &quot;d.&quot;"/>
  </numFmts>
  <fonts count="45">
    <font>
      <sz val="10"/>
      <name val="Arial"/>
      <family val="0"/>
    </font>
    <font>
      <sz val="8"/>
      <name val="Arial"/>
      <family val="2"/>
    </font>
    <font>
      <sz val="9"/>
      <name val="Times New Roman"/>
      <family val="1"/>
    </font>
    <font>
      <sz val="10"/>
      <name val="Times New Roman"/>
      <family val="1"/>
    </font>
    <font>
      <b/>
      <sz val="10"/>
      <name val="Times New Roman"/>
      <family val="1"/>
    </font>
    <font>
      <sz val="10"/>
      <name val="TimesLT"/>
      <family val="0"/>
    </font>
    <font>
      <sz val="12"/>
      <name val="Times New Roman"/>
      <family val="1"/>
    </font>
    <font>
      <b/>
      <sz val="9"/>
      <name val="Times New Roman"/>
      <family val="1"/>
    </font>
    <font>
      <u val="single"/>
      <sz val="10"/>
      <color indexed="12"/>
      <name val="Arial"/>
      <family val="2"/>
    </font>
    <font>
      <u val="single"/>
      <sz val="10"/>
      <color indexed="36"/>
      <name val="Arial"/>
      <family val="2"/>
    </font>
    <font>
      <b/>
      <u val="single"/>
      <sz val="10"/>
      <name val="Times New Roman"/>
      <family val="1"/>
    </font>
    <font>
      <b/>
      <sz val="10"/>
      <name val="Arial"/>
      <family val="2"/>
    </font>
    <font>
      <b/>
      <sz val="11"/>
      <name val="Times New Roman"/>
      <family val="1"/>
    </font>
    <font>
      <sz val="9"/>
      <name val="Tahoma"/>
      <family val="2"/>
    </font>
    <font>
      <b/>
      <sz val="12"/>
      <name val="Times New Roman"/>
      <family val="1"/>
    </font>
    <font>
      <sz val="10"/>
      <name val="Times New Roman Baltic"/>
      <family val="0"/>
    </font>
    <font>
      <b/>
      <sz val="12"/>
      <name val="Times New Roman Baltic"/>
      <family val="1"/>
    </font>
    <font>
      <b/>
      <sz val="10"/>
      <name val="Times New Roman Baltic"/>
      <family val="1"/>
    </font>
    <font>
      <i/>
      <u val="single"/>
      <sz val="10"/>
      <name val="Times New Roman Baltic"/>
      <family val="0"/>
    </font>
    <font>
      <u val="single"/>
      <sz val="10"/>
      <name val="Times New Roman Baltic"/>
      <family val="0"/>
    </font>
    <font>
      <i/>
      <u val="single"/>
      <sz val="10"/>
      <name val="Times New Roman"/>
      <family val="1"/>
    </font>
    <font>
      <sz val="12"/>
      <name val="Arial"/>
      <family val="2"/>
    </font>
    <font>
      <b/>
      <sz val="11"/>
      <name val="Times New Roman Baltic"/>
      <family val="1"/>
    </font>
    <font>
      <b/>
      <sz val="8"/>
      <name val="Times New Roman Baltic"/>
      <family val="1"/>
    </font>
    <font>
      <b/>
      <sz val="10"/>
      <color indexed="10"/>
      <name val="Times New Roman"/>
      <family val="1"/>
    </font>
    <font>
      <sz val="10"/>
      <color indexed="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9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medium"/>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style="medium"/>
      <right style="thin"/>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style="medium"/>
      <top style="medium"/>
      <bottom style="thin"/>
    </border>
    <border>
      <left style="medium"/>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medium"/>
      <top style="medium"/>
      <bottom>
        <color indexed="63"/>
      </bottom>
    </border>
    <border>
      <left style="thin"/>
      <right style="medium"/>
      <top style="thin"/>
      <bottom style="thin"/>
    </border>
    <border>
      <left style="thin"/>
      <right>
        <color indexed="63"/>
      </right>
      <top style="thin"/>
      <bottom>
        <color indexed="63"/>
      </bottom>
    </border>
    <border>
      <left style="thin"/>
      <right style="medium"/>
      <top>
        <color indexed="63"/>
      </top>
      <bottom>
        <color indexed="63"/>
      </bottom>
    </border>
    <border>
      <left>
        <color indexed="63"/>
      </left>
      <right style="thin"/>
      <top style="thin"/>
      <bottom style="medium"/>
    </border>
    <border>
      <left style="medium"/>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medium"/>
      <top style="medium"/>
      <bottom style="medium"/>
    </border>
    <border>
      <left>
        <color indexed="63"/>
      </left>
      <right style="medium"/>
      <top style="thin"/>
      <bottom style="medium"/>
    </border>
    <border>
      <left style="medium"/>
      <right style="medium"/>
      <top>
        <color indexed="63"/>
      </top>
      <bottom style="thin"/>
    </border>
    <border>
      <left style="thin"/>
      <right style="medium"/>
      <top style="thin"/>
      <bottom style="medium"/>
    </border>
    <border>
      <left style="medium"/>
      <right>
        <color indexed="63"/>
      </right>
      <top style="thin"/>
      <bottom style="medium"/>
    </border>
    <border>
      <left>
        <color indexed="63"/>
      </left>
      <right style="thin"/>
      <top style="medium"/>
      <bottom>
        <color indexed="63"/>
      </bottom>
    </border>
    <border>
      <left>
        <color indexed="63"/>
      </left>
      <right>
        <color indexed="63"/>
      </right>
      <top style="medium"/>
      <bottom style="mediu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style="medium"/>
    </border>
    <border>
      <left style="thin"/>
      <right style="thin"/>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medium"/>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color indexed="63"/>
      </top>
      <bottom style="medium"/>
    </border>
    <border>
      <left style="medium"/>
      <right style="medium"/>
      <top>
        <color indexed="63"/>
      </top>
      <bottom style="thin">
        <color indexed="8"/>
      </bottom>
    </border>
    <border>
      <left>
        <color indexed="63"/>
      </left>
      <right style="thin"/>
      <top>
        <color indexed="63"/>
      </top>
      <bottom style="thin">
        <color indexed="8"/>
      </bottom>
    </border>
    <border>
      <left>
        <color indexed="63"/>
      </left>
      <right style="medium"/>
      <top>
        <color indexed="63"/>
      </top>
      <bottom style="thin">
        <color indexed="8"/>
      </botto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0" borderId="0" applyNumberFormat="0" applyFill="0" applyBorder="0" applyAlignment="0" applyProtection="0"/>
    <xf numFmtId="0" fontId="3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3" fillId="4" borderId="0" applyNumberFormat="0" applyBorder="0" applyAlignment="0" applyProtection="0"/>
    <xf numFmtId="0" fontId="8"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34" fillId="16" borderId="4" applyNumberFormat="0" applyAlignment="0" applyProtection="0"/>
    <xf numFmtId="0" fontId="36" fillId="7" borderId="5" applyNumberFormat="0" applyAlignment="0" applyProtection="0"/>
    <xf numFmtId="0" fontId="37" fillId="17" borderId="0" applyNumberFormat="0" applyBorder="0" applyAlignment="0" applyProtection="0"/>
    <xf numFmtId="0" fontId="5" fillId="0" borderId="0">
      <alignment/>
      <protection/>
    </xf>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0" fillId="22" borderId="6" applyNumberFormat="0" applyFon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16" borderId="5"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23" borderId="9" applyNumberFormat="0" applyAlignment="0" applyProtection="0"/>
  </cellStyleXfs>
  <cellXfs count="1294">
    <xf numFmtId="0" fontId="0" fillId="0" borderId="0" xfId="0" applyAlignment="1">
      <alignment/>
    </xf>
    <xf numFmtId="180" fontId="4" fillId="0" borderId="0" xfId="0" applyNumberFormat="1" applyFont="1" applyFill="1" applyBorder="1" applyAlignment="1">
      <alignment horizontal="center" vertical="top"/>
    </xf>
    <xf numFmtId="180" fontId="4" fillId="0" borderId="0" xfId="0" applyNumberFormat="1" applyFont="1" applyFill="1" applyBorder="1" applyAlignment="1">
      <alignment vertical="top"/>
    </xf>
    <xf numFmtId="180" fontId="3" fillId="0" borderId="10" xfId="0" applyNumberFormat="1" applyFont="1" applyFill="1" applyBorder="1" applyAlignment="1">
      <alignment horizontal="center" vertical="top"/>
    </xf>
    <xf numFmtId="180" fontId="3" fillId="0" borderId="11" xfId="0" applyNumberFormat="1" applyFont="1" applyFill="1" applyBorder="1" applyAlignment="1">
      <alignment horizontal="center" vertical="top"/>
    </xf>
    <xf numFmtId="180" fontId="3" fillId="0" borderId="12" xfId="0" applyNumberFormat="1" applyFont="1" applyFill="1" applyBorder="1" applyAlignment="1">
      <alignment horizontal="center" vertical="top"/>
    </xf>
    <xf numFmtId="180" fontId="3" fillId="0" borderId="13" xfId="0" applyNumberFormat="1" applyFont="1" applyFill="1" applyBorder="1" applyAlignment="1">
      <alignment horizontal="center" vertical="top"/>
    </xf>
    <xf numFmtId="0" fontId="3" fillId="0" borderId="14" xfId="0" applyFont="1" applyBorder="1" applyAlignment="1">
      <alignment horizontal="center" vertical="top"/>
    </xf>
    <xf numFmtId="180" fontId="3" fillId="0" borderId="15" xfId="0" applyNumberFormat="1" applyFont="1" applyFill="1" applyBorder="1" applyAlignment="1">
      <alignment horizontal="center" vertical="top"/>
    </xf>
    <xf numFmtId="180" fontId="3" fillId="0" borderId="10" xfId="0" applyNumberFormat="1" applyFont="1" applyFill="1" applyBorder="1" applyAlignment="1">
      <alignment horizontal="center" vertical="top"/>
    </xf>
    <xf numFmtId="180" fontId="3" fillId="0" borderId="16" xfId="0" applyNumberFormat="1" applyFont="1" applyBorder="1" applyAlignment="1">
      <alignment horizontal="center" vertical="top"/>
    </xf>
    <xf numFmtId="180" fontId="3" fillId="0" borderId="15" xfId="0" applyNumberFormat="1" applyFont="1" applyBorder="1" applyAlignment="1">
      <alignment horizontal="center" vertical="top"/>
    </xf>
    <xf numFmtId="180" fontId="3" fillId="0" borderId="10" xfId="0" applyNumberFormat="1" applyFont="1" applyBorder="1" applyAlignment="1">
      <alignment horizontal="center" vertical="top"/>
    </xf>
    <xf numFmtId="180" fontId="3" fillId="16" borderId="15" xfId="0" applyNumberFormat="1" applyFont="1" applyFill="1" applyBorder="1" applyAlignment="1">
      <alignment horizontal="center" vertical="top"/>
    </xf>
    <xf numFmtId="180" fontId="3" fillId="16" borderId="10" xfId="0" applyNumberFormat="1" applyFont="1" applyFill="1" applyBorder="1" applyAlignment="1">
      <alignment horizontal="center" vertical="top"/>
    </xf>
    <xf numFmtId="180" fontId="3" fillId="0" borderId="16" xfId="0" applyNumberFormat="1" applyFont="1" applyFill="1" applyBorder="1" applyAlignment="1">
      <alignment horizontal="center" vertical="top"/>
    </xf>
    <xf numFmtId="180" fontId="3" fillId="24" borderId="14" xfId="0" applyNumberFormat="1" applyFont="1" applyFill="1" applyBorder="1" applyAlignment="1">
      <alignment horizontal="center" vertical="top" wrapText="1"/>
    </xf>
    <xf numFmtId="180" fontId="3" fillId="0" borderId="17" xfId="0" applyNumberFormat="1" applyFont="1" applyFill="1" applyBorder="1" applyAlignment="1">
      <alignment horizontal="center" vertical="top"/>
    </xf>
    <xf numFmtId="180" fontId="3" fillId="0" borderId="18" xfId="0" applyNumberFormat="1" applyFont="1" applyBorder="1" applyAlignment="1">
      <alignment horizontal="center" vertical="top"/>
    </xf>
    <xf numFmtId="180" fontId="3" fillId="0" borderId="17" xfId="0" applyNumberFormat="1" applyFont="1" applyBorder="1" applyAlignment="1">
      <alignment horizontal="center" vertical="top"/>
    </xf>
    <xf numFmtId="180" fontId="3" fillId="16" borderId="17" xfId="0" applyNumberFormat="1" applyFont="1" applyFill="1" applyBorder="1" applyAlignment="1">
      <alignment horizontal="center" vertical="top"/>
    </xf>
    <xf numFmtId="0" fontId="3" fillId="0" borderId="19" xfId="0" applyFont="1" applyBorder="1" applyAlignment="1">
      <alignment horizontal="center" vertical="top"/>
    </xf>
    <xf numFmtId="180" fontId="3" fillId="0" borderId="11" xfId="0" applyNumberFormat="1" applyFont="1" applyFill="1" applyBorder="1" applyAlignment="1">
      <alignment horizontal="center" vertical="top"/>
    </xf>
    <xf numFmtId="180" fontId="3" fillId="0" borderId="11" xfId="0" applyNumberFormat="1" applyFont="1" applyBorder="1" applyAlignment="1">
      <alignment horizontal="center" vertical="top"/>
    </xf>
    <xf numFmtId="180" fontId="3" fillId="16" borderId="20" xfId="0" applyNumberFormat="1" applyFont="1" applyFill="1" applyBorder="1" applyAlignment="1">
      <alignment horizontal="center" vertical="top"/>
    </xf>
    <xf numFmtId="180" fontId="3" fillId="16" borderId="11" xfId="0" applyNumberFormat="1" applyFont="1" applyFill="1" applyBorder="1" applyAlignment="1">
      <alignment horizontal="center" vertical="top"/>
    </xf>
    <xf numFmtId="0" fontId="3" fillId="0" borderId="21" xfId="0" applyFont="1" applyBorder="1" applyAlignment="1">
      <alignment horizontal="center" vertical="top"/>
    </xf>
    <xf numFmtId="180" fontId="3" fillId="0" borderId="22" xfId="0" applyNumberFormat="1" applyFont="1" applyFill="1" applyBorder="1" applyAlignment="1">
      <alignment horizontal="center" vertical="top"/>
    </xf>
    <xf numFmtId="180" fontId="3" fillId="0" borderId="23" xfId="0" applyNumberFormat="1" applyFont="1" applyFill="1" applyBorder="1" applyAlignment="1">
      <alignment horizontal="center" vertical="top"/>
    </xf>
    <xf numFmtId="180" fontId="3" fillId="0" borderId="24" xfId="0" applyNumberFormat="1" applyFont="1" applyBorder="1" applyAlignment="1">
      <alignment horizontal="center" vertical="top"/>
    </xf>
    <xf numFmtId="180" fontId="3" fillId="0" borderId="22" xfId="0" applyNumberFormat="1" applyFont="1" applyBorder="1" applyAlignment="1">
      <alignment horizontal="center" vertical="top"/>
    </xf>
    <xf numFmtId="180" fontId="3" fillId="0" borderId="23" xfId="0" applyNumberFormat="1" applyFont="1" applyBorder="1" applyAlignment="1">
      <alignment horizontal="center" vertical="top"/>
    </xf>
    <xf numFmtId="180" fontId="3" fillId="0" borderId="24" xfId="0" applyNumberFormat="1" applyFont="1" applyFill="1" applyBorder="1" applyAlignment="1">
      <alignment horizontal="center" vertical="top"/>
    </xf>
    <xf numFmtId="180" fontId="3" fillId="24" borderId="21" xfId="0" applyNumberFormat="1" applyFont="1" applyFill="1" applyBorder="1" applyAlignment="1">
      <alignment horizontal="center" vertical="top" wrapText="1"/>
    </xf>
    <xf numFmtId="180" fontId="4" fillId="4" borderId="25" xfId="0" applyNumberFormat="1" applyFont="1" applyFill="1" applyBorder="1" applyAlignment="1">
      <alignment horizontal="center" vertical="top"/>
    </xf>
    <xf numFmtId="180" fontId="3" fillId="0" borderId="26" xfId="0" applyNumberFormat="1" applyFont="1" applyBorder="1" applyAlignment="1">
      <alignment horizontal="center" vertical="top"/>
    </xf>
    <xf numFmtId="0" fontId="3" fillId="0" borderId="27" xfId="0" applyFont="1" applyFill="1" applyBorder="1" applyAlignment="1">
      <alignment horizontal="center" vertical="top" wrapText="1"/>
    </xf>
    <xf numFmtId="0" fontId="3" fillId="0" borderId="0" xfId="0" applyFont="1" applyBorder="1" applyAlignment="1">
      <alignment vertical="top"/>
    </xf>
    <xf numFmtId="180" fontId="3" fillId="0" borderId="12" xfId="0" applyNumberFormat="1" applyFont="1" applyFill="1" applyBorder="1" applyAlignment="1">
      <alignment horizontal="center" vertical="top"/>
    </xf>
    <xf numFmtId="180" fontId="3" fillId="0" borderId="19" xfId="0" applyNumberFormat="1" applyFont="1" applyBorder="1" applyAlignment="1">
      <alignment horizontal="center" vertical="top"/>
    </xf>
    <xf numFmtId="0" fontId="3" fillId="0" borderId="27" xfId="0" applyFont="1" applyBorder="1" applyAlignment="1">
      <alignment horizontal="center" vertical="top"/>
    </xf>
    <xf numFmtId="180" fontId="3" fillId="0" borderId="28" xfId="0" applyNumberFormat="1" applyFont="1" applyFill="1" applyBorder="1" applyAlignment="1">
      <alignment horizontal="center" vertical="top"/>
    </xf>
    <xf numFmtId="180" fontId="3" fillId="0" borderId="0" xfId="0" applyNumberFormat="1" applyFont="1" applyBorder="1" applyAlignment="1">
      <alignment horizontal="center" vertical="top"/>
    </xf>
    <xf numFmtId="180" fontId="3" fillId="16" borderId="29" xfId="0" applyNumberFormat="1" applyFont="1" applyFill="1" applyBorder="1" applyAlignment="1">
      <alignment horizontal="center" vertical="top"/>
    </xf>
    <xf numFmtId="180" fontId="3" fillId="0" borderId="30" xfId="0" applyNumberFormat="1" applyFont="1" applyFill="1" applyBorder="1" applyAlignment="1">
      <alignment horizontal="center" vertical="top"/>
    </xf>
    <xf numFmtId="180" fontId="3" fillId="0" borderId="31" xfId="0" applyNumberFormat="1" applyFont="1" applyFill="1" applyBorder="1" applyAlignment="1">
      <alignment horizontal="center" vertical="top"/>
    </xf>
    <xf numFmtId="180" fontId="3" fillId="0" borderId="32" xfId="0" applyNumberFormat="1" applyFont="1" applyFill="1" applyBorder="1" applyAlignment="1">
      <alignment horizontal="center" vertical="top"/>
    </xf>
    <xf numFmtId="180" fontId="3" fillId="0" borderId="27" xfId="0" applyNumberFormat="1" applyFont="1" applyBorder="1" applyAlignment="1">
      <alignment horizontal="center" vertical="top" wrapText="1"/>
    </xf>
    <xf numFmtId="180" fontId="3" fillId="0" borderId="32" xfId="0" applyNumberFormat="1" applyFont="1" applyBorder="1" applyAlignment="1">
      <alignment horizontal="center" vertical="top"/>
    </xf>
    <xf numFmtId="180" fontId="3" fillId="0" borderId="28" xfId="0" applyNumberFormat="1" applyFont="1" applyBorder="1" applyAlignment="1">
      <alignment horizontal="center" vertical="top"/>
    </xf>
    <xf numFmtId="180" fontId="3" fillId="0" borderId="31" xfId="0" applyNumberFormat="1" applyFont="1" applyBorder="1" applyAlignment="1">
      <alignment horizontal="center" vertical="top"/>
    </xf>
    <xf numFmtId="180" fontId="3" fillId="16" borderId="31" xfId="0" applyNumberFormat="1" applyFont="1" applyFill="1" applyBorder="1" applyAlignment="1">
      <alignment horizontal="center" vertical="top"/>
    </xf>
    <xf numFmtId="180" fontId="3" fillId="0" borderId="33" xfId="0" applyNumberFormat="1" applyFont="1" applyFill="1" applyBorder="1" applyAlignment="1">
      <alignment horizontal="center" vertical="top"/>
    </xf>
    <xf numFmtId="0" fontId="3" fillId="0" borderId="34" xfId="0" applyFont="1" applyFill="1" applyBorder="1" applyAlignment="1">
      <alignment horizontal="center" vertical="top" wrapText="1"/>
    </xf>
    <xf numFmtId="180" fontId="3" fillId="0" borderId="19" xfId="0" applyNumberFormat="1" applyFont="1" applyFill="1" applyBorder="1" applyAlignment="1">
      <alignment horizontal="center" vertical="top"/>
    </xf>
    <xf numFmtId="180" fontId="3" fillId="16" borderId="30" xfId="0" applyNumberFormat="1" applyFont="1" applyFill="1" applyBorder="1" applyAlignment="1">
      <alignment horizontal="center" vertical="top"/>
    </xf>
    <xf numFmtId="180" fontId="3" fillId="0" borderId="14" xfId="0" applyNumberFormat="1" applyFont="1" applyBorder="1" applyAlignment="1">
      <alignment horizontal="center" vertical="top"/>
    </xf>
    <xf numFmtId="180" fontId="3" fillId="0" borderId="20" xfId="0" applyNumberFormat="1" applyFont="1" applyFill="1" applyBorder="1" applyAlignment="1">
      <alignment horizontal="center" vertical="top"/>
    </xf>
    <xf numFmtId="180" fontId="3" fillId="0" borderId="35" xfId="0" applyNumberFormat="1" applyFont="1" applyFill="1" applyBorder="1" applyAlignment="1">
      <alignment horizontal="center" vertical="top"/>
    </xf>
    <xf numFmtId="180" fontId="3" fillId="16" borderId="20" xfId="0" applyNumberFormat="1" applyFont="1" applyFill="1" applyBorder="1" applyAlignment="1">
      <alignment horizontal="center" vertical="top"/>
    </xf>
    <xf numFmtId="180" fontId="3" fillId="16" borderId="11" xfId="0" applyNumberFormat="1" applyFont="1" applyFill="1" applyBorder="1" applyAlignment="1">
      <alignment horizontal="center" vertical="top"/>
    </xf>
    <xf numFmtId="180" fontId="3" fillId="0" borderId="36" xfId="0" applyNumberFormat="1" applyFont="1" applyFill="1" applyBorder="1" applyAlignment="1">
      <alignment horizontal="center" vertical="top"/>
    </xf>
    <xf numFmtId="180" fontId="3" fillId="0" borderId="37" xfId="0" applyNumberFormat="1" applyFont="1" applyBorder="1" applyAlignment="1">
      <alignment horizontal="center" vertical="top"/>
    </xf>
    <xf numFmtId="180" fontId="3" fillId="0" borderId="37" xfId="0" applyNumberFormat="1" applyFont="1" applyFill="1" applyBorder="1" applyAlignment="1">
      <alignment horizontal="center" vertical="top"/>
    </xf>
    <xf numFmtId="180" fontId="4" fillId="16" borderId="38" xfId="0" applyNumberFormat="1" applyFont="1" applyFill="1" applyBorder="1" applyAlignment="1">
      <alignment horizontal="center" vertical="top"/>
    </xf>
    <xf numFmtId="180" fontId="4" fillId="16" borderId="39" xfId="0" applyNumberFormat="1" applyFont="1" applyFill="1" applyBorder="1" applyAlignment="1">
      <alignment horizontal="center" vertical="top"/>
    </xf>
    <xf numFmtId="0" fontId="3" fillId="0" borderId="19" xfId="0" applyFont="1" applyFill="1" applyBorder="1" applyAlignment="1">
      <alignment horizontal="center" vertical="top"/>
    </xf>
    <xf numFmtId="180" fontId="3" fillId="0" borderId="40" xfId="0" applyNumberFormat="1" applyFont="1" applyFill="1" applyBorder="1" applyAlignment="1">
      <alignment horizontal="center" vertical="top"/>
    </xf>
    <xf numFmtId="180" fontId="3" fillId="0" borderId="23" xfId="0" applyNumberFormat="1" applyFont="1" applyFill="1" applyBorder="1" applyAlignment="1">
      <alignment horizontal="center" vertical="top"/>
    </xf>
    <xf numFmtId="180" fontId="3" fillId="0" borderId="24" xfId="0" applyNumberFormat="1" applyFont="1" applyFill="1" applyBorder="1" applyAlignment="1">
      <alignment horizontal="center" vertical="top"/>
    </xf>
    <xf numFmtId="180" fontId="3" fillId="0" borderId="13" xfId="0" applyNumberFormat="1" applyFont="1" applyFill="1" applyBorder="1" applyAlignment="1">
      <alignment horizontal="center" vertical="top"/>
    </xf>
    <xf numFmtId="0" fontId="3" fillId="0" borderId="41" xfId="0" applyFont="1" applyFill="1" applyBorder="1" applyAlignment="1">
      <alignment horizontal="center" vertical="top" wrapText="1"/>
    </xf>
    <xf numFmtId="180" fontId="4" fillId="4" borderId="42" xfId="0" applyNumberFormat="1" applyFont="1" applyFill="1" applyBorder="1" applyAlignment="1">
      <alignment horizontal="center" vertical="top"/>
    </xf>
    <xf numFmtId="180" fontId="3" fillId="0" borderId="43" xfId="0" applyNumberFormat="1" applyFont="1" applyFill="1" applyBorder="1" applyAlignment="1">
      <alignment horizontal="center" vertical="top"/>
    </xf>
    <xf numFmtId="180" fontId="3" fillId="0" borderId="44" xfId="0" applyNumberFormat="1" applyFont="1" applyFill="1" applyBorder="1" applyAlignment="1">
      <alignment horizontal="center" vertical="top"/>
    </xf>
    <xf numFmtId="180" fontId="3" fillId="0" borderId="45" xfId="0" applyNumberFormat="1" applyFont="1" applyBorder="1" applyAlignment="1">
      <alignment horizontal="center" vertical="top"/>
    </xf>
    <xf numFmtId="180" fontId="3" fillId="16" borderId="43" xfId="0" applyNumberFormat="1" applyFont="1" applyFill="1" applyBorder="1" applyAlignment="1">
      <alignment horizontal="center" vertical="top"/>
    </xf>
    <xf numFmtId="180" fontId="3" fillId="16" borderId="46" xfId="0" applyNumberFormat="1" applyFont="1" applyFill="1" applyBorder="1" applyAlignment="1">
      <alignment horizontal="center" vertical="top"/>
    </xf>
    <xf numFmtId="180" fontId="3" fillId="24" borderId="47" xfId="0" applyNumberFormat="1" applyFont="1" applyFill="1" applyBorder="1" applyAlignment="1">
      <alignment horizontal="center" vertical="top" wrapText="1"/>
    </xf>
    <xf numFmtId="180" fontId="4" fillId="16" borderId="48" xfId="0" applyNumberFormat="1" applyFont="1" applyFill="1" applyBorder="1" applyAlignment="1">
      <alignment horizontal="center" vertical="top"/>
    </xf>
    <xf numFmtId="180" fontId="4" fillId="16" borderId="49" xfId="0" applyNumberFormat="1" applyFont="1" applyFill="1" applyBorder="1" applyAlignment="1">
      <alignment horizontal="center" vertical="top"/>
    </xf>
    <xf numFmtId="180" fontId="4" fillId="16" borderId="50" xfId="0" applyNumberFormat="1" applyFont="1" applyFill="1" applyBorder="1" applyAlignment="1">
      <alignment horizontal="center" vertical="top"/>
    </xf>
    <xf numFmtId="180" fontId="3" fillId="0" borderId="36" xfId="0" applyNumberFormat="1" applyFont="1" applyFill="1" applyBorder="1" applyAlignment="1">
      <alignment horizontal="center" vertical="top"/>
    </xf>
    <xf numFmtId="0" fontId="4" fillId="16" borderId="50" xfId="0" applyFont="1" applyFill="1" applyBorder="1" applyAlignment="1">
      <alignment horizontal="center" vertical="top" wrapText="1"/>
    </xf>
    <xf numFmtId="180" fontId="3" fillId="0" borderId="27" xfId="0" applyNumberFormat="1" applyFont="1" applyFill="1" applyBorder="1" applyAlignment="1">
      <alignment horizontal="center" vertical="top" wrapText="1"/>
    </xf>
    <xf numFmtId="180" fontId="4" fillId="4" borderId="51" xfId="0" applyNumberFormat="1" applyFont="1" applyFill="1" applyBorder="1" applyAlignment="1">
      <alignment horizontal="center" vertical="top"/>
    </xf>
    <xf numFmtId="180" fontId="4" fillId="16" borderId="52" xfId="0" applyNumberFormat="1" applyFont="1" applyFill="1" applyBorder="1" applyAlignment="1">
      <alignment horizontal="center" vertical="top"/>
    </xf>
    <xf numFmtId="180" fontId="3" fillId="0" borderId="47" xfId="0" applyNumberFormat="1" applyFont="1" applyBorder="1" applyAlignment="1">
      <alignment horizontal="center" vertical="top"/>
    </xf>
    <xf numFmtId="180" fontId="3" fillId="0" borderId="53" xfId="0" applyNumberFormat="1" applyFont="1" applyBorder="1" applyAlignment="1">
      <alignment horizontal="center" vertical="top"/>
    </xf>
    <xf numFmtId="0" fontId="3" fillId="0" borderId="0" xfId="0" applyFont="1" applyFill="1" applyBorder="1" applyAlignment="1">
      <alignment vertical="top"/>
    </xf>
    <xf numFmtId="180" fontId="3" fillId="0" borderId="0" xfId="0" applyNumberFormat="1" applyFont="1" applyFill="1" applyBorder="1" applyAlignment="1">
      <alignment horizontal="center" vertical="top"/>
    </xf>
    <xf numFmtId="180" fontId="3" fillId="16" borderId="41" xfId="0" applyNumberFormat="1" applyFont="1" applyFill="1" applyBorder="1" applyAlignment="1">
      <alignment horizontal="center" vertical="top"/>
    </xf>
    <xf numFmtId="180" fontId="4" fillId="16" borderId="54" xfId="0" applyNumberFormat="1" applyFont="1" applyFill="1" applyBorder="1" applyAlignment="1">
      <alignment horizontal="center" vertical="top"/>
    </xf>
    <xf numFmtId="180" fontId="3" fillId="0" borderId="16" xfId="0" applyNumberFormat="1" applyFont="1" applyFill="1" applyBorder="1" applyAlignment="1">
      <alignment horizontal="center" vertical="top"/>
    </xf>
    <xf numFmtId="180" fontId="3" fillId="0" borderId="22" xfId="0" applyNumberFormat="1" applyFont="1" applyFill="1" applyBorder="1" applyAlignment="1">
      <alignment horizontal="center" vertical="top"/>
    </xf>
    <xf numFmtId="180" fontId="4" fillId="16" borderId="39" xfId="0" applyNumberFormat="1" applyFont="1" applyFill="1" applyBorder="1" applyAlignment="1">
      <alignment horizontal="center" vertical="top"/>
    </xf>
    <xf numFmtId="180" fontId="4" fillId="16" borderId="55" xfId="0" applyNumberFormat="1" applyFont="1" applyFill="1" applyBorder="1" applyAlignment="1">
      <alignment horizontal="center" vertical="top"/>
    </xf>
    <xf numFmtId="180" fontId="4" fillId="16" borderId="50" xfId="0" applyNumberFormat="1" applyFont="1" applyFill="1" applyBorder="1" applyAlignment="1">
      <alignment horizontal="center" vertical="top"/>
    </xf>
    <xf numFmtId="180" fontId="4" fillId="16" borderId="55" xfId="0" applyNumberFormat="1" applyFont="1" applyFill="1" applyBorder="1" applyAlignment="1">
      <alignment horizontal="center" vertical="top"/>
    </xf>
    <xf numFmtId="180" fontId="3" fillId="0" borderId="56" xfId="0" applyNumberFormat="1" applyFont="1" applyFill="1" applyBorder="1" applyAlignment="1">
      <alignment horizontal="center" vertical="top"/>
    </xf>
    <xf numFmtId="0" fontId="0" fillId="0" borderId="0" xfId="0" applyFont="1" applyBorder="1" applyAlignment="1">
      <alignment/>
    </xf>
    <xf numFmtId="0" fontId="3" fillId="0" borderId="0" xfId="0" applyFont="1" applyAlignment="1">
      <alignment vertical="top"/>
    </xf>
    <xf numFmtId="180" fontId="3" fillId="0" borderId="0" xfId="0" applyNumberFormat="1" applyFont="1" applyAlignment="1">
      <alignment vertical="top"/>
    </xf>
    <xf numFmtId="0" fontId="3" fillId="0" borderId="0" xfId="0" applyFont="1" applyFill="1" applyAlignment="1">
      <alignment vertical="top"/>
    </xf>
    <xf numFmtId="180" fontId="3" fillId="0" borderId="41" xfId="0" applyNumberFormat="1" applyFont="1" applyFill="1" applyBorder="1" applyAlignment="1">
      <alignment horizontal="center" vertical="top"/>
    </xf>
    <xf numFmtId="180" fontId="4" fillId="4" borderId="57" xfId="0" applyNumberFormat="1" applyFont="1" applyFill="1" applyBorder="1" applyAlignment="1">
      <alignment horizontal="center" vertical="top"/>
    </xf>
    <xf numFmtId="0" fontId="3" fillId="0" borderId="0" xfId="0" applyFont="1" applyBorder="1" applyAlignment="1">
      <alignment horizontal="center" vertical="top"/>
    </xf>
    <xf numFmtId="0" fontId="3" fillId="0" borderId="21" xfId="0" applyFont="1" applyFill="1" applyBorder="1" applyAlignment="1">
      <alignment horizontal="center" vertical="top" wrapText="1"/>
    </xf>
    <xf numFmtId="49" fontId="3" fillId="0" borderId="47"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180" fontId="4" fillId="4" borderId="59" xfId="0" applyNumberFormat="1" applyFont="1" applyFill="1" applyBorder="1" applyAlignment="1">
      <alignment horizontal="center" vertical="top"/>
    </xf>
    <xf numFmtId="180" fontId="4" fillId="4" borderId="60" xfId="0" applyNumberFormat="1" applyFont="1" applyFill="1" applyBorder="1" applyAlignment="1">
      <alignment horizontal="center" vertical="top"/>
    </xf>
    <xf numFmtId="180" fontId="4" fillId="4" borderId="61" xfId="0" applyNumberFormat="1" applyFont="1" applyFill="1" applyBorder="1" applyAlignment="1">
      <alignment horizontal="center" vertical="top"/>
    </xf>
    <xf numFmtId="0" fontId="4" fillId="16" borderId="55" xfId="0" applyFont="1" applyFill="1" applyBorder="1" applyAlignment="1">
      <alignment horizontal="center" vertical="top" wrapText="1"/>
    </xf>
    <xf numFmtId="180" fontId="3" fillId="0" borderId="47" xfId="0" applyNumberFormat="1" applyFont="1" applyBorder="1" applyAlignment="1">
      <alignment horizontal="center" vertical="top" wrapText="1"/>
    </xf>
    <xf numFmtId="180" fontId="4" fillId="16" borderId="62" xfId="0" applyNumberFormat="1" applyFont="1" applyFill="1" applyBorder="1" applyAlignment="1">
      <alignment horizontal="center" vertical="top"/>
    </xf>
    <xf numFmtId="0" fontId="3" fillId="0" borderId="47" xfId="0" applyFont="1" applyBorder="1" applyAlignment="1">
      <alignment horizontal="center" vertical="top"/>
    </xf>
    <xf numFmtId="180" fontId="3" fillId="16" borderId="63" xfId="0" applyNumberFormat="1" applyFont="1" applyFill="1" applyBorder="1" applyAlignment="1">
      <alignment horizontal="center" vertical="top"/>
    </xf>
    <xf numFmtId="180" fontId="3" fillId="0" borderId="64" xfId="0" applyNumberFormat="1" applyFont="1" applyFill="1" applyBorder="1" applyAlignment="1">
      <alignment horizontal="center" vertical="top"/>
    </xf>
    <xf numFmtId="180" fontId="3" fillId="0" borderId="65" xfId="0" applyNumberFormat="1"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180" fontId="3" fillId="0" borderId="67" xfId="0" applyNumberFormat="1" applyFont="1" applyFill="1" applyBorder="1" applyAlignment="1">
      <alignment horizontal="center" vertical="top"/>
    </xf>
    <xf numFmtId="0" fontId="3" fillId="0" borderId="27" xfId="0" applyFont="1" applyFill="1" applyBorder="1" applyAlignment="1">
      <alignment horizontal="center" vertical="top"/>
    </xf>
    <xf numFmtId="180" fontId="3" fillId="16" borderId="68" xfId="0" applyNumberFormat="1" applyFont="1" applyFill="1" applyBorder="1" applyAlignment="1">
      <alignment horizontal="center" vertical="top"/>
    </xf>
    <xf numFmtId="180" fontId="3" fillId="16" borderId="69" xfId="0" applyNumberFormat="1" applyFont="1" applyFill="1" applyBorder="1" applyAlignment="1">
      <alignment horizontal="center" vertical="top"/>
    </xf>
    <xf numFmtId="0" fontId="3" fillId="0" borderId="0" xfId="0" applyFont="1" applyAlignment="1">
      <alignment horizontal="center" vertical="top"/>
    </xf>
    <xf numFmtId="180" fontId="4" fillId="16" borderId="38" xfId="0" applyNumberFormat="1" applyFont="1" applyFill="1" applyBorder="1" applyAlignment="1">
      <alignment horizontal="center" vertical="top"/>
    </xf>
    <xf numFmtId="180" fontId="4" fillId="16" borderId="48" xfId="0" applyNumberFormat="1" applyFont="1" applyFill="1" applyBorder="1" applyAlignment="1">
      <alignment horizontal="center" vertical="top"/>
    </xf>
    <xf numFmtId="180" fontId="4" fillId="16" borderId="49" xfId="0" applyNumberFormat="1" applyFont="1" applyFill="1" applyBorder="1" applyAlignment="1">
      <alignment horizontal="center" vertical="top"/>
    </xf>
    <xf numFmtId="180" fontId="4" fillId="16" borderId="54" xfId="0" applyNumberFormat="1" applyFont="1" applyFill="1" applyBorder="1" applyAlignment="1">
      <alignment horizontal="center" vertical="top"/>
    </xf>
    <xf numFmtId="180" fontId="4" fillId="16" borderId="62" xfId="0" applyNumberFormat="1" applyFont="1" applyFill="1" applyBorder="1" applyAlignment="1">
      <alignment horizontal="center" vertical="top"/>
    </xf>
    <xf numFmtId="180" fontId="4" fillId="16" borderId="52" xfId="0" applyNumberFormat="1" applyFont="1" applyFill="1" applyBorder="1" applyAlignment="1">
      <alignment horizontal="center" vertical="top"/>
    </xf>
    <xf numFmtId="180" fontId="3" fillId="0" borderId="22" xfId="0" applyNumberFormat="1" applyFont="1" applyBorder="1" applyAlignment="1">
      <alignment horizontal="center" vertical="top"/>
    </xf>
    <xf numFmtId="0" fontId="4" fillId="16" borderId="50" xfId="0" applyFont="1" applyFill="1" applyBorder="1" applyAlignment="1">
      <alignment horizontal="center" vertical="top" wrapText="1"/>
    </xf>
    <xf numFmtId="0" fontId="3" fillId="0" borderId="21" xfId="0" applyFont="1" applyBorder="1" applyAlignment="1">
      <alignment horizontal="center" vertical="top"/>
    </xf>
    <xf numFmtId="180" fontId="3" fillId="0" borderId="30" xfId="0" applyNumberFormat="1" applyFont="1" applyBorder="1" applyAlignment="1">
      <alignment horizontal="center" vertical="top"/>
    </xf>
    <xf numFmtId="0" fontId="3" fillId="0" borderId="63" xfId="0" applyFont="1" applyFill="1" applyBorder="1" applyAlignment="1">
      <alignment horizontal="center" vertical="top"/>
    </xf>
    <xf numFmtId="0" fontId="3" fillId="0" borderId="19" xfId="0" applyFont="1" applyBorder="1" applyAlignment="1">
      <alignment horizontal="center" vertical="top"/>
    </xf>
    <xf numFmtId="0" fontId="4" fillId="16" borderId="55" xfId="0" applyFont="1" applyFill="1" applyBorder="1" applyAlignment="1">
      <alignment horizontal="center" vertical="top" wrapText="1"/>
    </xf>
    <xf numFmtId="0" fontId="3" fillId="0" borderId="14" xfId="0" applyFont="1" applyBorder="1" applyAlignment="1">
      <alignment horizontal="center" vertical="top"/>
    </xf>
    <xf numFmtId="0" fontId="4" fillId="0" borderId="47" xfId="0" applyFont="1" applyFill="1" applyBorder="1" applyAlignment="1">
      <alignment horizontal="center" vertical="top" wrapText="1"/>
    </xf>
    <xf numFmtId="0" fontId="4" fillId="0" borderId="58" xfId="0" applyFont="1" applyFill="1" applyBorder="1" applyAlignment="1">
      <alignment horizontal="center" vertical="top" wrapText="1"/>
    </xf>
    <xf numFmtId="0" fontId="3" fillId="0" borderId="48" xfId="0" applyFont="1" applyBorder="1" applyAlignment="1">
      <alignment vertical="center" textRotation="90" wrapText="1"/>
    </xf>
    <xf numFmtId="0" fontId="3" fillId="0" borderId="48" xfId="0" applyFont="1" applyFill="1" applyBorder="1" applyAlignment="1">
      <alignment horizontal="center" vertical="center" textRotation="90" wrapText="1"/>
    </xf>
    <xf numFmtId="0" fontId="3" fillId="0" borderId="48" xfId="0" applyFont="1" applyBorder="1" applyAlignment="1">
      <alignment horizontal="center" vertical="center" textRotation="90" wrapText="1"/>
    </xf>
    <xf numFmtId="180" fontId="3" fillId="24" borderId="47" xfId="0" applyNumberFormat="1" applyFont="1" applyFill="1" applyBorder="1" applyAlignment="1">
      <alignment horizontal="center" vertical="top" wrapText="1"/>
    </xf>
    <xf numFmtId="180" fontId="3" fillId="0" borderId="0" xfId="0" applyNumberFormat="1" applyFont="1" applyFill="1" applyBorder="1" applyAlignment="1">
      <alignment vertical="top" wrapText="1"/>
    </xf>
    <xf numFmtId="180" fontId="3" fillId="0" borderId="45" xfId="0" applyNumberFormat="1" applyFont="1" applyFill="1" applyBorder="1" applyAlignment="1">
      <alignment horizontal="center" vertical="top"/>
    </xf>
    <xf numFmtId="0" fontId="4" fillId="24" borderId="70" xfId="0" applyFont="1" applyFill="1" applyBorder="1" applyAlignment="1">
      <alignment horizontal="center" vertical="top" wrapText="1"/>
    </xf>
    <xf numFmtId="180" fontId="3" fillId="0" borderId="20" xfId="0" applyNumberFormat="1" applyFont="1" applyFill="1" applyBorder="1" applyAlignment="1">
      <alignment horizontal="center" vertical="top"/>
    </xf>
    <xf numFmtId="180" fontId="3" fillId="0" borderId="14" xfId="0" applyNumberFormat="1" applyFont="1" applyBorder="1" applyAlignment="1">
      <alignment horizontal="center" vertical="top" wrapText="1"/>
    </xf>
    <xf numFmtId="180" fontId="3" fillId="0" borderId="35" xfId="0" applyNumberFormat="1" applyFont="1" applyFill="1" applyBorder="1" applyAlignment="1">
      <alignment horizontal="center" vertical="top"/>
    </xf>
    <xf numFmtId="180" fontId="3" fillId="0" borderId="19" xfId="0" applyNumberFormat="1" applyFont="1" applyBorder="1" applyAlignment="1">
      <alignment horizontal="center" vertical="top"/>
    </xf>
    <xf numFmtId="180" fontId="3" fillId="0" borderId="66" xfId="0" applyNumberFormat="1" applyFont="1" applyFill="1" applyBorder="1" applyAlignment="1">
      <alignment horizontal="center" vertical="top"/>
    </xf>
    <xf numFmtId="180" fontId="3" fillId="0" borderId="71" xfId="0" applyNumberFormat="1" applyFont="1" applyFill="1" applyBorder="1" applyAlignment="1">
      <alignment horizontal="center" vertical="top"/>
    </xf>
    <xf numFmtId="180" fontId="3" fillId="0" borderId="72" xfId="0" applyNumberFormat="1" applyFont="1" applyFill="1" applyBorder="1" applyAlignment="1">
      <alignment horizontal="center" vertical="top"/>
    </xf>
    <xf numFmtId="180" fontId="3" fillId="16" borderId="66" xfId="0" applyNumberFormat="1" applyFont="1" applyFill="1" applyBorder="1" applyAlignment="1">
      <alignment horizontal="center" vertical="top"/>
    </xf>
    <xf numFmtId="180" fontId="3" fillId="0" borderId="53" xfId="0" applyNumberFormat="1" applyFont="1" applyBorder="1" applyAlignment="1">
      <alignment horizontal="center" vertical="top" wrapText="1"/>
    </xf>
    <xf numFmtId="180" fontId="3" fillId="0" borderId="18" xfId="0" applyNumberFormat="1" applyFont="1" applyFill="1" applyBorder="1" applyAlignment="1">
      <alignment horizontal="center" vertical="top"/>
    </xf>
    <xf numFmtId="0" fontId="0" fillId="0" borderId="58" xfId="0" applyFont="1" applyBorder="1" applyAlignment="1">
      <alignment vertical="top" wrapText="1"/>
    </xf>
    <xf numFmtId="180" fontId="3" fillId="0" borderId="14" xfId="0" applyNumberFormat="1" applyFont="1" applyBorder="1" applyAlignment="1">
      <alignment horizontal="center" vertical="top"/>
    </xf>
    <xf numFmtId="0" fontId="3" fillId="0" borderId="21" xfId="0" applyFont="1" applyFill="1" applyBorder="1" applyAlignment="1">
      <alignment horizontal="center" vertical="top" wrapText="1"/>
    </xf>
    <xf numFmtId="180" fontId="3" fillId="16" borderId="18" xfId="0" applyNumberFormat="1" applyFont="1" applyFill="1" applyBorder="1" applyAlignment="1">
      <alignment horizontal="center" vertical="top"/>
    </xf>
    <xf numFmtId="180" fontId="3" fillId="0" borderId="53" xfId="0" applyNumberFormat="1" applyFont="1" applyBorder="1" applyAlignment="1">
      <alignment horizontal="center" vertical="top"/>
    </xf>
    <xf numFmtId="180" fontId="3" fillId="0" borderId="21" xfId="0" applyNumberFormat="1" applyFont="1" applyBorder="1" applyAlignment="1">
      <alignment horizontal="center" vertical="top"/>
    </xf>
    <xf numFmtId="180" fontId="3" fillId="0" borderId="67" xfId="0" applyNumberFormat="1" applyFont="1" applyBorder="1" applyAlignment="1">
      <alignment horizontal="center" vertical="top"/>
    </xf>
    <xf numFmtId="180" fontId="3" fillId="0" borderId="15" xfId="0" applyNumberFormat="1" applyFont="1" applyFill="1" applyBorder="1" applyAlignment="1">
      <alignment horizontal="center" vertical="top"/>
    </xf>
    <xf numFmtId="180" fontId="3" fillId="0" borderId="33" xfId="0" applyNumberFormat="1" applyFont="1" applyFill="1" applyBorder="1" applyAlignment="1">
      <alignment horizontal="center" vertical="top"/>
    </xf>
    <xf numFmtId="0" fontId="4" fillId="24" borderId="41" xfId="0" applyFont="1" applyFill="1" applyBorder="1" applyAlignment="1">
      <alignment horizontal="center" vertical="top" wrapText="1"/>
    </xf>
    <xf numFmtId="180" fontId="3" fillId="0" borderId="73" xfId="0" applyNumberFormat="1" applyFont="1" applyFill="1" applyBorder="1" applyAlignment="1">
      <alignment horizontal="center" vertical="top"/>
    </xf>
    <xf numFmtId="180" fontId="3" fillId="0" borderId="17" xfId="0" applyNumberFormat="1" applyFont="1" applyFill="1" applyBorder="1" applyAlignment="1">
      <alignment horizontal="center" vertical="top"/>
    </xf>
    <xf numFmtId="180" fontId="3" fillId="0" borderId="72" xfId="0" applyNumberFormat="1" applyFont="1" applyFill="1" applyBorder="1" applyAlignment="1">
      <alignment horizontal="center" vertical="top"/>
    </xf>
    <xf numFmtId="180" fontId="3" fillId="0" borderId="74" xfId="0" applyNumberFormat="1" applyFont="1" applyFill="1" applyBorder="1" applyAlignment="1">
      <alignment horizontal="center" vertical="top"/>
    </xf>
    <xf numFmtId="0" fontId="3" fillId="0" borderId="68" xfId="0" applyFont="1" applyBorder="1" applyAlignment="1">
      <alignment horizontal="center" vertical="top" wrapText="1"/>
    </xf>
    <xf numFmtId="180" fontId="3" fillId="24" borderId="14" xfId="0" applyNumberFormat="1" applyFont="1" applyFill="1" applyBorder="1" applyAlignment="1">
      <alignment horizontal="center" vertical="top" wrapText="1"/>
    </xf>
    <xf numFmtId="180" fontId="3" fillId="0" borderId="75" xfId="0" applyNumberFormat="1" applyFont="1" applyFill="1" applyBorder="1" applyAlignment="1">
      <alignment horizontal="center" vertical="top"/>
    </xf>
    <xf numFmtId="180" fontId="3" fillId="0" borderId="29" xfId="0" applyNumberFormat="1" applyFont="1" applyFill="1" applyBorder="1" applyAlignment="1">
      <alignment horizontal="center" vertical="top"/>
    </xf>
    <xf numFmtId="180" fontId="3" fillId="0" borderId="0" xfId="0" applyNumberFormat="1" applyFont="1" applyFill="1" applyBorder="1" applyAlignment="1">
      <alignment horizontal="center" vertical="top"/>
    </xf>
    <xf numFmtId="180" fontId="3" fillId="0" borderId="0" xfId="0" applyNumberFormat="1" applyFont="1" applyBorder="1" applyAlignment="1">
      <alignment horizontal="center" vertical="top" wrapText="1"/>
    </xf>
    <xf numFmtId="180" fontId="3" fillId="24" borderId="27" xfId="0" applyNumberFormat="1" applyFont="1" applyFill="1" applyBorder="1" applyAlignment="1">
      <alignment horizontal="center" vertical="top" wrapText="1"/>
    </xf>
    <xf numFmtId="180" fontId="3" fillId="0" borderId="66" xfId="0" applyNumberFormat="1" applyFont="1" applyFill="1" applyBorder="1" applyAlignment="1">
      <alignment horizontal="center" vertical="top"/>
    </xf>
    <xf numFmtId="180" fontId="3" fillId="0" borderId="71" xfId="0" applyNumberFormat="1" applyFont="1" applyFill="1" applyBorder="1" applyAlignment="1">
      <alignment horizontal="center" vertical="top"/>
    </xf>
    <xf numFmtId="180" fontId="3" fillId="0" borderId="41" xfId="0" applyNumberFormat="1" applyFont="1" applyFill="1" applyBorder="1" applyAlignment="1">
      <alignment horizontal="center" vertical="top"/>
    </xf>
    <xf numFmtId="180" fontId="3" fillId="0" borderId="31" xfId="0" applyNumberFormat="1" applyFont="1" applyFill="1" applyBorder="1" applyAlignment="1">
      <alignment horizontal="center" vertical="top"/>
    </xf>
    <xf numFmtId="180" fontId="3" fillId="0" borderId="37" xfId="0" applyNumberFormat="1" applyFont="1" applyFill="1" applyBorder="1" applyAlignment="1">
      <alignment horizontal="center" vertical="top"/>
    </xf>
    <xf numFmtId="180" fontId="3" fillId="0" borderId="32" xfId="0" applyNumberFormat="1" applyFont="1" applyFill="1" applyBorder="1" applyAlignment="1">
      <alignment horizontal="center" vertical="top"/>
    </xf>
    <xf numFmtId="180" fontId="3" fillId="24" borderId="0" xfId="0" applyNumberFormat="1" applyFont="1" applyFill="1" applyBorder="1" applyAlignment="1">
      <alignment horizontal="center" vertical="top" wrapText="1"/>
    </xf>
    <xf numFmtId="180" fontId="3" fillId="0" borderId="18" xfId="0" applyNumberFormat="1" applyFont="1" applyFill="1" applyBorder="1" applyAlignment="1">
      <alignment horizontal="center" vertical="top"/>
    </xf>
    <xf numFmtId="0" fontId="3" fillId="0" borderId="27" xfId="0" applyFont="1" applyFill="1" applyBorder="1" applyAlignment="1">
      <alignment horizontal="center" vertical="top" wrapText="1"/>
    </xf>
    <xf numFmtId="180" fontId="3" fillId="0" borderId="28" xfId="0" applyNumberFormat="1" applyFont="1" applyFill="1" applyBorder="1" applyAlignment="1">
      <alignment horizontal="center" vertical="top"/>
    </xf>
    <xf numFmtId="0" fontId="3" fillId="0" borderId="19" xfId="0" applyFont="1" applyFill="1" applyBorder="1" applyAlignment="1">
      <alignment horizontal="center" vertical="top" wrapText="1"/>
    </xf>
    <xf numFmtId="180" fontId="3" fillId="0" borderId="45" xfId="0" applyNumberFormat="1" applyFont="1" applyFill="1" applyBorder="1" applyAlignment="1">
      <alignment horizontal="center" vertical="top"/>
    </xf>
    <xf numFmtId="180" fontId="3" fillId="0" borderId="43" xfId="0" applyNumberFormat="1" applyFont="1" applyFill="1" applyBorder="1" applyAlignment="1">
      <alignment horizontal="center" vertical="top"/>
    </xf>
    <xf numFmtId="180" fontId="3" fillId="0" borderId="44" xfId="0" applyNumberFormat="1" applyFont="1" applyFill="1" applyBorder="1" applyAlignment="1">
      <alignment horizontal="center" vertical="top"/>
    </xf>
    <xf numFmtId="180" fontId="3" fillId="0" borderId="45" xfId="0" applyNumberFormat="1" applyFont="1" applyBorder="1" applyAlignment="1">
      <alignment horizontal="center" vertical="top"/>
    </xf>
    <xf numFmtId="180" fontId="3" fillId="0" borderId="43" xfId="0" applyNumberFormat="1" applyFont="1" applyBorder="1" applyAlignment="1">
      <alignment horizontal="center" vertical="top"/>
    </xf>
    <xf numFmtId="180" fontId="3" fillId="0" borderId="13" xfId="0" applyNumberFormat="1" applyFont="1" applyBorder="1" applyAlignment="1">
      <alignment horizontal="center" vertical="top"/>
    </xf>
    <xf numFmtId="180" fontId="3" fillId="0" borderId="23" xfId="0" applyNumberFormat="1" applyFont="1" applyBorder="1" applyAlignment="1">
      <alignment horizontal="center" vertical="top"/>
    </xf>
    <xf numFmtId="180" fontId="3" fillId="0" borderId="76" xfId="0" applyNumberFormat="1" applyFont="1" applyBorder="1" applyAlignment="1">
      <alignment horizontal="center" vertical="top"/>
    </xf>
    <xf numFmtId="180" fontId="3" fillId="0" borderId="21" xfId="0" applyNumberFormat="1" applyFont="1" applyBorder="1" applyAlignment="1">
      <alignment horizontal="center" vertical="top"/>
    </xf>
    <xf numFmtId="0" fontId="0" fillId="0" borderId="44" xfId="0" applyFont="1" applyBorder="1" applyAlignment="1">
      <alignment vertical="top" wrapText="1"/>
    </xf>
    <xf numFmtId="180" fontId="3" fillId="0" borderId="31" xfId="0" applyNumberFormat="1" applyFont="1" applyBorder="1" applyAlignment="1">
      <alignment horizontal="center" vertical="top"/>
    </xf>
    <xf numFmtId="0" fontId="3" fillId="0" borderId="21" xfId="0" applyFont="1" applyFill="1" applyBorder="1" applyAlignment="1">
      <alignment horizontal="center" vertical="top"/>
    </xf>
    <xf numFmtId="49" fontId="3" fillId="0" borderId="27" xfId="0" applyNumberFormat="1" applyFont="1" applyBorder="1" applyAlignment="1">
      <alignment vertical="top" wrapText="1"/>
    </xf>
    <xf numFmtId="0" fontId="3" fillId="0" borderId="66" xfId="0" applyFont="1" applyFill="1" applyBorder="1" applyAlignment="1">
      <alignment horizontal="center" vertical="top" wrapText="1"/>
    </xf>
    <xf numFmtId="0" fontId="3" fillId="0" borderId="53" xfId="0" applyFont="1" applyBorder="1" applyAlignment="1">
      <alignment horizontal="center" vertical="top" wrapText="1"/>
    </xf>
    <xf numFmtId="0" fontId="3" fillId="0" borderId="77" xfId="0" applyFont="1" applyBorder="1" applyAlignment="1">
      <alignment horizontal="center" vertical="top" wrapText="1"/>
    </xf>
    <xf numFmtId="180" fontId="3" fillId="0" borderId="53" xfId="0" applyNumberFormat="1" applyFont="1" applyBorder="1" applyAlignment="1">
      <alignment horizontal="center" vertical="top" wrapText="1"/>
    </xf>
    <xf numFmtId="180" fontId="3" fillId="0" borderId="77"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27" xfId="0" applyFont="1" applyFill="1" applyBorder="1" applyAlignment="1">
      <alignment horizontal="center" vertical="top"/>
    </xf>
    <xf numFmtId="180" fontId="3" fillId="0" borderId="70" xfId="0" applyNumberFormat="1" applyFont="1" applyFill="1" applyBorder="1" applyAlignment="1">
      <alignment horizontal="center" vertical="top"/>
    </xf>
    <xf numFmtId="180" fontId="3" fillId="24" borderId="43" xfId="0" applyNumberFormat="1" applyFont="1" applyFill="1" applyBorder="1" applyAlignment="1">
      <alignment horizontal="center" vertical="top" wrapText="1"/>
    </xf>
    <xf numFmtId="0" fontId="0" fillId="0" borderId="43" xfId="0" applyFont="1" applyBorder="1" applyAlignment="1">
      <alignment vertical="top" wrapText="1"/>
    </xf>
    <xf numFmtId="180" fontId="3" fillId="16" borderId="56" xfId="0" applyNumberFormat="1" applyFont="1" applyFill="1" applyBorder="1" applyAlignment="1">
      <alignment horizontal="center" vertical="top"/>
    </xf>
    <xf numFmtId="180" fontId="3" fillId="0" borderId="27" xfId="0" applyNumberFormat="1" applyFont="1" applyFill="1" applyBorder="1" applyAlignment="1">
      <alignment horizontal="center" vertical="top"/>
    </xf>
    <xf numFmtId="180" fontId="3" fillId="0" borderId="34" xfId="0" applyNumberFormat="1" applyFont="1" applyFill="1" applyBorder="1" applyAlignment="1">
      <alignment horizontal="center" vertical="top"/>
    </xf>
    <xf numFmtId="0" fontId="3" fillId="0" borderId="64" xfId="0" applyFont="1" applyFill="1" applyBorder="1" applyAlignment="1">
      <alignment horizontal="center" vertical="top" wrapText="1"/>
    </xf>
    <xf numFmtId="180" fontId="3" fillId="0" borderId="34" xfId="0" applyNumberFormat="1" applyFont="1" applyBorder="1" applyAlignment="1">
      <alignment horizontal="center" vertical="top"/>
    </xf>
    <xf numFmtId="186" fontId="3" fillId="0" borderId="14" xfId="0" applyNumberFormat="1" applyFont="1" applyFill="1" applyBorder="1" applyAlignment="1">
      <alignment horizontal="center" vertical="top"/>
    </xf>
    <xf numFmtId="0" fontId="3" fillId="0" borderId="14" xfId="0" applyFont="1" applyFill="1" applyBorder="1" applyAlignment="1">
      <alignment horizontal="center" vertical="top" wrapText="1"/>
    </xf>
    <xf numFmtId="180" fontId="3" fillId="0" borderId="70" xfId="0" applyNumberFormat="1" applyFont="1" applyFill="1" applyBorder="1" applyAlignment="1">
      <alignment horizontal="center" vertical="top"/>
    </xf>
    <xf numFmtId="180" fontId="3" fillId="0" borderId="74" xfId="0" applyNumberFormat="1" applyFont="1" applyBorder="1" applyAlignment="1">
      <alignment horizontal="center" vertical="top"/>
    </xf>
    <xf numFmtId="180" fontId="3" fillId="24" borderId="76" xfId="0" applyNumberFormat="1" applyFont="1" applyFill="1" applyBorder="1" applyAlignment="1">
      <alignment horizontal="center" vertical="top" wrapText="1"/>
    </xf>
    <xf numFmtId="180" fontId="3" fillId="0" borderId="40" xfId="0" applyNumberFormat="1" applyFont="1" applyFill="1" applyBorder="1" applyAlignment="1">
      <alignment horizontal="center" vertical="top"/>
    </xf>
    <xf numFmtId="49" fontId="3" fillId="0" borderId="34" xfId="0" applyNumberFormat="1" applyFont="1" applyBorder="1" applyAlignment="1">
      <alignment horizontal="center" vertical="top"/>
    </xf>
    <xf numFmtId="0" fontId="3" fillId="0" borderId="47" xfId="0" applyFont="1" applyFill="1" applyBorder="1" applyAlignment="1">
      <alignment horizontal="center" vertical="top" wrapText="1"/>
    </xf>
    <xf numFmtId="180" fontId="3" fillId="0" borderId="44" xfId="0" applyNumberFormat="1" applyFont="1" applyBorder="1" applyAlignment="1">
      <alignment horizontal="center" vertical="top"/>
    </xf>
    <xf numFmtId="49" fontId="3" fillId="0" borderId="78" xfId="0" applyNumberFormat="1" applyFont="1" applyBorder="1" applyAlignment="1">
      <alignment horizontal="center" vertical="top"/>
    </xf>
    <xf numFmtId="0" fontId="3" fillId="0" borderId="27" xfId="0" applyFont="1" applyBorder="1" applyAlignment="1">
      <alignment horizontal="center" vertical="top"/>
    </xf>
    <xf numFmtId="180" fontId="3" fillId="0" borderId="0" xfId="0" applyNumberFormat="1" applyFont="1" applyBorder="1" applyAlignment="1">
      <alignment horizontal="center" vertical="top"/>
    </xf>
    <xf numFmtId="180" fontId="3" fillId="0" borderId="67" xfId="0" applyNumberFormat="1" applyFont="1" applyFill="1" applyBorder="1" applyAlignment="1">
      <alignment horizontal="center" vertical="top"/>
    </xf>
    <xf numFmtId="180" fontId="4" fillId="16" borderId="79" xfId="0" applyNumberFormat="1" applyFont="1" applyFill="1" applyBorder="1" applyAlignment="1">
      <alignment horizontal="center" vertical="top"/>
    </xf>
    <xf numFmtId="180" fontId="4" fillId="16" borderId="80" xfId="0" applyNumberFormat="1" applyFont="1" applyFill="1" applyBorder="1" applyAlignment="1">
      <alignment horizontal="center" vertical="top"/>
    </xf>
    <xf numFmtId="49" fontId="4" fillId="8" borderId="81" xfId="0" applyNumberFormat="1" applyFont="1" applyFill="1" applyBorder="1" applyAlignment="1">
      <alignment horizontal="center" vertical="top"/>
    </xf>
    <xf numFmtId="49" fontId="4" fillId="8" borderId="45" xfId="0" applyNumberFormat="1" applyFont="1" applyFill="1" applyBorder="1" applyAlignment="1">
      <alignment horizontal="center" vertical="top"/>
    </xf>
    <xf numFmtId="49" fontId="4" fillId="8" borderId="70" xfId="0" applyNumberFormat="1" applyFont="1" applyFill="1" applyBorder="1" applyAlignment="1">
      <alignment horizontal="center" vertical="top"/>
    </xf>
    <xf numFmtId="49" fontId="4" fillId="4" borderId="60" xfId="0" applyNumberFormat="1" applyFont="1" applyFill="1" applyBorder="1" applyAlignment="1">
      <alignment horizontal="center" vertical="top"/>
    </xf>
    <xf numFmtId="49" fontId="4" fillId="4" borderId="43" xfId="0" applyNumberFormat="1" applyFont="1" applyFill="1" applyBorder="1" applyAlignment="1">
      <alignment horizontal="center" vertical="top"/>
    </xf>
    <xf numFmtId="49" fontId="4" fillId="24" borderId="44" xfId="0" applyNumberFormat="1" applyFont="1" applyFill="1" applyBorder="1" applyAlignment="1">
      <alignment horizontal="center" vertical="top"/>
    </xf>
    <xf numFmtId="49" fontId="4" fillId="4" borderId="80" xfId="0" applyNumberFormat="1" applyFont="1" applyFill="1" applyBorder="1" applyAlignment="1">
      <alignment horizontal="center" vertical="top"/>
    </xf>
    <xf numFmtId="49" fontId="4" fillId="24" borderId="82" xfId="0" applyNumberFormat="1" applyFont="1" applyFill="1" applyBorder="1" applyAlignment="1">
      <alignment horizontal="center" vertical="top"/>
    </xf>
    <xf numFmtId="49" fontId="4" fillId="4" borderId="31" xfId="0" applyNumberFormat="1" applyFont="1" applyFill="1" applyBorder="1" applyAlignment="1">
      <alignment horizontal="center" vertical="top"/>
    </xf>
    <xf numFmtId="49" fontId="4" fillId="8" borderId="41" xfId="0" applyNumberFormat="1" applyFont="1" applyFill="1" applyBorder="1" applyAlignment="1">
      <alignment horizontal="center" vertical="top"/>
    </xf>
    <xf numFmtId="49" fontId="4" fillId="8" borderId="81" xfId="0" applyNumberFormat="1" applyFont="1" applyFill="1" applyBorder="1" applyAlignment="1">
      <alignment horizontal="center" vertical="top"/>
    </xf>
    <xf numFmtId="49" fontId="3" fillId="8" borderId="81" xfId="0" applyNumberFormat="1" applyFont="1" applyFill="1" applyBorder="1" applyAlignment="1">
      <alignment horizontal="center" vertical="top"/>
    </xf>
    <xf numFmtId="0" fontId="3" fillId="0" borderId="0" xfId="0" applyFont="1" applyBorder="1" applyAlignment="1">
      <alignment vertical="top"/>
    </xf>
    <xf numFmtId="49" fontId="3" fillId="8" borderId="41" xfId="0" applyNumberFormat="1" applyFont="1" applyFill="1" applyBorder="1" applyAlignment="1">
      <alignment horizontal="center" vertical="top"/>
    </xf>
    <xf numFmtId="49" fontId="4" fillId="4" borderId="43" xfId="0" applyNumberFormat="1" applyFont="1" applyFill="1" applyBorder="1" applyAlignment="1">
      <alignment horizontal="center" vertical="top"/>
    </xf>
    <xf numFmtId="49" fontId="4" fillId="8" borderId="28" xfId="0" applyNumberFormat="1" applyFont="1" applyFill="1" applyBorder="1" applyAlignment="1">
      <alignment horizontal="center" vertical="top"/>
    </xf>
    <xf numFmtId="49" fontId="4" fillId="4" borderId="31" xfId="0" applyNumberFormat="1" applyFont="1" applyFill="1" applyBorder="1" applyAlignment="1">
      <alignment horizontal="center" vertical="top"/>
    </xf>
    <xf numFmtId="49" fontId="4" fillId="4" borderId="80" xfId="0" applyNumberFormat="1" applyFont="1" applyFill="1" applyBorder="1" applyAlignment="1">
      <alignment horizontal="center" vertical="top"/>
    </xf>
    <xf numFmtId="49" fontId="4" fillId="8" borderId="83" xfId="0" applyNumberFormat="1" applyFont="1" applyFill="1" applyBorder="1" applyAlignment="1">
      <alignment horizontal="center" vertical="top"/>
    </xf>
    <xf numFmtId="49" fontId="4" fillId="8" borderId="42" xfId="0" applyNumberFormat="1" applyFont="1" applyFill="1" applyBorder="1" applyAlignment="1">
      <alignment horizontal="center" vertical="top"/>
    </xf>
    <xf numFmtId="49" fontId="4" fillId="8" borderId="25" xfId="0" applyNumberFormat="1" applyFont="1" applyFill="1" applyBorder="1" applyAlignment="1">
      <alignment vertical="center"/>
    </xf>
    <xf numFmtId="49" fontId="4" fillId="4" borderId="60" xfId="0" applyNumberFormat="1" applyFont="1" applyFill="1" applyBorder="1" applyAlignment="1">
      <alignment horizontal="center" vertical="top"/>
    </xf>
    <xf numFmtId="49" fontId="4" fillId="4" borderId="43" xfId="0" applyNumberFormat="1" applyFont="1" applyFill="1" applyBorder="1" applyAlignment="1">
      <alignment vertical="top"/>
    </xf>
    <xf numFmtId="49" fontId="4" fillId="4" borderId="84" xfId="0" applyNumberFormat="1" applyFont="1" applyFill="1" applyBorder="1" applyAlignment="1">
      <alignment horizontal="center" vertical="top"/>
    </xf>
    <xf numFmtId="49" fontId="4" fillId="24" borderId="44" xfId="0" applyNumberFormat="1" applyFont="1" applyFill="1" applyBorder="1" applyAlignment="1">
      <alignment horizontal="center" vertical="top"/>
    </xf>
    <xf numFmtId="49" fontId="4" fillId="24" borderId="82" xfId="0" applyNumberFormat="1" applyFont="1" applyFill="1" applyBorder="1" applyAlignment="1">
      <alignment horizontal="center" vertical="top"/>
    </xf>
    <xf numFmtId="0" fontId="3" fillId="0" borderId="0" xfId="0" applyNumberFormat="1" applyFont="1" applyBorder="1" applyAlignment="1">
      <alignment vertical="top"/>
    </xf>
    <xf numFmtId="180" fontId="3" fillId="0" borderId="0" xfId="0" applyNumberFormat="1" applyFont="1" applyBorder="1" applyAlignment="1">
      <alignment vertical="top"/>
    </xf>
    <xf numFmtId="0" fontId="3" fillId="0" borderId="0" xfId="0" applyNumberFormat="1" applyFont="1" applyAlignment="1">
      <alignment vertical="top"/>
    </xf>
    <xf numFmtId="180" fontId="3" fillId="0" borderId="19" xfId="0" applyNumberFormat="1" applyFont="1" applyBorder="1" applyAlignment="1">
      <alignment horizontal="center" vertical="top" wrapText="1"/>
    </xf>
    <xf numFmtId="0" fontId="3" fillId="0" borderId="34" xfId="0" applyFont="1" applyFill="1" applyBorder="1" applyAlignment="1">
      <alignment horizontal="left" vertical="top"/>
    </xf>
    <xf numFmtId="180" fontId="3" fillId="0" borderId="64" xfId="0" applyNumberFormat="1" applyFont="1" applyFill="1" applyBorder="1" applyAlignment="1">
      <alignment horizontal="center" vertical="top"/>
    </xf>
    <xf numFmtId="180" fontId="4" fillId="8" borderId="25" xfId="0" applyNumberFormat="1" applyFont="1" applyFill="1" applyBorder="1" applyAlignment="1">
      <alignment horizontal="center" vertical="top"/>
    </xf>
    <xf numFmtId="0" fontId="4" fillId="24" borderId="64" xfId="0" applyNumberFormat="1" applyFont="1" applyFill="1" applyBorder="1" applyAlignment="1">
      <alignment horizontal="center" vertical="top"/>
    </xf>
    <xf numFmtId="0" fontId="4" fillId="24" borderId="0" xfId="0" applyNumberFormat="1" applyFont="1" applyFill="1" applyBorder="1" applyAlignment="1">
      <alignment horizontal="center" vertical="top"/>
    </xf>
    <xf numFmtId="0" fontId="4" fillId="24" borderId="85" xfId="0" applyNumberFormat="1" applyFont="1" applyFill="1" applyBorder="1" applyAlignment="1">
      <alignment horizontal="center" vertical="top"/>
    </xf>
    <xf numFmtId="0" fontId="4" fillId="24" borderId="27" xfId="0" applyNumberFormat="1" applyFont="1" applyFill="1" applyBorder="1" applyAlignment="1">
      <alignment horizontal="center" vertical="top"/>
    </xf>
    <xf numFmtId="0" fontId="4" fillId="0" borderId="70" xfId="0" applyNumberFormat="1" applyFont="1" applyFill="1" applyBorder="1" applyAlignment="1">
      <alignment horizontal="center" vertical="top"/>
    </xf>
    <xf numFmtId="0" fontId="4" fillId="0" borderId="81" xfId="0" applyNumberFormat="1" applyFont="1" applyFill="1" applyBorder="1" applyAlignment="1">
      <alignment horizontal="center" vertical="top"/>
    </xf>
    <xf numFmtId="0" fontId="4" fillId="0" borderId="27" xfId="0" applyNumberFormat="1" applyFont="1" applyFill="1" applyBorder="1" applyAlignment="1">
      <alignment horizontal="center" vertical="top"/>
    </xf>
    <xf numFmtId="0" fontId="4" fillId="0" borderId="58" xfId="0" applyNumberFormat="1" applyFont="1" applyFill="1" applyBorder="1" applyAlignment="1">
      <alignment horizontal="center" vertical="top"/>
    </xf>
    <xf numFmtId="0" fontId="11" fillId="0" borderId="58" xfId="0" applyFont="1" applyBorder="1" applyAlignment="1">
      <alignment vertical="top"/>
    </xf>
    <xf numFmtId="0" fontId="4" fillId="0" borderId="64" xfId="0" applyNumberFormat="1" applyFont="1" applyFill="1" applyBorder="1" applyAlignment="1">
      <alignment horizontal="center" vertical="top"/>
    </xf>
    <xf numFmtId="0" fontId="4" fillId="0" borderId="85" xfId="0" applyNumberFormat="1" applyFont="1" applyFill="1" applyBorder="1" applyAlignment="1">
      <alignment horizontal="center" vertical="top"/>
    </xf>
    <xf numFmtId="0" fontId="4" fillId="0" borderId="64" xfId="0" applyNumberFormat="1" applyFont="1" applyBorder="1" applyAlignment="1">
      <alignment horizontal="center" vertical="top"/>
    </xf>
    <xf numFmtId="0" fontId="4" fillId="0" borderId="85" xfId="0" applyNumberFormat="1" applyFont="1" applyBorder="1" applyAlignment="1">
      <alignment horizontal="center" vertical="top"/>
    </xf>
    <xf numFmtId="0" fontId="4" fillId="0" borderId="58" xfId="0" applyNumberFormat="1" applyFont="1" applyBorder="1" applyAlignment="1">
      <alignment horizontal="center" vertical="top" wrapText="1"/>
    </xf>
    <xf numFmtId="49" fontId="3" fillId="24" borderId="47" xfId="0" applyNumberFormat="1" applyFont="1" applyFill="1" applyBorder="1" applyAlignment="1">
      <alignment horizontal="center" vertical="top" wrapText="1"/>
    </xf>
    <xf numFmtId="49" fontId="3" fillId="24" borderId="27" xfId="0" applyNumberFormat="1" applyFont="1" applyFill="1" applyBorder="1" applyAlignment="1">
      <alignment horizontal="center" vertical="top" wrapText="1"/>
    </xf>
    <xf numFmtId="49" fontId="3" fillId="24" borderId="58" xfId="0" applyNumberFormat="1" applyFont="1" applyFill="1" applyBorder="1" applyAlignment="1">
      <alignment horizontal="center" vertical="top" wrapText="1"/>
    </xf>
    <xf numFmtId="0" fontId="4" fillId="16" borderId="62" xfId="0" applyFont="1" applyFill="1" applyBorder="1" applyAlignment="1">
      <alignment horizontal="center" vertical="top" wrapText="1"/>
    </xf>
    <xf numFmtId="0" fontId="4" fillId="16" borderId="52" xfId="0" applyFont="1" applyFill="1" applyBorder="1" applyAlignment="1">
      <alignment horizontal="center" vertical="top" wrapText="1"/>
    </xf>
    <xf numFmtId="0" fontId="3" fillId="0" borderId="68" xfId="0" applyFont="1" applyBorder="1" applyAlignment="1">
      <alignment horizontal="center" vertical="top"/>
    </xf>
    <xf numFmtId="180" fontId="3" fillId="0" borderId="77" xfId="0" applyNumberFormat="1" applyFont="1" applyFill="1" applyBorder="1" applyAlignment="1">
      <alignment horizontal="center" vertical="top"/>
    </xf>
    <xf numFmtId="180" fontId="4" fillId="0" borderId="0" xfId="0" applyNumberFormat="1" applyFont="1" applyFill="1" applyBorder="1" applyAlignment="1">
      <alignment vertical="center" wrapText="1"/>
    </xf>
    <xf numFmtId="180" fontId="4" fillId="0" borderId="0" xfId="0" applyNumberFormat="1" applyFont="1" applyFill="1" applyBorder="1" applyAlignment="1">
      <alignment vertical="top" wrapText="1"/>
    </xf>
    <xf numFmtId="180" fontId="3" fillId="0" borderId="0" xfId="0" applyNumberFormat="1" applyFont="1" applyFill="1" applyAlignment="1">
      <alignment vertical="top"/>
    </xf>
    <xf numFmtId="180" fontId="4" fillId="0" borderId="0" xfId="0" applyNumberFormat="1" applyFont="1" applyFill="1" applyAlignment="1">
      <alignment vertical="top"/>
    </xf>
    <xf numFmtId="180" fontId="3" fillId="0" borderId="67" xfId="0" applyNumberFormat="1" applyFont="1" applyBorder="1" applyAlignment="1">
      <alignment horizontal="center" vertical="top"/>
    </xf>
    <xf numFmtId="180" fontId="3" fillId="0" borderId="41" xfId="0" applyNumberFormat="1" applyFont="1" applyBorder="1" applyAlignment="1">
      <alignment horizontal="center" vertical="top"/>
    </xf>
    <xf numFmtId="0" fontId="3" fillId="0" borderId="69" xfId="0" applyFont="1" applyFill="1" applyBorder="1" applyAlignment="1">
      <alignment horizontal="center" vertical="top"/>
    </xf>
    <xf numFmtId="0" fontId="3" fillId="0" borderId="53" xfId="0" applyFont="1" applyFill="1" applyBorder="1" applyAlignment="1">
      <alignment horizontal="center" vertical="top"/>
    </xf>
    <xf numFmtId="49" fontId="4" fillId="8" borderId="45" xfId="0" applyNumberFormat="1" applyFont="1" applyFill="1" applyBorder="1" applyAlignment="1">
      <alignment vertical="top"/>
    </xf>
    <xf numFmtId="49" fontId="4" fillId="4" borderId="43" xfId="0" applyNumberFormat="1" applyFont="1" applyFill="1" applyBorder="1" applyAlignment="1">
      <alignment vertical="top"/>
    </xf>
    <xf numFmtId="49" fontId="4" fillId="0" borderId="44" xfId="0" applyNumberFormat="1" applyFont="1" applyBorder="1" applyAlignment="1">
      <alignment vertical="top"/>
    </xf>
    <xf numFmtId="0" fontId="3" fillId="0" borderId="47" xfId="0" applyFont="1" applyFill="1" applyBorder="1" applyAlignment="1">
      <alignment vertical="top" wrapText="1"/>
    </xf>
    <xf numFmtId="49" fontId="3" fillId="0" borderId="47" xfId="0" applyNumberFormat="1" applyFont="1" applyBorder="1" applyAlignment="1">
      <alignment vertical="top" wrapText="1"/>
    </xf>
    <xf numFmtId="49" fontId="4" fillId="8" borderId="28" xfId="0" applyNumberFormat="1" applyFont="1" applyFill="1" applyBorder="1" applyAlignment="1">
      <alignment vertical="top"/>
    </xf>
    <xf numFmtId="49" fontId="4" fillId="4" borderId="31" xfId="0" applyNumberFormat="1" applyFont="1" applyFill="1" applyBorder="1" applyAlignment="1">
      <alignment vertical="top"/>
    </xf>
    <xf numFmtId="49" fontId="4" fillId="0" borderId="37" xfId="0" applyNumberFormat="1" applyFont="1" applyBorder="1" applyAlignment="1">
      <alignment vertical="top"/>
    </xf>
    <xf numFmtId="0" fontId="3" fillId="0" borderId="27" xfId="0" applyFont="1" applyFill="1" applyBorder="1" applyAlignment="1">
      <alignment vertical="top" wrapText="1"/>
    </xf>
    <xf numFmtId="49" fontId="3" fillId="0" borderId="27" xfId="0" applyNumberFormat="1" applyFont="1" applyBorder="1" applyAlignment="1">
      <alignment vertical="top" wrapText="1"/>
    </xf>
    <xf numFmtId="49" fontId="4" fillId="0" borderId="27" xfId="0" applyNumberFormat="1" applyFont="1" applyFill="1" applyBorder="1" applyAlignment="1">
      <alignment vertical="top"/>
    </xf>
    <xf numFmtId="49" fontId="4" fillId="8" borderId="83" xfId="0" applyNumberFormat="1" applyFont="1" applyFill="1" applyBorder="1" applyAlignment="1">
      <alignment vertical="top"/>
    </xf>
    <xf numFmtId="49" fontId="4" fillId="4" borderId="80" xfId="0" applyNumberFormat="1" applyFont="1" applyFill="1" applyBorder="1" applyAlignment="1">
      <alignment vertical="top"/>
    </xf>
    <xf numFmtId="49" fontId="4" fillId="0" borderId="82" xfId="0" applyNumberFormat="1" applyFont="1" applyBorder="1" applyAlignment="1">
      <alignment vertical="top"/>
    </xf>
    <xf numFmtId="0" fontId="3" fillId="0" borderId="58" xfId="0" applyFont="1" applyFill="1" applyBorder="1" applyAlignment="1">
      <alignment vertical="top" wrapText="1"/>
    </xf>
    <xf numFmtId="49" fontId="3" fillId="0" borderId="58" xfId="0" applyNumberFormat="1" applyFont="1" applyBorder="1" applyAlignment="1">
      <alignment vertical="top" wrapText="1"/>
    </xf>
    <xf numFmtId="49" fontId="4" fillId="0" borderId="58" xfId="0" applyNumberFormat="1" applyFont="1" applyFill="1" applyBorder="1" applyAlignment="1">
      <alignment vertical="top"/>
    </xf>
    <xf numFmtId="0" fontId="0" fillId="0" borderId="76" xfId="0" applyFont="1" applyBorder="1" applyAlignment="1">
      <alignment vertical="top" wrapText="1"/>
    </xf>
    <xf numFmtId="180" fontId="4" fillId="16" borderId="22" xfId="0" applyNumberFormat="1" applyFont="1" applyFill="1" applyBorder="1" applyAlignment="1">
      <alignment horizontal="center" vertical="top"/>
    </xf>
    <xf numFmtId="180" fontId="4" fillId="16" borderId="23" xfId="0" applyNumberFormat="1" applyFont="1" applyFill="1" applyBorder="1" applyAlignment="1">
      <alignment horizontal="center" vertical="top"/>
    </xf>
    <xf numFmtId="180" fontId="4" fillId="16" borderId="36" xfId="0" applyNumberFormat="1" applyFont="1" applyFill="1" applyBorder="1" applyAlignment="1">
      <alignment horizontal="center" vertical="top"/>
    </xf>
    <xf numFmtId="180" fontId="4" fillId="16" borderId="24" xfId="0" applyNumberFormat="1" applyFont="1" applyFill="1" applyBorder="1" applyAlignment="1">
      <alignment horizontal="center" vertical="top"/>
    </xf>
    <xf numFmtId="0" fontId="3" fillId="0" borderId="86" xfId="0" applyFont="1" applyBorder="1" applyAlignment="1">
      <alignment horizontal="center" vertical="top"/>
    </xf>
    <xf numFmtId="180" fontId="3" fillId="0" borderId="14" xfId="0" applyNumberFormat="1" applyFont="1" applyBorder="1" applyAlignment="1">
      <alignment horizontal="center" vertical="top" wrapText="1"/>
    </xf>
    <xf numFmtId="0" fontId="4" fillId="16" borderId="0" xfId="0" applyFont="1" applyFill="1" applyBorder="1" applyAlignment="1">
      <alignment horizontal="center" vertical="top" wrapText="1"/>
    </xf>
    <xf numFmtId="0" fontId="3" fillId="0" borderId="53" xfId="0" applyFont="1" applyBorder="1" applyAlignment="1">
      <alignment horizontal="center" vertical="top"/>
    </xf>
    <xf numFmtId="180" fontId="3" fillId="0" borderId="15" xfId="0" applyNumberFormat="1" applyFont="1" applyBorder="1" applyAlignment="1">
      <alignment horizontal="center" vertical="top"/>
    </xf>
    <xf numFmtId="180" fontId="3" fillId="0" borderId="33" xfId="0" applyNumberFormat="1" applyFont="1" applyBorder="1" applyAlignment="1">
      <alignment horizontal="center" vertical="top"/>
    </xf>
    <xf numFmtId="180" fontId="3" fillId="0" borderId="10" xfId="0" applyNumberFormat="1" applyFont="1" applyBorder="1" applyAlignment="1">
      <alignment horizontal="center" vertical="top"/>
    </xf>
    <xf numFmtId="180" fontId="3" fillId="0" borderId="16" xfId="0" applyNumberFormat="1" applyFont="1" applyBorder="1" applyAlignment="1">
      <alignment horizontal="center" vertical="top"/>
    </xf>
    <xf numFmtId="180" fontId="3" fillId="0" borderId="37" xfId="0" applyNumberFormat="1" applyFont="1" applyBorder="1" applyAlignment="1">
      <alignment horizontal="center" vertical="top"/>
    </xf>
    <xf numFmtId="180" fontId="3" fillId="0" borderId="24" xfId="0" applyNumberFormat="1" applyFont="1" applyBorder="1" applyAlignment="1">
      <alignment horizontal="center" vertical="top"/>
    </xf>
    <xf numFmtId="180" fontId="3" fillId="0" borderId="14" xfId="0" applyNumberFormat="1" applyFont="1" applyFill="1" applyBorder="1" applyAlignment="1">
      <alignment horizontal="center" vertical="top"/>
    </xf>
    <xf numFmtId="180" fontId="3" fillId="0" borderId="21" xfId="0" applyNumberFormat="1" applyFont="1" applyFill="1" applyBorder="1" applyAlignment="1">
      <alignment horizontal="center" vertical="top"/>
    </xf>
    <xf numFmtId="180" fontId="3" fillId="0" borderId="21" xfId="0" applyNumberFormat="1" applyFont="1" applyBorder="1" applyAlignment="1">
      <alignment horizontal="center" vertical="top" wrapText="1"/>
    </xf>
    <xf numFmtId="0" fontId="3" fillId="0" borderId="53" xfId="0" applyFont="1" applyFill="1" applyBorder="1" applyAlignment="1">
      <alignment horizontal="center" vertical="top" wrapText="1"/>
    </xf>
    <xf numFmtId="0" fontId="3" fillId="0" borderId="77" xfId="0" applyFont="1" applyFill="1" applyBorder="1" applyAlignment="1">
      <alignment horizontal="center" vertical="top" wrapText="1"/>
    </xf>
    <xf numFmtId="0" fontId="3" fillId="0" borderId="0" xfId="0" applyFont="1" applyFill="1" applyBorder="1" applyAlignment="1">
      <alignment horizontal="center" vertical="top" wrapText="1"/>
    </xf>
    <xf numFmtId="49" fontId="4" fillId="8" borderId="41" xfId="0" applyNumberFormat="1" applyFont="1" applyFill="1" applyBorder="1" applyAlignment="1">
      <alignment horizontal="center" vertical="top"/>
    </xf>
    <xf numFmtId="49" fontId="4" fillId="8" borderId="70" xfId="0" applyNumberFormat="1" applyFont="1" applyFill="1" applyBorder="1" applyAlignment="1">
      <alignment horizontal="center" vertical="top"/>
    </xf>
    <xf numFmtId="180" fontId="3" fillId="0" borderId="77" xfId="0" applyNumberFormat="1" applyFont="1" applyBorder="1" applyAlignment="1">
      <alignment horizontal="center" vertical="top"/>
    </xf>
    <xf numFmtId="180" fontId="3" fillId="0" borderId="47" xfId="0" applyNumberFormat="1" applyFont="1" applyFill="1" applyBorder="1" applyAlignment="1">
      <alignment horizontal="center" vertical="top"/>
    </xf>
    <xf numFmtId="49" fontId="4" fillId="8" borderId="42" xfId="0" applyNumberFormat="1" applyFont="1" applyFill="1" applyBorder="1" applyAlignment="1">
      <alignment horizontal="center" vertical="top"/>
    </xf>
    <xf numFmtId="180" fontId="4" fillId="0" borderId="37"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49" fontId="4" fillId="0" borderId="37" xfId="0" applyNumberFormat="1" applyFont="1" applyBorder="1" applyAlignment="1">
      <alignment horizontal="center" vertical="top"/>
    </xf>
    <xf numFmtId="0" fontId="3" fillId="0" borderId="0" xfId="0" applyFont="1" applyFill="1" applyBorder="1" applyAlignment="1">
      <alignment horizontal="left" vertical="top" wrapText="1"/>
    </xf>
    <xf numFmtId="49" fontId="3" fillId="0" borderId="27" xfId="0" applyNumberFormat="1" applyFont="1" applyBorder="1" applyAlignment="1">
      <alignment horizontal="center" vertical="top"/>
    </xf>
    <xf numFmtId="49" fontId="3" fillId="0" borderId="58" xfId="0" applyNumberFormat="1" applyFont="1" applyBorder="1" applyAlignment="1">
      <alignment horizontal="center" vertical="top"/>
    </xf>
    <xf numFmtId="180" fontId="3" fillId="16" borderId="33" xfId="0" applyNumberFormat="1" applyFont="1" applyFill="1" applyBorder="1" applyAlignment="1">
      <alignment horizontal="center" vertical="top"/>
    </xf>
    <xf numFmtId="180" fontId="3" fillId="16" borderId="16" xfId="0" applyNumberFormat="1" applyFont="1" applyFill="1" applyBorder="1" applyAlignment="1">
      <alignment horizontal="center" vertical="top"/>
    </xf>
    <xf numFmtId="180" fontId="3" fillId="16" borderId="73" xfId="0" applyNumberFormat="1" applyFont="1" applyFill="1" applyBorder="1" applyAlignment="1">
      <alignment horizontal="center" vertical="top"/>
    </xf>
    <xf numFmtId="180" fontId="3" fillId="16" borderId="72" xfId="0" applyNumberFormat="1" applyFont="1" applyFill="1" applyBorder="1" applyAlignment="1">
      <alignment horizontal="center" vertical="top"/>
    </xf>
    <xf numFmtId="180" fontId="3" fillId="16" borderId="75" xfId="0" applyNumberFormat="1" applyFont="1" applyFill="1" applyBorder="1" applyAlignment="1">
      <alignment horizontal="center" vertical="top"/>
    </xf>
    <xf numFmtId="180" fontId="3" fillId="16" borderId="37" xfId="0" applyNumberFormat="1" applyFont="1" applyFill="1" applyBorder="1" applyAlignment="1">
      <alignment horizontal="center" vertical="top"/>
    </xf>
    <xf numFmtId="180" fontId="3" fillId="16" borderId="40" xfId="0" applyNumberFormat="1" applyFont="1" applyFill="1" applyBorder="1" applyAlignment="1">
      <alignment horizontal="center" vertical="top"/>
    </xf>
    <xf numFmtId="180" fontId="3" fillId="16" borderId="23" xfId="0" applyNumberFormat="1" applyFont="1" applyFill="1" applyBorder="1" applyAlignment="1">
      <alignment horizontal="center" vertical="top"/>
    </xf>
    <xf numFmtId="180" fontId="3" fillId="16" borderId="24" xfId="0" applyNumberFormat="1" applyFont="1" applyFill="1" applyBorder="1" applyAlignment="1">
      <alignment horizontal="center" vertical="top"/>
    </xf>
    <xf numFmtId="180" fontId="3" fillId="16" borderId="10" xfId="0" applyNumberFormat="1" applyFont="1" applyFill="1" applyBorder="1" applyAlignment="1">
      <alignment horizontal="center" vertical="top"/>
    </xf>
    <xf numFmtId="180" fontId="3" fillId="16" borderId="71" xfId="0" applyNumberFormat="1" applyFont="1" applyFill="1" applyBorder="1" applyAlignment="1">
      <alignment horizontal="center" vertical="top"/>
    </xf>
    <xf numFmtId="180" fontId="3" fillId="16" borderId="17" xfId="0" applyNumberFormat="1" applyFont="1" applyFill="1" applyBorder="1" applyAlignment="1">
      <alignment horizontal="center" vertical="top"/>
    </xf>
    <xf numFmtId="180" fontId="3" fillId="16" borderId="74" xfId="0" applyNumberFormat="1" applyFont="1" applyFill="1" applyBorder="1" applyAlignment="1">
      <alignment horizontal="center" vertical="top"/>
    </xf>
    <xf numFmtId="0" fontId="3" fillId="0" borderId="19" xfId="0" applyFont="1" applyFill="1" applyBorder="1" applyAlignment="1">
      <alignment horizontal="center" vertical="top"/>
    </xf>
    <xf numFmtId="180" fontId="3" fillId="16" borderId="0" xfId="0" applyNumberFormat="1" applyFont="1" applyFill="1" applyBorder="1" applyAlignment="1">
      <alignment horizontal="center" vertical="top"/>
    </xf>
    <xf numFmtId="180" fontId="3" fillId="16" borderId="23" xfId="0" applyNumberFormat="1" applyFont="1" applyFill="1" applyBorder="1" applyAlignment="1">
      <alignment horizontal="center" vertical="top"/>
    </xf>
    <xf numFmtId="180" fontId="3" fillId="16" borderId="31" xfId="0" applyNumberFormat="1" applyFont="1" applyFill="1" applyBorder="1" applyAlignment="1">
      <alignment horizontal="center" vertical="top"/>
    </xf>
    <xf numFmtId="180" fontId="3" fillId="16" borderId="32" xfId="0" applyNumberFormat="1" applyFont="1" applyFill="1" applyBorder="1" applyAlignment="1">
      <alignment horizontal="center" vertical="top"/>
    </xf>
    <xf numFmtId="180" fontId="3" fillId="16" borderId="40" xfId="0" applyNumberFormat="1" applyFont="1" applyFill="1" applyBorder="1" applyAlignment="1">
      <alignment horizontal="center" vertical="top"/>
    </xf>
    <xf numFmtId="180" fontId="3" fillId="16" borderId="36" xfId="0" applyNumberFormat="1" applyFont="1" applyFill="1" applyBorder="1" applyAlignment="1">
      <alignment horizontal="center" vertical="top"/>
    </xf>
    <xf numFmtId="180" fontId="3" fillId="16" borderId="87" xfId="0" applyNumberFormat="1" applyFont="1" applyFill="1" applyBorder="1" applyAlignment="1">
      <alignment horizontal="center" vertical="top"/>
    </xf>
    <xf numFmtId="180" fontId="3" fillId="16" borderId="35" xfId="0" applyNumberFormat="1" applyFont="1" applyFill="1" applyBorder="1" applyAlignment="1">
      <alignment horizontal="center" vertical="top"/>
    </xf>
    <xf numFmtId="180" fontId="3" fillId="16" borderId="37" xfId="0" applyNumberFormat="1" applyFont="1" applyFill="1" applyBorder="1" applyAlignment="1">
      <alignment horizontal="center" vertical="top"/>
    </xf>
    <xf numFmtId="180" fontId="3" fillId="16" borderId="28" xfId="0" applyNumberFormat="1" applyFont="1" applyFill="1" applyBorder="1" applyAlignment="1">
      <alignment horizontal="center" vertical="top"/>
    </xf>
    <xf numFmtId="180" fontId="3" fillId="16" borderId="36" xfId="0" applyNumberFormat="1" applyFont="1" applyFill="1" applyBorder="1" applyAlignment="1">
      <alignment horizontal="center" vertical="top"/>
    </xf>
    <xf numFmtId="180" fontId="3" fillId="16" borderId="63" xfId="0" applyNumberFormat="1" applyFont="1" applyFill="1" applyBorder="1" applyAlignment="1">
      <alignment horizontal="center" vertical="top"/>
    </xf>
    <xf numFmtId="180" fontId="3" fillId="16" borderId="18" xfId="0" applyNumberFormat="1" applyFont="1" applyFill="1" applyBorder="1" applyAlignment="1">
      <alignment horizontal="center" vertical="top"/>
    </xf>
    <xf numFmtId="180" fontId="3" fillId="16" borderId="77" xfId="0" applyNumberFormat="1" applyFont="1" applyFill="1" applyBorder="1" applyAlignment="1">
      <alignment horizontal="center" vertical="top"/>
    </xf>
    <xf numFmtId="180" fontId="3" fillId="16" borderId="28" xfId="0" applyNumberFormat="1" applyFont="1" applyFill="1" applyBorder="1" applyAlignment="1">
      <alignment horizontal="center" vertical="top"/>
    </xf>
    <xf numFmtId="180" fontId="3" fillId="16" borderId="29" xfId="0" applyNumberFormat="1" applyFont="1" applyFill="1" applyBorder="1" applyAlignment="1">
      <alignment horizontal="center" vertical="top"/>
    </xf>
    <xf numFmtId="180" fontId="3" fillId="16" borderId="22" xfId="0" applyNumberFormat="1" applyFont="1" applyFill="1" applyBorder="1" applyAlignment="1">
      <alignment horizontal="center" vertical="top"/>
    </xf>
    <xf numFmtId="180" fontId="3" fillId="16" borderId="15" xfId="0" applyNumberFormat="1" applyFont="1" applyFill="1" applyBorder="1" applyAlignment="1">
      <alignment horizontal="center" vertical="top"/>
    </xf>
    <xf numFmtId="180" fontId="3" fillId="16" borderId="16" xfId="0" applyNumberFormat="1" applyFont="1" applyFill="1" applyBorder="1" applyAlignment="1">
      <alignment horizontal="center" vertical="top"/>
    </xf>
    <xf numFmtId="180" fontId="3" fillId="16" borderId="24" xfId="0" applyNumberFormat="1" applyFont="1" applyFill="1" applyBorder="1" applyAlignment="1">
      <alignment horizontal="center" vertical="top"/>
    </xf>
    <xf numFmtId="180" fontId="3" fillId="16" borderId="75" xfId="0" applyNumberFormat="1" applyFont="1" applyFill="1" applyBorder="1" applyAlignment="1">
      <alignment horizontal="center" vertical="top"/>
    </xf>
    <xf numFmtId="180" fontId="3" fillId="16" borderId="44" xfId="0" applyNumberFormat="1" applyFont="1" applyFill="1" applyBorder="1" applyAlignment="1">
      <alignment horizontal="center" vertical="top"/>
    </xf>
    <xf numFmtId="180" fontId="3" fillId="16" borderId="70" xfId="0" applyNumberFormat="1" applyFont="1" applyFill="1" applyBorder="1" applyAlignment="1">
      <alignment horizontal="center" vertical="top"/>
    </xf>
    <xf numFmtId="180" fontId="3" fillId="16" borderId="64" xfId="0" applyNumberFormat="1" applyFont="1" applyFill="1" applyBorder="1" applyAlignment="1">
      <alignment horizontal="center" vertical="top"/>
    </xf>
    <xf numFmtId="180" fontId="3" fillId="16" borderId="71" xfId="0" applyNumberFormat="1" applyFont="1" applyFill="1" applyBorder="1" applyAlignment="1">
      <alignment horizontal="center" vertical="top"/>
    </xf>
    <xf numFmtId="180" fontId="3" fillId="16" borderId="0" xfId="0" applyNumberFormat="1" applyFont="1" applyFill="1" applyBorder="1" applyAlignment="1">
      <alignment horizontal="center" vertical="top"/>
    </xf>
    <xf numFmtId="180" fontId="3" fillId="16" borderId="43" xfId="0" applyNumberFormat="1" applyFont="1" applyFill="1" applyBorder="1" applyAlignment="1">
      <alignment horizontal="center" vertical="top"/>
    </xf>
    <xf numFmtId="180" fontId="3" fillId="16" borderId="56" xfId="0" applyNumberFormat="1" applyFont="1" applyFill="1" applyBorder="1" applyAlignment="1">
      <alignment horizontal="center" vertical="top"/>
    </xf>
    <xf numFmtId="180" fontId="3" fillId="16" borderId="44" xfId="0" applyNumberFormat="1" applyFont="1" applyFill="1" applyBorder="1" applyAlignment="1">
      <alignment horizontal="center" vertical="top"/>
    </xf>
    <xf numFmtId="49" fontId="4" fillId="8" borderId="70" xfId="0" applyNumberFormat="1" applyFont="1" applyFill="1" applyBorder="1" applyAlignment="1">
      <alignment vertical="top"/>
    </xf>
    <xf numFmtId="49" fontId="4" fillId="8" borderId="41" xfId="0" applyNumberFormat="1" applyFont="1" applyFill="1" applyBorder="1" applyAlignment="1">
      <alignment vertical="top"/>
    </xf>
    <xf numFmtId="49" fontId="4" fillId="8" borderId="81" xfId="0" applyNumberFormat="1" applyFont="1" applyFill="1" applyBorder="1" applyAlignment="1">
      <alignment vertical="top"/>
    </xf>
    <xf numFmtId="49" fontId="4" fillId="4" borderId="31" xfId="0" applyNumberFormat="1" applyFont="1" applyFill="1" applyBorder="1" applyAlignment="1">
      <alignment vertical="top"/>
    </xf>
    <xf numFmtId="49" fontId="4" fillId="4" borderId="80" xfId="0" applyNumberFormat="1" applyFont="1" applyFill="1" applyBorder="1" applyAlignment="1">
      <alignment vertical="top"/>
    </xf>
    <xf numFmtId="180" fontId="4" fillId="16" borderId="21" xfId="0" applyNumberFormat="1" applyFont="1" applyFill="1" applyBorder="1" applyAlignment="1">
      <alignment horizontal="center" vertical="top"/>
    </xf>
    <xf numFmtId="0" fontId="4" fillId="0" borderId="41" xfId="0" applyFont="1" applyFill="1" applyBorder="1" applyAlignment="1">
      <alignment horizontal="center" vertical="top" wrapText="1"/>
    </xf>
    <xf numFmtId="49" fontId="4" fillId="0" borderId="32" xfId="0" applyNumberFormat="1" applyFont="1" applyBorder="1" applyAlignment="1">
      <alignment horizontal="center" vertical="top"/>
    </xf>
    <xf numFmtId="0" fontId="4" fillId="0" borderId="0" xfId="0" applyFont="1" applyFill="1" applyBorder="1" applyAlignment="1">
      <alignment horizontal="center" vertical="top" textRotation="180" wrapText="1"/>
    </xf>
    <xf numFmtId="0" fontId="4" fillId="0" borderId="0" xfId="0" applyNumberFormat="1" applyFont="1" applyBorder="1" applyAlignment="1">
      <alignment horizontal="center" vertical="top"/>
    </xf>
    <xf numFmtId="49" fontId="4" fillId="0" borderId="0" xfId="0" applyNumberFormat="1" applyFont="1" applyFill="1" applyBorder="1" applyAlignment="1">
      <alignment horizontal="center" vertical="top"/>
    </xf>
    <xf numFmtId="180" fontId="3" fillId="16" borderId="45" xfId="0" applyNumberFormat="1" applyFont="1" applyFill="1" applyBorder="1" applyAlignment="1">
      <alignment horizontal="center" vertical="top"/>
    </xf>
    <xf numFmtId="180" fontId="4" fillId="8" borderId="51" xfId="0" applyNumberFormat="1" applyFont="1" applyFill="1" applyBorder="1" applyAlignment="1">
      <alignment horizontal="center" vertical="top"/>
    </xf>
    <xf numFmtId="180" fontId="3" fillId="16" borderId="64" xfId="0" applyNumberFormat="1" applyFont="1" applyFill="1" applyBorder="1" applyAlignment="1">
      <alignment horizontal="center" vertical="top"/>
    </xf>
    <xf numFmtId="180" fontId="3" fillId="0" borderId="27" xfId="0" applyNumberFormat="1" applyFont="1" applyFill="1" applyBorder="1" applyAlignment="1">
      <alignment horizontal="center" vertical="top"/>
    </xf>
    <xf numFmtId="0" fontId="4" fillId="0" borderId="29" xfId="0" applyNumberFormat="1" applyFont="1" applyFill="1" applyBorder="1" applyAlignment="1">
      <alignment horizontal="center" vertical="top"/>
    </xf>
    <xf numFmtId="0" fontId="4" fillId="0" borderId="78" xfId="0" applyNumberFormat="1" applyFont="1" applyFill="1" applyBorder="1" applyAlignment="1">
      <alignment horizontal="center" vertical="top"/>
    </xf>
    <xf numFmtId="180" fontId="3" fillId="0" borderId="32" xfId="0" applyNumberFormat="1" applyFont="1" applyFill="1" applyBorder="1" applyAlignment="1">
      <alignment horizontal="center" vertical="top" wrapText="1"/>
    </xf>
    <xf numFmtId="180" fontId="4" fillId="0" borderId="0" xfId="0" applyNumberFormat="1" applyFont="1" applyFill="1" applyBorder="1" applyAlignment="1">
      <alignment horizontal="center" vertical="top"/>
    </xf>
    <xf numFmtId="186" fontId="3" fillId="0" borderId="27" xfId="0" applyNumberFormat="1" applyFont="1" applyFill="1" applyBorder="1" applyAlignment="1">
      <alignment horizontal="center" vertical="top"/>
    </xf>
    <xf numFmtId="180" fontId="4" fillId="0" borderId="37" xfId="0" applyNumberFormat="1" applyFont="1" applyFill="1" applyBorder="1" applyAlignment="1">
      <alignment horizontal="center" vertical="top"/>
    </xf>
    <xf numFmtId="180" fontId="3" fillId="0" borderId="41" xfId="0" applyNumberFormat="1" applyFont="1" applyBorder="1" applyAlignment="1">
      <alignment horizontal="center" vertical="top"/>
    </xf>
    <xf numFmtId="49" fontId="4" fillId="0" borderId="32" xfId="0" applyNumberFormat="1" applyFont="1" applyBorder="1" applyAlignment="1">
      <alignment horizontal="center" vertical="top"/>
    </xf>
    <xf numFmtId="49" fontId="3" fillId="0" borderId="47"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0" fontId="4" fillId="0" borderId="70" xfId="0" applyFont="1" applyFill="1" applyBorder="1" applyAlignment="1">
      <alignment horizontal="center" vertical="top" textRotation="180" wrapText="1"/>
    </xf>
    <xf numFmtId="0" fontId="4" fillId="0" borderId="41" xfId="0" applyFont="1" applyFill="1" applyBorder="1" applyAlignment="1">
      <alignment horizontal="center" vertical="top" textRotation="180" wrapText="1"/>
    </xf>
    <xf numFmtId="49" fontId="4" fillId="0" borderId="46" xfId="0" applyNumberFormat="1" applyFont="1" applyBorder="1" applyAlignment="1">
      <alignment horizontal="center" vertical="top"/>
    </xf>
    <xf numFmtId="0" fontId="3" fillId="0" borderId="70" xfId="0"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0" fontId="4" fillId="0" borderId="3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41" xfId="0" applyFont="1" applyFill="1" applyBorder="1" applyAlignment="1">
      <alignment horizontal="center" vertical="top" textRotation="180" wrapText="1"/>
    </xf>
    <xf numFmtId="49" fontId="4" fillId="4" borderId="43" xfId="0" applyNumberFormat="1" applyFont="1" applyFill="1" applyBorder="1" applyAlignment="1">
      <alignment horizontal="left" vertical="top"/>
    </xf>
    <xf numFmtId="49" fontId="4" fillId="0" borderId="32" xfId="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wrapText="1"/>
    </xf>
    <xf numFmtId="0" fontId="4" fillId="0" borderId="29" xfId="0" applyNumberFormat="1" applyFont="1" applyBorder="1" applyAlignment="1">
      <alignment horizontal="center" vertical="top"/>
    </xf>
    <xf numFmtId="0" fontId="4" fillId="0" borderId="29"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xf>
    <xf numFmtId="180" fontId="4" fillId="16" borderId="23" xfId="0" applyNumberFormat="1" applyFont="1" applyFill="1" applyBorder="1" applyAlignment="1">
      <alignment horizontal="center" vertical="top"/>
    </xf>
    <xf numFmtId="180" fontId="3" fillId="0" borderId="30" xfId="0" applyNumberFormat="1" applyFont="1" applyBorder="1" applyAlignment="1">
      <alignment horizontal="center" vertical="top"/>
    </xf>
    <xf numFmtId="186" fontId="3" fillId="0" borderId="19" xfId="0" applyNumberFormat="1" applyFont="1" applyFill="1" applyBorder="1" applyAlignment="1">
      <alignment horizontal="center" vertical="top"/>
    </xf>
    <xf numFmtId="49" fontId="4" fillId="0" borderId="79" xfId="0" applyNumberFormat="1" applyFont="1" applyBorder="1" applyAlignment="1">
      <alignment horizontal="center" vertical="top"/>
    </xf>
    <xf numFmtId="180" fontId="4" fillId="16" borderId="88" xfId="0" applyNumberFormat="1"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center" vertical="top"/>
    </xf>
    <xf numFmtId="180" fontId="4" fillId="16" borderId="82" xfId="0" applyNumberFormat="1" applyFont="1" applyFill="1" applyBorder="1" applyAlignment="1">
      <alignment horizontal="center" vertical="top"/>
    </xf>
    <xf numFmtId="180" fontId="3" fillId="0" borderId="36" xfId="0" applyNumberFormat="1" applyFont="1" applyBorder="1" applyAlignment="1">
      <alignment horizontal="center" vertical="top"/>
    </xf>
    <xf numFmtId="180" fontId="3" fillId="16" borderId="72" xfId="0" applyNumberFormat="1" applyFont="1" applyFill="1" applyBorder="1" applyAlignment="1">
      <alignment horizontal="center" vertical="top"/>
    </xf>
    <xf numFmtId="186" fontId="3" fillId="0" borderId="53" xfId="0" applyNumberFormat="1" applyFont="1" applyFill="1" applyBorder="1" applyAlignment="1">
      <alignment horizontal="center" vertical="top"/>
    </xf>
    <xf numFmtId="180" fontId="4" fillId="16" borderId="11" xfId="0" applyNumberFormat="1" applyFont="1" applyFill="1" applyBorder="1" applyAlignment="1">
      <alignment horizontal="center" vertical="top"/>
    </xf>
    <xf numFmtId="186" fontId="3" fillId="0" borderId="21" xfId="0" applyNumberFormat="1" applyFont="1" applyFill="1" applyBorder="1" applyAlignment="1">
      <alignment horizontal="center" vertical="top"/>
    </xf>
    <xf numFmtId="180" fontId="4" fillId="16" borderId="20" xfId="0" applyNumberFormat="1" applyFont="1" applyFill="1" applyBorder="1" applyAlignment="1">
      <alignment horizontal="center" vertical="top"/>
    </xf>
    <xf numFmtId="180" fontId="4" fillId="16" borderId="81" xfId="0" applyNumberFormat="1" applyFont="1" applyFill="1" applyBorder="1" applyAlignment="1">
      <alignment horizontal="center" vertical="top"/>
    </xf>
    <xf numFmtId="49" fontId="4" fillId="4" borderId="46" xfId="0" applyNumberFormat="1" applyFont="1" applyFill="1" applyBorder="1" applyAlignment="1">
      <alignment horizontal="center" vertical="top"/>
    </xf>
    <xf numFmtId="180" fontId="4" fillId="16" borderId="35" xfId="0" applyNumberFormat="1" applyFont="1" applyFill="1" applyBorder="1" applyAlignment="1">
      <alignment horizontal="center" vertical="top"/>
    </xf>
    <xf numFmtId="180" fontId="3" fillId="0" borderId="18" xfId="0" applyNumberFormat="1" applyFont="1" applyFill="1" applyBorder="1" applyAlignment="1">
      <alignment horizontal="center" vertical="top" wrapText="1"/>
    </xf>
    <xf numFmtId="180" fontId="3" fillId="0" borderId="17" xfId="0" applyNumberFormat="1" applyFont="1" applyFill="1" applyBorder="1" applyAlignment="1">
      <alignment horizontal="center" vertical="top" wrapText="1"/>
    </xf>
    <xf numFmtId="180" fontId="3" fillId="0" borderId="17" xfId="0" applyNumberFormat="1" applyFont="1" applyFill="1" applyBorder="1" applyAlignment="1">
      <alignment vertical="top" wrapText="1"/>
    </xf>
    <xf numFmtId="180" fontId="3" fillId="0" borderId="72" xfId="0" applyNumberFormat="1" applyFont="1" applyFill="1" applyBorder="1" applyAlignment="1">
      <alignment horizontal="center" vertical="top" wrapText="1"/>
    </xf>
    <xf numFmtId="186" fontId="3" fillId="0" borderId="32" xfId="0" applyNumberFormat="1" applyFont="1" applyFill="1" applyBorder="1" applyAlignment="1">
      <alignment horizontal="center" vertical="top"/>
    </xf>
    <xf numFmtId="180" fontId="4" fillId="16" borderId="67" xfId="0" applyNumberFormat="1" applyFont="1" applyFill="1" applyBorder="1" applyAlignment="1">
      <alignment horizontal="center" vertical="top"/>
    </xf>
    <xf numFmtId="180" fontId="4" fillId="16" borderId="24" xfId="0" applyNumberFormat="1" applyFont="1" applyFill="1" applyBorder="1" applyAlignment="1">
      <alignment horizontal="center" vertical="top"/>
    </xf>
    <xf numFmtId="180" fontId="4" fillId="16" borderId="83" xfId="0" applyNumberFormat="1" applyFont="1" applyFill="1" applyBorder="1" applyAlignment="1">
      <alignment horizontal="center" vertical="top"/>
    </xf>
    <xf numFmtId="180" fontId="4" fillId="16" borderId="80" xfId="0" applyNumberFormat="1" applyFont="1" applyFill="1" applyBorder="1" applyAlignment="1">
      <alignment horizontal="center" vertical="top"/>
    </xf>
    <xf numFmtId="186" fontId="3" fillId="0" borderId="86" xfId="0" applyNumberFormat="1" applyFont="1" applyFill="1" applyBorder="1" applyAlignment="1">
      <alignment horizontal="center" vertical="top"/>
    </xf>
    <xf numFmtId="186" fontId="3" fillId="0" borderId="87" xfId="0" applyNumberFormat="1" applyFont="1" applyFill="1" applyBorder="1" applyAlignment="1">
      <alignment horizontal="center" vertical="top"/>
    </xf>
    <xf numFmtId="180" fontId="3" fillId="0" borderId="41" xfId="0" applyNumberFormat="1" applyFont="1" applyFill="1" applyBorder="1" applyAlignment="1">
      <alignment horizontal="center" vertical="top" wrapText="1"/>
    </xf>
    <xf numFmtId="180" fontId="4" fillId="16" borderId="69" xfId="0" applyNumberFormat="1" applyFont="1" applyFill="1" applyBorder="1" applyAlignment="1">
      <alignment horizontal="center" vertical="top"/>
    </xf>
    <xf numFmtId="180" fontId="4" fillId="4" borderId="25" xfId="0" applyNumberFormat="1" applyFont="1" applyFill="1" applyBorder="1" applyAlignment="1">
      <alignment horizontal="center" vertical="top"/>
    </xf>
    <xf numFmtId="180" fontId="4" fillId="4" borderId="60" xfId="0" applyNumberFormat="1" applyFont="1" applyFill="1" applyBorder="1" applyAlignment="1">
      <alignment horizontal="center" vertical="top"/>
    </xf>
    <xf numFmtId="180" fontId="4" fillId="4" borderId="61" xfId="0" applyNumberFormat="1" applyFont="1" applyFill="1" applyBorder="1" applyAlignment="1">
      <alignment horizontal="center" vertical="top"/>
    </xf>
    <xf numFmtId="2" fontId="3" fillId="16" borderId="41" xfId="0" applyNumberFormat="1" applyFont="1" applyFill="1" applyBorder="1" applyAlignment="1">
      <alignment horizontal="center" vertical="top"/>
    </xf>
    <xf numFmtId="2" fontId="3" fillId="0" borderId="27" xfId="0" applyNumberFormat="1" applyFont="1" applyFill="1" applyBorder="1" applyAlignment="1">
      <alignment horizontal="center" vertical="top"/>
    </xf>
    <xf numFmtId="2" fontId="3" fillId="0" borderId="27" xfId="0" applyNumberFormat="1" applyFont="1" applyFill="1" applyBorder="1" applyAlignment="1">
      <alignment horizontal="center" vertical="top" wrapText="1"/>
    </xf>
    <xf numFmtId="2" fontId="3" fillId="0" borderId="47" xfId="0" applyNumberFormat="1" applyFont="1" applyFill="1" applyBorder="1" applyAlignment="1">
      <alignment horizontal="center" vertical="top"/>
    </xf>
    <xf numFmtId="2" fontId="4" fillId="16" borderId="50" xfId="0" applyNumberFormat="1" applyFont="1" applyFill="1" applyBorder="1" applyAlignment="1">
      <alignment horizontal="center" vertical="top"/>
    </xf>
    <xf numFmtId="180" fontId="7" fillId="25" borderId="88" xfId="0" applyNumberFormat="1" applyFont="1" applyFill="1" applyBorder="1" applyAlignment="1">
      <alignment horizontal="center" vertical="top"/>
    </xf>
    <xf numFmtId="180" fontId="7" fillId="25" borderId="80" xfId="0" applyNumberFormat="1" applyFont="1" applyFill="1" applyBorder="1" applyAlignment="1">
      <alignment horizontal="center" vertical="top"/>
    </xf>
    <xf numFmtId="180" fontId="7" fillId="25" borderId="79" xfId="0" applyNumberFormat="1" applyFont="1" applyFill="1" applyBorder="1" applyAlignment="1">
      <alignment horizontal="center" vertical="top"/>
    </xf>
    <xf numFmtId="180" fontId="7" fillId="8" borderId="25" xfId="0" applyNumberFormat="1" applyFont="1" applyFill="1" applyBorder="1" applyAlignment="1">
      <alignment horizontal="center" vertical="top"/>
    </xf>
    <xf numFmtId="180" fontId="7" fillId="8" borderId="60" xfId="0" applyNumberFormat="1" applyFont="1" applyFill="1" applyBorder="1" applyAlignment="1">
      <alignment horizontal="center" vertical="top"/>
    </xf>
    <xf numFmtId="180" fontId="7" fillId="8" borderId="61" xfId="0" applyNumberFormat="1" applyFont="1" applyFill="1" applyBorder="1" applyAlignment="1">
      <alignment horizontal="center" vertical="top"/>
    </xf>
    <xf numFmtId="180" fontId="7" fillId="25" borderId="83" xfId="0" applyNumberFormat="1" applyFont="1" applyFill="1" applyBorder="1" applyAlignment="1">
      <alignment horizontal="center" vertical="top"/>
    </xf>
    <xf numFmtId="180" fontId="7" fillId="25" borderId="82" xfId="0" applyNumberFormat="1" applyFont="1" applyFill="1" applyBorder="1" applyAlignment="1">
      <alignment horizontal="center" vertical="top"/>
    </xf>
    <xf numFmtId="180" fontId="4" fillId="4" borderId="45" xfId="0" applyNumberFormat="1" applyFont="1" applyFill="1" applyBorder="1" applyAlignment="1">
      <alignment horizontal="center" vertical="top"/>
    </xf>
    <xf numFmtId="180" fontId="4" fillId="4" borderId="43" xfId="0" applyNumberFormat="1" applyFont="1" applyFill="1" applyBorder="1" applyAlignment="1">
      <alignment horizontal="center" vertical="top"/>
    </xf>
    <xf numFmtId="180" fontId="4" fillId="4" borderId="44" xfId="0" applyNumberFormat="1" applyFont="1" applyFill="1" applyBorder="1" applyAlignment="1">
      <alignment horizontal="center" vertical="top"/>
    </xf>
    <xf numFmtId="180" fontId="4" fillId="4" borderId="84" xfId="0" applyNumberFormat="1" applyFont="1" applyFill="1" applyBorder="1" applyAlignment="1">
      <alignment horizontal="center" vertical="top"/>
    </xf>
    <xf numFmtId="180" fontId="7" fillId="8" borderId="84" xfId="0" applyNumberFormat="1" applyFont="1" applyFill="1" applyBorder="1" applyAlignment="1">
      <alignment horizontal="center" vertical="top"/>
    </xf>
    <xf numFmtId="180" fontId="4" fillId="4" borderId="84" xfId="0" applyNumberFormat="1" applyFont="1" applyFill="1" applyBorder="1" applyAlignment="1">
      <alignment horizontal="center" vertical="top"/>
    </xf>
    <xf numFmtId="180" fontId="4" fillId="4" borderId="51" xfId="0" applyNumberFormat="1" applyFont="1" applyFill="1" applyBorder="1" applyAlignment="1">
      <alignment horizontal="center" vertical="top"/>
    </xf>
    <xf numFmtId="0" fontId="3" fillId="0" borderId="11" xfId="0" applyFont="1" applyBorder="1" applyAlignment="1">
      <alignment vertical="top"/>
    </xf>
    <xf numFmtId="180" fontId="7" fillId="25" borderId="51" xfId="0" applyNumberFormat="1" applyFont="1" applyFill="1" applyBorder="1" applyAlignment="1">
      <alignment horizontal="center" vertical="top"/>
    </xf>
    <xf numFmtId="180" fontId="4" fillId="16" borderId="82" xfId="0" applyNumberFormat="1" applyFont="1" applyFill="1" applyBorder="1" applyAlignment="1">
      <alignment horizontal="center" vertical="top"/>
    </xf>
    <xf numFmtId="180" fontId="3" fillId="16" borderId="22" xfId="0" applyNumberFormat="1" applyFont="1" applyFill="1" applyBorder="1" applyAlignment="1">
      <alignment horizontal="center" vertical="top"/>
    </xf>
    <xf numFmtId="180" fontId="3" fillId="0" borderId="33" xfId="0" applyNumberFormat="1"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49" fontId="4" fillId="8" borderId="25" xfId="0" applyNumberFormat="1" applyFont="1" applyFill="1" applyBorder="1" applyAlignment="1">
      <alignment horizontal="center" vertical="top"/>
    </xf>
    <xf numFmtId="0" fontId="3" fillId="24" borderId="58" xfId="0" applyFont="1" applyFill="1" applyBorder="1" applyAlignment="1">
      <alignment vertical="top" wrapText="1"/>
    </xf>
    <xf numFmtId="0" fontId="4" fillId="24" borderId="47" xfId="0" applyFont="1" applyFill="1" applyBorder="1" applyAlignment="1">
      <alignment vertical="top" wrapText="1"/>
    </xf>
    <xf numFmtId="0" fontId="3" fillId="24" borderId="27" xfId="0" applyFont="1" applyFill="1" applyBorder="1" applyAlignment="1">
      <alignment horizontal="left" vertical="top" wrapText="1"/>
    </xf>
    <xf numFmtId="0" fontId="3" fillId="24" borderId="27" xfId="0" applyFont="1" applyFill="1" applyBorder="1" applyAlignment="1">
      <alignment vertical="top" wrapText="1"/>
    </xf>
    <xf numFmtId="0" fontId="4" fillId="24" borderId="27" xfId="0" applyFont="1" applyFill="1" applyBorder="1" applyAlignment="1">
      <alignment vertical="top" wrapText="1"/>
    </xf>
    <xf numFmtId="0" fontId="3" fillId="0" borderId="70" xfId="0" applyFont="1" applyFill="1" applyBorder="1" applyAlignment="1">
      <alignment horizontal="center" vertical="top" wrapText="1"/>
    </xf>
    <xf numFmtId="0" fontId="11" fillId="0" borderId="81" xfId="0" applyFont="1" applyBorder="1" applyAlignment="1">
      <alignment horizontal="center" vertical="center" textRotation="90"/>
    </xf>
    <xf numFmtId="0" fontId="4" fillId="0" borderId="70" xfId="0" applyNumberFormat="1" applyFont="1" applyFill="1" applyBorder="1" applyAlignment="1">
      <alignment horizontal="center" vertical="top"/>
    </xf>
    <xf numFmtId="0" fontId="4" fillId="0" borderId="81" xfId="0" applyNumberFormat="1" applyFont="1" applyFill="1" applyBorder="1" applyAlignment="1">
      <alignment horizontal="center" vertical="top"/>
    </xf>
    <xf numFmtId="180" fontId="3" fillId="0" borderId="20" xfId="0" applyNumberFormat="1" applyFont="1" applyBorder="1" applyAlignment="1">
      <alignment horizontal="center" vertical="top"/>
    </xf>
    <xf numFmtId="180" fontId="3" fillId="0" borderId="35" xfId="0" applyNumberFormat="1" applyFont="1" applyBorder="1" applyAlignment="1">
      <alignment horizontal="center" vertical="top"/>
    </xf>
    <xf numFmtId="180" fontId="3" fillId="16" borderId="12" xfId="0" applyNumberFormat="1" applyFont="1" applyFill="1" applyBorder="1" applyAlignment="1">
      <alignment horizontal="center" vertical="top"/>
    </xf>
    <xf numFmtId="180" fontId="3" fillId="0" borderId="21" xfId="0" applyNumberFormat="1" applyFont="1" applyFill="1" applyBorder="1" applyAlignment="1">
      <alignment horizontal="center" vertical="top"/>
    </xf>
    <xf numFmtId="2" fontId="3" fillId="16" borderId="66" xfId="0" applyNumberFormat="1" applyFont="1" applyFill="1" applyBorder="1" applyAlignment="1">
      <alignment horizontal="center" vertical="top"/>
    </xf>
    <xf numFmtId="180" fontId="3" fillId="0" borderId="64" xfId="0" applyNumberFormat="1" applyFont="1" applyBorder="1" applyAlignment="1">
      <alignment horizontal="center" vertical="top"/>
    </xf>
    <xf numFmtId="180" fontId="4" fillId="16" borderId="0" xfId="0" applyNumberFormat="1" applyFont="1" applyFill="1" applyBorder="1" applyAlignment="1">
      <alignment horizontal="center" vertical="top"/>
    </xf>
    <xf numFmtId="180" fontId="4" fillId="16" borderId="31" xfId="0" applyNumberFormat="1" applyFont="1" applyFill="1" applyBorder="1" applyAlignment="1">
      <alignment horizontal="center" vertical="top"/>
    </xf>
    <xf numFmtId="0" fontId="11" fillId="0" borderId="70" xfId="0" applyFont="1" applyBorder="1" applyAlignment="1">
      <alignment horizontal="center" vertical="center" textRotation="90"/>
    </xf>
    <xf numFmtId="180" fontId="4" fillId="16" borderId="64" xfId="0" applyNumberFormat="1" applyFont="1" applyFill="1" applyBorder="1" applyAlignment="1">
      <alignment horizontal="center" vertical="top"/>
    </xf>
    <xf numFmtId="180" fontId="4" fillId="16" borderId="43" xfId="0" applyNumberFormat="1" applyFont="1" applyFill="1" applyBorder="1" applyAlignment="1">
      <alignment horizontal="center" vertical="top"/>
    </xf>
    <xf numFmtId="180" fontId="4" fillId="0" borderId="47" xfId="0" applyNumberFormat="1" applyFont="1" applyFill="1" applyBorder="1" applyAlignment="1">
      <alignment horizontal="center" vertical="top"/>
    </xf>
    <xf numFmtId="180" fontId="4" fillId="0" borderId="34" xfId="0" applyNumberFormat="1" applyFont="1" applyFill="1" applyBorder="1" applyAlignment="1">
      <alignment horizontal="center" vertical="top"/>
    </xf>
    <xf numFmtId="49" fontId="3" fillId="0" borderId="58" xfId="0" applyNumberFormat="1" applyFont="1" applyBorder="1" applyAlignment="1">
      <alignment horizontal="center" vertical="top" wrapText="1"/>
    </xf>
    <xf numFmtId="180" fontId="3" fillId="0" borderId="72" xfId="0" applyNumberFormat="1" applyFont="1" applyBorder="1" applyAlignment="1">
      <alignment horizontal="center" vertical="top"/>
    </xf>
    <xf numFmtId="180" fontId="3" fillId="0" borderId="86" xfId="0" applyNumberFormat="1" applyFont="1" applyBorder="1" applyAlignment="1">
      <alignment horizontal="center" vertical="top"/>
    </xf>
    <xf numFmtId="0" fontId="4" fillId="0" borderId="27" xfId="0" applyNumberFormat="1" applyFont="1" applyBorder="1" applyAlignment="1">
      <alignment horizontal="center" vertical="top"/>
    </xf>
    <xf numFmtId="180" fontId="3" fillId="24" borderId="10" xfId="0" applyNumberFormat="1" applyFont="1" applyFill="1" applyBorder="1" applyAlignment="1">
      <alignment horizontal="center" vertical="top" wrapText="1"/>
    </xf>
    <xf numFmtId="0" fontId="3" fillId="24" borderId="10" xfId="0" applyFont="1" applyFill="1" applyBorder="1" applyAlignment="1">
      <alignment vertical="top" wrapText="1"/>
    </xf>
    <xf numFmtId="0" fontId="3" fillId="24" borderId="30" xfId="0" applyFont="1" applyFill="1" applyBorder="1" applyAlignment="1">
      <alignment horizontal="center" vertical="top" wrapText="1"/>
    </xf>
    <xf numFmtId="180" fontId="4" fillId="0" borderId="45" xfId="0" applyNumberFormat="1" applyFont="1" applyFill="1" applyBorder="1" applyAlignment="1">
      <alignment horizontal="center" vertical="top"/>
    </xf>
    <xf numFmtId="180" fontId="4" fillId="0" borderId="64" xfId="0" applyNumberFormat="1" applyFont="1" applyFill="1" applyBorder="1" applyAlignment="1">
      <alignment horizontal="center" vertical="top"/>
    </xf>
    <xf numFmtId="180" fontId="4" fillId="0" borderId="43" xfId="0" applyNumberFormat="1" applyFont="1" applyFill="1" applyBorder="1" applyAlignment="1">
      <alignment horizontal="center" vertical="top"/>
    </xf>
    <xf numFmtId="180" fontId="3" fillId="0" borderId="73" xfId="0" applyNumberFormat="1" applyFont="1" applyFill="1" applyBorder="1" applyAlignment="1">
      <alignment horizontal="center" vertical="top"/>
    </xf>
    <xf numFmtId="180" fontId="3" fillId="0" borderId="74" xfId="0" applyNumberFormat="1" applyFont="1" applyFill="1" applyBorder="1" applyAlignment="1">
      <alignment horizontal="center" vertical="top"/>
    </xf>
    <xf numFmtId="180" fontId="3" fillId="0" borderId="75" xfId="0" applyNumberFormat="1" applyFont="1" applyFill="1" applyBorder="1" applyAlignment="1">
      <alignment horizontal="center" vertical="top"/>
    </xf>
    <xf numFmtId="0" fontId="4" fillId="24" borderId="81" xfId="0" applyFont="1" applyFill="1" applyBorder="1" applyAlignment="1">
      <alignment horizontal="center" vertical="top" wrapText="1"/>
    </xf>
    <xf numFmtId="0" fontId="4" fillId="0" borderId="27" xfId="0" applyFont="1" applyFill="1" applyBorder="1" applyAlignment="1">
      <alignment vertical="center" textRotation="90" wrapText="1"/>
    </xf>
    <xf numFmtId="180" fontId="3" fillId="0" borderId="26" xfId="0" applyNumberFormat="1" applyFont="1" applyBorder="1" applyAlignment="1">
      <alignment horizontal="center" vertical="top" wrapText="1"/>
    </xf>
    <xf numFmtId="0" fontId="4" fillId="0" borderId="58" xfId="0" applyFont="1" applyFill="1" applyBorder="1" applyAlignment="1">
      <alignment vertical="center" textRotation="90" wrapText="1"/>
    </xf>
    <xf numFmtId="49" fontId="4" fillId="4" borderId="59" xfId="0" applyNumberFormat="1" applyFont="1" applyFill="1" applyBorder="1" applyAlignment="1">
      <alignment horizontal="center" vertical="top"/>
    </xf>
    <xf numFmtId="49" fontId="4" fillId="25" borderId="25" xfId="0" applyNumberFormat="1" applyFont="1" applyFill="1" applyBorder="1" applyAlignment="1">
      <alignment horizontal="center" vertical="top"/>
    </xf>
    <xf numFmtId="0" fontId="3" fillId="0" borderId="0" xfId="0" applyFont="1" applyAlignment="1">
      <alignment/>
    </xf>
    <xf numFmtId="0" fontId="3" fillId="0" borderId="0" xfId="0" applyFont="1" applyAlignment="1">
      <alignment horizontal="right"/>
    </xf>
    <xf numFmtId="0" fontId="3" fillId="0" borderId="0" xfId="0" applyFont="1" applyFill="1" applyAlignment="1">
      <alignment/>
    </xf>
    <xf numFmtId="0" fontId="4" fillId="16" borderId="66" xfId="0" applyFont="1" applyFill="1" applyBorder="1" applyAlignment="1">
      <alignment vertical="center" wrapText="1"/>
    </xf>
    <xf numFmtId="180" fontId="4" fillId="16" borderId="53" xfId="0" applyNumberFormat="1" applyFont="1" applyFill="1" applyBorder="1" applyAlignment="1">
      <alignment horizontal="center" vertical="top" wrapText="1"/>
    </xf>
    <xf numFmtId="180" fontId="4" fillId="16" borderId="73" xfId="0" applyNumberFormat="1" applyFont="1" applyFill="1" applyBorder="1" applyAlignment="1">
      <alignment horizontal="center" vertical="top" wrapText="1"/>
    </xf>
    <xf numFmtId="180" fontId="4" fillId="16" borderId="77" xfId="0" applyNumberFormat="1" applyFont="1" applyFill="1" applyBorder="1" applyAlignment="1">
      <alignment horizontal="center" vertical="top" wrapText="1"/>
    </xf>
    <xf numFmtId="180" fontId="4" fillId="0" borderId="0" xfId="0" applyNumberFormat="1" applyFont="1" applyFill="1" applyBorder="1" applyAlignment="1">
      <alignment horizontal="center" vertical="top" wrapText="1"/>
    </xf>
    <xf numFmtId="0" fontId="4" fillId="0" borderId="66" xfId="0" applyFont="1" applyBorder="1" applyAlignment="1">
      <alignment vertical="top" wrapText="1"/>
    </xf>
    <xf numFmtId="180" fontId="3" fillId="0" borderId="73" xfId="0" applyNumberFormat="1" applyFont="1" applyBorder="1" applyAlignment="1">
      <alignment horizontal="center" vertical="top" wrapText="1"/>
    </xf>
    <xf numFmtId="180" fontId="3" fillId="16" borderId="53" xfId="0" applyNumberFormat="1" applyFont="1" applyFill="1" applyBorder="1" applyAlignment="1">
      <alignment horizontal="center" vertical="top" wrapText="1"/>
    </xf>
    <xf numFmtId="180" fontId="3" fillId="0" borderId="77" xfId="0" applyNumberFormat="1" applyFont="1" applyBorder="1" applyAlignment="1">
      <alignment horizontal="center" vertical="top" wrapText="1"/>
    </xf>
    <xf numFmtId="0" fontId="3" fillId="0" borderId="66" xfId="0" applyFont="1" applyBorder="1" applyAlignment="1">
      <alignment vertical="top" wrapText="1"/>
    </xf>
    <xf numFmtId="180" fontId="3" fillId="0" borderId="89" xfId="0" applyNumberFormat="1" applyFont="1" applyBorder="1" applyAlignment="1">
      <alignment horizontal="center" vertical="top" wrapText="1"/>
    </xf>
    <xf numFmtId="180" fontId="3" fillId="0" borderId="90" xfId="0" applyNumberFormat="1" applyFont="1" applyBorder="1" applyAlignment="1">
      <alignment horizontal="center" vertical="top" wrapText="1"/>
    </xf>
    <xf numFmtId="180" fontId="3" fillId="16" borderId="19" xfId="0" applyNumberFormat="1" applyFont="1" applyFill="1" applyBorder="1" applyAlignment="1">
      <alignment horizontal="center" vertical="top" wrapText="1"/>
    </xf>
    <xf numFmtId="180" fontId="3" fillId="0" borderId="91" xfId="0" applyNumberFormat="1" applyFont="1" applyBorder="1" applyAlignment="1">
      <alignment horizontal="center" vertical="top"/>
    </xf>
    <xf numFmtId="0" fontId="4" fillId="0" borderId="81" xfId="0" applyFont="1" applyBorder="1" applyAlignment="1">
      <alignment vertical="top" wrapText="1"/>
    </xf>
    <xf numFmtId="180" fontId="3" fillId="0" borderId="58" xfId="0" applyNumberFormat="1" applyFont="1" applyBorder="1" applyAlignment="1">
      <alignment horizontal="center" vertical="top" wrapText="1"/>
    </xf>
    <xf numFmtId="180" fontId="3" fillId="0" borderId="88" xfId="0" applyNumberFormat="1" applyFont="1" applyBorder="1" applyAlignment="1">
      <alignment horizontal="center" vertical="top" wrapText="1"/>
    </xf>
    <xf numFmtId="180" fontId="3" fillId="16" borderId="50" xfId="0" applyNumberFormat="1" applyFont="1" applyFill="1" applyBorder="1" applyAlignment="1">
      <alignment horizontal="center" vertical="top" wrapText="1"/>
    </xf>
    <xf numFmtId="180" fontId="3" fillId="0" borderId="78" xfId="0" applyNumberFormat="1" applyFont="1" applyBorder="1" applyAlignment="1">
      <alignment horizontal="center" vertical="top" wrapText="1"/>
    </xf>
    <xf numFmtId="180" fontId="3" fillId="0" borderId="0" xfId="0" applyNumberFormat="1" applyFont="1" applyFill="1" applyAlignment="1">
      <alignment/>
    </xf>
    <xf numFmtId="180" fontId="3" fillId="0" borderId="0" xfId="0" applyNumberFormat="1" applyFont="1" applyAlignment="1">
      <alignment/>
    </xf>
    <xf numFmtId="0" fontId="4" fillId="16" borderId="41" xfId="0" applyFont="1" applyFill="1" applyBorder="1" applyAlignment="1">
      <alignment vertical="center" wrapText="1"/>
    </xf>
    <xf numFmtId="180" fontId="4" fillId="16" borderId="58" xfId="0" applyNumberFormat="1" applyFont="1" applyFill="1" applyBorder="1" applyAlignment="1">
      <alignment horizontal="center" vertical="top" wrapText="1"/>
    </xf>
    <xf numFmtId="0" fontId="4" fillId="25" borderId="42" xfId="0" applyFont="1" applyFill="1" applyBorder="1" applyAlignment="1">
      <alignment vertical="center" wrapText="1"/>
    </xf>
    <xf numFmtId="180" fontId="4" fillId="25" borderId="51" xfId="0" applyNumberFormat="1" applyFont="1" applyFill="1" applyBorder="1" applyAlignment="1">
      <alignment horizontal="center" vertical="top" wrapText="1"/>
    </xf>
    <xf numFmtId="0" fontId="4" fillId="0" borderId="41" xfId="0" applyFont="1" applyBorder="1" applyAlignment="1">
      <alignment vertical="center" wrapText="1"/>
    </xf>
    <xf numFmtId="180" fontId="4" fillId="0" borderId="27" xfId="0" applyNumberFormat="1" applyFont="1" applyBorder="1" applyAlignment="1">
      <alignment horizontal="center" vertical="top" wrapText="1"/>
    </xf>
    <xf numFmtId="180" fontId="4" fillId="16" borderId="27" xfId="0" applyNumberFormat="1" applyFont="1" applyFill="1" applyBorder="1" applyAlignment="1">
      <alignment horizontal="center" vertical="top" wrapText="1"/>
    </xf>
    <xf numFmtId="0" fontId="3" fillId="0" borderId="87" xfId="0" applyFont="1" applyBorder="1" applyAlignment="1">
      <alignment vertical="top" wrapText="1"/>
    </xf>
    <xf numFmtId="180" fontId="3" fillId="16" borderId="53" xfId="0" applyNumberFormat="1" applyFont="1" applyFill="1" applyBorder="1" applyAlignment="1">
      <alignment horizontal="center" vertical="top"/>
    </xf>
    <xf numFmtId="0" fontId="4" fillId="0" borderId="41" xfId="0" applyFont="1" applyBorder="1" applyAlignment="1">
      <alignment vertical="top" wrapText="1"/>
    </xf>
    <xf numFmtId="180" fontId="4" fillId="0" borderId="58" xfId="0" applyNumberFormat="1" applyFont="1" applyBorder="1" applyAlignment="1">
      <alignment horizontal="center" vertical="top" wrapText="1"/>
    </xf>
    <xf numFmtId="0" fontId="4" fillId="25" borderId="42" xfId="0" applyFont="1" applyFill="1" applyBorder="1" applyAlignment="1">
      <alignment vertical="top" wrapText="1"/>
    </xf>
    <xf numFmtId="0" fontId="3" fillId="0" borderId="86" xfId="0" applyFont="1" applyBorder="1" applyAlignment="1">
      <alignment vertical="top" wrapText="1"/>
    </xf>
    <xf numFmtId="180" fontId="3" fillId="16" borderId="14" xfId="0" applyNumberFormat="1" applyFont="1" applyFill="1" applyBorder="1" applyAlignment="1">
      <alignment horizontal="center" vertical="top" wrapText="1"/>
    </xf>
    <xf numFmtId="0" fontId="3" fillId="0" borderId="81" xfId="0" applyFont="1" applyBorder="1" applyAlignment="1">
      <alignment vertical="top" wrapText="1"/>
    </xf>
    <xf numFmtId="180" fontId="3" fillId="16" borderId="58" xfId="0" applyNumberFormat="1" applyFont="1" applyFill="1" applyBorder="1" applyAlignment="1">
      <alignment horizontal="center" vertical="top" wrapText="1"/>
    </xf>
    <xf numFmtId="0" fontId="3" fillId="0" borderId="27" xfId="0" applyFont="1" applyBorder="1" applyAlignment="1">
      <alignment horizontal="center" vertical="top" wrapText="1"/>
    </xf>
    <xf numFmtId="0" fontId="3" fillId="0" borderId="29" xfId="0" applyFont="1" applyBorder="1" applyAlignment="1">
      <alignment horizontal="center" vertical="top" wrapText="1"/>
    </xf>
    <xf numFmtId="180" fontId="3" fillId="24" borderId="56" xfId="0" applyNumberFormat="1" applyFont="1" applyFill="1" applyBorder="1" applyAlignment="1">
      <alignment horizontal="center" vertical="top"/>
    </xf>
    <xf numFmtId="180" fontId="3" fillId="24" borderId="64" xfId="0" applyNumberFormat="1" applyFont="1" applyFill="1" applyBorder="1" applyAlignment="1">
      <alignment horizontal="center" vertical="top"/>
    </xf>
    <xf numFmtId="180" fontId="3" fillId="24" borderId="43" xfId="0" applyNumberFormat="1" applyFont="1" applyFill="1" applyBorder="1" applyAlignment="1">
      <alignment horizontal="center" vertical="top"/>
    </xf>
    <xf numFmtId="180" fontId="3" fillId="0" borderId="40" xfId="0" applyNumberFormat="1" applyFont="1" applyBorder="1" applyAlignment="1">
      <alignment horizontal="center" vertical="top"/>
    </xf>
    <xf numFmtId="180" fontId="3" fillId="0" borderId="12" xfId="0" applyNumberFormat="1" applyFont="1" applyBorder="1" applyAlignment="1">
      <alignment horizontal="center" vertical="top"/>
    </xf>
    <xf numFmtId="180" fontId="3" fillId="0" borderId="11" xfId="0" applyNumberFormat="1" applyFont="1" applyBorder="1" applyAlignment="1">
      <alignment horizontal="center" vertical="top"/>
    </xf>
    <xf numFmtId="180" fontId="3" fillId="0" borderId="13" xfId="0" applyNumberFormat="1" applyFont="1" applyBorder="1" applyAlignment="1">
      <alignment horizontal="center" vertical="top"/>
    </xf>
    <xf numFmtId="180" fontId="3" fillId="0" borderId="20" xfId="0" applyNumberFormat="1" applyFont="1" applyBorder="1" applyAlignment="1">
      <alignment horizontal="center" vertical="top"/>
    </xf>
    <xf numFmtId="180" fontId="3" fillId="16" borderId="12" xfId="0" applyNumberFormat="1" applyFont="1" applyFill="1" applyBorder="1" applyAlignment="1">
      <alignment horizontal="center" vertical="top"/>
    </xf>
    <xf numFmtId="180" fontId="3" fillId="16" borderId="13" xfId="0" applyNumberFormat="1" applyFont="1" applyFill="1" applyBorder="1" applyAlignment="1">
      <alignment horizontal="center" vertical="top"/>
    </xf>
    <xf numFmtId="180" fontId="3" fillId="0" borderId="35" xfId="0" applyNumberFormat="1" applyFont="1" applyBorder="1" applyAlignment="1">
      <alignment horizontal="center" vertical="top"/>
    </xf>
    <xf numFmtId="180" fontId="3" fillId="0" borderId="20" xfId="0" applyNumberFormat="1" applyFont="1" applyBorder="1" applyAlignment="1">
      <alignment vertical="top"/>
    </xf>
    <xf numFmtId="180" fontId="3" fillId="0" borderId="11" xfId="0" applyNumberFormat="1" applyFont="1" applyBorder="1" applyAlignment="1">
      <alignment vertical="top"/>
    </xf>
    <xf numFmtId="180" fontId="3" fillId="0" borderId="35" xfId="0" applyNumberFormat="1" applyFont="1" applyBorder="1" applyAlignment="1">
      <alignment vertical="top"/>
    </xf>
    <xf numFmtId="0" fontId="3" fillId="16" borderId="12" xfId="0" applyFont="1" applyFill="1" applyBorder="1" applyAlignment="1">
      <alignment vertical="top"/>
    </xf>
    <xf numFmtId="0" fontId="3" fillId="16" borderId="11" xfId="0" applyFont="1" applyFill="1" applyBorder="1" applyAlignment="1">
      <alignment vertical="top"/>
    </xf>
    <xf numFmtId="0" fontId="3" fillId="16" borderId="13" xfId="0" applyFont="1" applyFill="1" applyBorder="1" applyAlignment="1">
      <alignment vertical="top"/>
    </xf>
    <xf numFmtId="180" fontId="3" fillId="16" borderId="32" xfId="0" applyNumberFormat="1" applyFont="1" applyFill="1" applyBorder="1" applyAlignment="1">
      <alignment horizontal="center" vertical="top"/>
    </xf>
    <xf numFmtId="0" fontId="0" fillId="0" borderId="58" xfId="0" applyFont="1" applyBorder="1" applyAlignment="1">
      <alignment horizontal="center" vertical="top"/>
    </xf>
    <xf numFmtId="0" fontId="0" fillId="0" borderId="47" xfId="0" applyFont="1" applyBorder="1" applyAlignment="1">
      <alignment horizontal="center" vertical="top"/>
    </xf>
    <xf numFmtId="0" fontId="4" fillId="0" borderId="64" xfId="0" applyFont="1" applyFill="1" applyBorder="1" applyAlignment="1">
      <alignment horizontal="center" vertical="top" textRotation="180" wrapText="1"/>
    </xf>
    <xf numFmtId="0" fontId="4" fillId="0" borderId="85" xfId="0" applyFont="1" applyFill="1" applyBorder="1" applyAlignment="1">
      <alignment horizontal="center" vertical="center" textRotation="90"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textRotation="180" wrapText="1"/>
    </xf>
    <xf numFmtId="0" fontId="4" fillId="0" borderId="0" xfId="0" applyFont="1" applyFill="1" applyBorder="1" applyAlignment="1">
      <alignment horizontal="center" vertical="top" textRotation="90" wrapText="1"/>
    </xf>
    <xf numFmtId="0" fontId="4" fillId="24" borderId="0" xfId="0" applyNumberFormat="1" applyFont="1" applyFill="1" applyBorder="1" applyAlignment="1">
      <alignment horizontal="center" vertical="top"/>
    </xf>
    <xf numFmtId="49" fontId="15" fillId="0" borderId="32" xfId="51" applyNumberFormat="1" applyFont="1" applyBorder="1" applyAlignment="1">
      <alignment horizontal="left"/>
      <protection/>
    </xf>
    <xf numFmtId="0" fontId="3" fillId="0" borderId="75" xfId="0" applyFont="1" applyBorder="1" applyAlignment="1">
      <alignment horizontal="center" vertical="center"/>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180" fontId="3" fillId="0" borderId="31" xfId="0" applyNumberFormat="1" applyFont="1" applyBorder="1" applyAlignment="1">
      <alignment horizontal="center" vertical="center" wrapText="1"/>
    </xf>
    <xf numFmtId="0" fontId="3" fillId="0" borderId="31" xfId="0" applyFont="1" applyFill="1" applyBorder="1" applyAlignment="1">
      <alignment horizontal="center" vertical="center" wrapText="1"/>
    </xf>
    <xf numFmtId="0" fontId="17" fillId="0" borderId="23" xfId="51" applyFont="1" applyBorder="1" applyAlignment="1">
      <alignment horizontal="left" vertical="top" wrapText="1"/>
      <protection/>
    </xf>
    <xf numFmtId="0" fontId="15" fillId="0" borderId="23" xfId="51" applyFont="1" applyBorder="1" applyAlignment="1">
      <alignment horizontal="center" vertical="top"/>
      <protection/>
    </xf>
    <xf numFmtId="0" fontId="15" fillId="0" borderId="69" xfId="51" applyFont="1" applyBorder="1" applyAlignment="1">
      <alignment horizontal="center" vertical="top"/>
      <protection/>
    </xf>
    <xf numFmtId="0" fontId="18" fillId="0" borderId="31" xfId="51" applyFont="1" applyBorder="1" applyAlignment="1">
      <alignment horizontal="left" vertical="top" wrapText="1"/>
      <protection/>
    </xf>
    <xf numFmtId="0" fontId="3" fillId="0" borderId="0" xfId="46" applyFont="1" applyBorder="1" applyAlignment="1">
      <alignment horizontal="center" vertical="center" wrapText="1"/>
      <protection/>
    </xf>
    <xf numFmtId="0" fontId="3" fillId="0" borderId="31" xfId="46" applyFont="1" applyBorder="1" applyAlignment="1">
      <alignment horizontal="left" vertical="top" wrapText="1"/>
      <protection/>
    </xf>
    <xf numFmtId="0" fontId="17" fillId="0" borderId="31" xfId="51" applyFont="1" applyBorder="1" applyAlignment="1">
      <alignment horizontal="left" vertical="top" wrapText="1"/>
      <protection/>
    </xf>
    <xf numFmtId="0" fontId="19" fillId="0" borderId="31" xfId="51" applyFont="1" applyBorder="1" applyAlignment="1">
      <alignment horizontal="left" vertical="top" wrapText="1"/>
      <protection/>
    </xf>
    <xf numFmtId="0" fontId="15" fillId="0" borderId="31" xfId="51" applyFont="1" applyBorder="1" applyAlignment="1">
      <alignment horizontal="left" vertical="top" wrapText="1"/>
      <protection/>
    </xf>
    <xf numFmtId="0" fontId="15" fillId="0" borderId="31" xfId="51" applyFont="1" applyBorder="1" applyAlignment="1">
      <alignment horizontal="center" vertical="center"/>
      <protection/>
    </xf>
    <xf numFmtId="0" fontId="15" fillId="0" borderId="0" xfId="51" applyFont="1" applyBorder="1" applyAlignment="1">
      <alignment horizontal="center" vertical="center"/>
      <protection/>
    </xf>
    <xf numFmtId="0" fontId="15" fillId="0" borderId="17" xfId="51" applyFont="1" applyBorder="1" applyAlignment="1">
      <alignment horizontal="center" vertical="center"/>
      <protection/>
    </xf>
    <xf numFmtId="0" fontId="15" fillId="0" borderId="71" xfId="51" applyFont="1" applyBorder="1" applyAlignment="1">
      <alignment horizontal="center" vertical="center"/>
      <protection/>
    </xf>
    <xf numFmtId="0" fontId="15" fillId="0" borderId="31" xfId="51" applyFont="1" applyBorder="1" applyAlignment="1">
      <alignment horizontal="left" vertical="top" wrapText="1"/>
      <protection/>
    </xf>
    <xf numFmtId="0" fontId="15" fillId="0" borderId="75" xfId="51" applyFont="1" applyBorder="1" applyAlignment="1">
      <alignment horizontal="center" vertical="top"/>
      <protection/>
    </xf>
    <xf numFmtId="0" fontId="15" fillId="0" borderId="75" xfId="51" applyFont="1" applyBorder="1" applyAlignment="1">
      <alignment horizontal="center" vertical="center"/>
      <protection/>
    </xf>
    <xf numFmtId="0" fontId="20" fillId="0" borderId="31" xfId="51" applyFont="1" applyBorder="1" applyAlignment="1">
      <alignment horizontal="left" vertical="top" wrapText="1"/>
      <protection/>
    </xf>
    <xf numFmtId="0" fontId="3" fillId="0" borderId="31" xfId="51" applyFont="1" applyBorder="1" applyAlignment="1">
      <alignment horizontal="center" vertical="center"/>
      <protection/>
    </xf>
    <xf numFmtId="0" fontId="3" fillId="0" borderId="31" xfId="0" applyFont="1" applyFill="1" applyBorder="1" applyAlignment="1">
      <alignment horizontal="left" wrapText="1"/>
    </xf>
    <xf numFmtId="0" fontId="3" fillId="0" borderId="31" xfId="0" applyFont="1" applyBorder="1" applyAlignment="1">
      <alignment wrapText="1"/>
    </xf>
    <xf numFmtId="0" fontId="3" fillId="0" borderId="32" xfId="0" applyFont="1" applyFill="1" applyBorder="1" applyAlignment="1">
      <alignment horizontal="center" vertical="center" wrapText="1"/>
    </xf>
    <xf numFmtId="0" fontId="16" fillId="0" borderId="0" xfId="51" applyFont="1" applyAlignment="1">
      <alignment horizontal="center" vertical="center" wrapText="1"/>
      <protection/>
    </xf>
    <xf numFmtId="0" fontId="21"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xf>
    <xf numFmtId="0" fontId="22" fillId="0" borderId="0" xfId="51" applyFont="1" applyBorder="1" applyAlignment="1">
      <alignment horizontal="center" vertical="center" wrapText="1"/>
      <protection/>
    </xf>
    <xf numFmtId="0" fontId="4" fillId="0" borderId="11" xfId="0" applyFont="1" applyBorder="1" applyAlignment="1">
      <alignment horizontal="center" wrapText="1"/>
    </xf>
    <xf numFmtId="0" fontId="14" fillId="0" borderId="11" xfId="0" applyFont="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vertical="center"/>
    </xf>
    <xf numFmtId="0" fontId="2" fillId="0" borderId="13" xfId="0" applyFont="1" applyBorder="1" applyAlignment="1">
      <alignment horizontal="center" vertical="top"/>
    </xf>
    <xf numFmtId="0" fontId="6" fillId="0" borderId="63" xfId="0" applyFont="1" applyBorder="1" applyAlignment="1">
      <alignment horizontal="center" vertical="center"/>
    </xf>
    <xf numFmtId="0" fontId="6" fillId="0" borderId="12" xfId="0" applyFont="1" applyBorder="1" applyAlignment="1">
      <alignment horizontal="center" vertical="center"/>
    </xf>
    <xf numFmtId="0" fontId="22" fillId="0" borderId="0" xfId="51" applyFont="1" applyAlignment="1">
      <alignment horizontal="center" vertical="center" wrapText="1"/>
      <protection/>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49" fontId="23" fillId="0" borderId="0" xfId="51" applyNumberFormat="1" applyFont="1" applyAlignment="1" applyProtection="1">
      <alignment horizontal="center" vertical="top"/>
      <protection/>
    </xf>
    <xf numFmtId="0" fontId="17" fillId="0" borderId="0" xfId="51" applyFont="1">
      <alignment/>
      <protection/>
    </xf>
    <xf numFmtId="0" fontId="17" fillId="0" borderId="0" xfId="51" applyFont="1" applyAlignment="1">
      <alignment horizontal="center"/>
      <protection/>
    </xf>
    <xf numFmtId="49" fontId="15" fillId="0" borderId="36" xfId="51" applyNumberFormat="1" applyFont="1" applyBorder="1" applyAlignment="1">
      <alignment horizontal="center"/>
      <protection/>
    </xf>
    <xf numFmtId="0" fontId="15" fillId="0" borderId="40" xfId="51" applyFont="1" applyBorder="1" applyAlignment="1">
      <alignment horizontal="center" vertical="top"/>
      <protection/>
    </xf>
    <xf numFmtId="0" fontId="3" fillId="0" borderId="0" xfId="0" applyFont="1" applyBorder="1" applyAlignment="1">
      <alignment horizontal="center" vertical="top" wrapText="1"/>
    </xf>
    <xf numFmtId="0" fontId="3" fillId="0" borderId="31" xfId="0" applyFont="1" applyBorder="1" applyAlignment="1">
      <alignment horizontal="center" vertical="top" wrapText="1"/>
    </xf>
    <xf numFmtId="0" fontId="0" fillId="0" borderId="31" xfId="0" applyFont="1" applyBorder="1" applyAlignment="1">
      <alignment/>
    </xf>
    <xf numFmtId="0" fontId="0" fillId="0" borderId="75" xfId="0" applyFont="1" applyBorder="1" applyAlignment="1">
      <alignment horizontal="center" vertical="center"/>
    </xf>
    <xf numFmtId="0" fontId="0" fillId="0" borderId="31" xfId="0" applyFont="1" applyBorder="1" applyAlignment="1">
      <alignment vertical="center"/>
    </xf>
    <xf numFmtId="0" fontId="0" fillId="0" borderId="0" xfId="0" applyFont="1" applyBorder="1" applyAlignment="1">
      <alignment vertical="center"/>
    </xf>
    <xf numFmtId="0" fontId="15" fillId="0" borderId="31" xfId="51" applyFont="1" applyFill="1" applyBorder="1" applyAlignment="1">
      <alignment horizontal="center" vertical="center"/>
      <protection/>
    </xf>
    <xf numFmtId="0" fontId="15" fillId="0" borderId="0" xfId="51" applyFont="1" applyFill="1" applyBorder="1" applyAlignment="1">
      <alignment horizontal="center" vertical="center"/>
      <protection/>
    </xf>
    <xf numFmtId="0" fontId="15" fillId="0" borderId="32" xfId="51" applyFont="1" applyBorder="1" applyAlignment="1">
      <alignment horizontal="left"/>
      <protection/>
    </xf>
    <xf numFmtId="0" fontId="3" fillId="0" borderId="0" xfId="0" applyFont="1" applyBorder="1" applyAlignment="1">
      <alignment horizontal="center" vertical="center"/>
    </xf>
    <xf numFmtId="0" fontId="15" fillId="0" borderId="0" xfId="51" applyFont="1" applyBorder="1" applyAlignment="1">
      <alignment horizontal="center" vertical="center"/>
      <protection/>
    </xf>
    <xf numFmtId="0" fontId="15" fillId="0" borderId="31" xfId="51" applyFont="1" applyFill="1" applyBorder="1" applyAlignment="1">
      <alignment horizontal="center" vertical="center"/>
      <protection/>
    </xf>
    <xf numFmtId="0" fontId="15" fillId="0" borderId="0" xfId="51" applyFont="1" applyFill="1" applyBorder="1" applyAlignment="1">
      <alignment horizontal="center" vertical="center"/>
      <protection/>
    </xf>
    <xf numFmtId="0" fontId="3" fillId="0" borderId="32" xfId="0" applyFont="1" applyBorder="1" applyAlignment="1">
      <alignment horizontal="center" vertical="center"/>
    </xf>
    <xf numFmtId="0" fontId="18" fillId="0" borderId="31" xfId="51" applyFont="1" applyFill="1" applyBorder="1" applyAlignment="1">
      <alignment horizontal="left" vertical="top" wrapText="1"/>
      <protection/>
    </xf>
    <xf numFmtId="0" fontId="15" fillId="0" borderId="75" xfId="51" applyFont="1" applyBorder="1" applyAlignment="1">
      <alignment horizontal="center" vertical="center"/>
      <protection/>
    </xf>
    <xf numFmtId="49" fontId="15" fillId="0" borderId="32" xfId="51" applyNumberFormat="1" applyFont="1" applyFill="1" applyBorder="1" applyAlignment="1">
      <alignment horizontal="left"/>
      <protection/>
    </xf>
    <xf numFmtId="0" fontId="15" fillId="0" borderId="31" xfId="51" applyFont="1" applyFill="1" applyBorder="1" applyAlignment="1">
      <alignment horizontal="left" vertical="top" wrapText="1"/>
      <protection/>
    </xf>
    <xf numFmtId="180" fontId="15" fillId="0" borderId="0" xfId="51" applyNumberFormat="1" applyFont="1" applyFill="1" applyBorder="1" applyAlignment="1">
      <alignment horizontal="center" vertical="center"/>
      <protection/>
    </xf>
    <xf numFmtId="180" fontId="15" fillId="0" borderId="31" xfId="51" applyNumberFormat="1" applyFont="1" applyFill="1" applyBorder="1" applyAlignment="1">
      <alignment horizontal="center" vertical="center"/>
      <protection/>
    </xf>
    <xf numFmtId="0" fontId="0" fillId="0" borderId="0" xfId="0" applyFont="1" applyFill="1" applyAlignment="1">
      <alignment/>
    </xf>
    <xf numFmtId="0" fontId="15" fillId="0" borderId="31" xfId="51" applyFont="1" applyBorder="1" applyAlignment="1">
      <alignment horizontal="center" vertical="center"/>
      <protection/>
    </xf>
    <xf numFmtId="0" fontId="3" fillId="0" borderId="32" xfId="0" applyFont="1" applyBorder="1" applyAlignment="1">
      <alignment/>
    </xf>
    <xf numFmtId="0" fontId="3" fillId="24" borderId="31" xfId="0" applyFont="1" applyFill="1" applyBorder="1" applyAlignment="1">
      <alignment/>
    </xf>
    <xf numFmtId="0" fontId="3" fillId="0" borderId="31" xfId="51" applyFont="1" applyFill="1" applyBorder="1" applyAlignment="1">
      <alignment horizontal="center" vertical="center"/>
      <protection/>
    </xf>
    <xf numFmtId="49" fontId="3" fillId="0" borderId="32" xfId="51" applyNumberFormat="1" applyFont="1" applyBorder="1" applyAlignment="1">
      <alignment horizontal="left"/>
      <protection/>
    </xf>
    <xf numFmtId="0" fontId="3" fillId="0" borderId="75" xfId="51" applyFont="1" applyBorder="1" applyAlignment="1">
      <alignment horizontal="center" vertical="center"/>
      <protection/>
    </xf>
    <xf numFmtId="0" fontId="3" fillId="0" borderId="0" xfId="51" applyFont="1" applyBorder="1" applyAlignment="1">
      <alignment horizontal="center" vertical="center"/>
      <protection/>
    </xf>
    <xf numFmtId="0" fontId="15" fillId="0" borderId="32" xfId="51" applyFont="1" applyBorder="1" applyAlignment="1">
      <alignment horizontal="center"/>
      <protection/>
    </xf>
    <xf numFmtId="0" fontId="15" fillId="24" borderId="31" xfId="51" applyFont="1" applyFill="1" applyBorder="1" applyAlignment="1">
      <alignment horizontal="left" vertical="top" wrapText="1"/>
      <protection/>
    </xf>
    <xf numFmtId="0" fontId="15" fillId="0" borderId="74" xfId="51" applyFont="1" applyBorder="1" applyAlignment="1">
      <alignment horizontal="center"/>
      <protection/>
    </xf>
    <xf numFmtId="0" fontId="15" fillId="0" borderId="17" xfId="51" applyFont="1" applyBorder="1" applyAlignment="1">
      <alignment horizontal="left" vertical="top" wrapText="1"/>
      <protection/>
    </xf>
    <xf numFmtId="0" fontId="15" fillId="0" borderId="73" xfId="51" applyFont="1" applyBorder="1" applyAlignment="1">
      <alignment horizontal="center" vertical="center"/>
      <protection/>
    </xf>
    <xf numFmtId="0" fontId="15" fillId="0" borderId="23" xfId="51" applyFont="1" applyFill="1" applyBorder="1" applyAlignment="1">
      <alignment horizontal="center" vertical="center"/>
      <protection/>
    </xf>
    <xf numFmtId="0" fontId="15" fillId="0" borderId="69" xfId="51" applyFont="1" applyFill="1" applyBorder="1" applyAlignment="1">
      <alignment horizontal="center" vertical="center"/>
      <protection/>
    </xf>
    <xf numFmtId="0" fontId="3" fillId="0" borderId="19" xfId="0" applyFont="1" applyBorder="1" applyAlignment="1">
      <alignment vertical="top"/>
    </xf>
    <xf numFmtId="0" fontId="15" fillId="0" borderId="31" xfId="51" applyFont="1" applyBorder="1" applyAlignment="1">
      <alignment horizontal="center" vertical="top"/>
      <protection/>
    </xf>
    <xf numFmtId="0" fontId="15" fillId="0" borderId="0" xfId="51" applyFont="1" applyBorder="1" applyAlignment="1">
      <alignment horizontal="center" vertical="top"/>
      <protection/>
    </xf>
    <xf numFmtId="0" fontId="15" fillId="0" borderId="31" xfId="51" applyFont="1" applyFill="1" applyBorder="1" applyAlignment="1">
      <alignment horizontal="center" vertical="top"/>
      <protection/>
    </xf>
    <xf numFmtId="0" fontId="3" fillId="24" borderId="31" xfId="0" applyFont="1" applyFill="1" applyBorder="1" applyAlignment="1">
      <alignment wrapText="1"/>
    </xf>
    <xf numFmtId="0" fontId="15" fillId="0" borderId="75" xfId="51" applyFont="1" applyBorder="1" applyAlignment="1">
      <alignment horizontal="center" vertical="top"/>
      <protection/>
    </xf>
    <xf numFmtId="0" fontId="3" fillId="0" borderId="0" xfId="51" applyFont="1" applyFill="1" applyBorder="1" applyAlignment="1">
      <alignment horizontal="center" vertical="center"/>
      <protection/>
    </xf>
    <xf numFmtId="49" fontId="15" fillId="0" borderId="74" xfId="51" applyNumberFormat="1" applyFont="1" applyBorder="1" applyAlignment="1">
      <alignment horizontal="left"/>
      <protection/>
    </xf>
    <xf numFmtId="0" fontId="15" fillId="0" borderId="71" xfId="51" applyFont="1" applyBorder="1" applyAlignment="1">
      <alignment horizontal="center" vertical="center"/>
      <protection/>
    </xf>
    <xf numFmtId="0" fontId="15" fillId="0" borderId="17" xfId="51" applyFont="1" applyBorder="1" applyAlignment="1">
      <alignment horizontal="center" vertical="center"/>
      <protection/>
    </xf>
    <xf numFmtId="0" fontId="15" fillId="0" borderId="36" xfId="51" applyFont="1" applyBorder="1" applyAlignment="1">
      <alignment horizontal="left"/>
      <protection/>
    </xf>
    <xf numFmtId="0" fontId="19" fillId="0" borderId="23" xfId="51" applyFont="1" applyFill="1" applyBorder="1" applyAlignment="1">
      <alignment horizontal="left" vertical="top" wrapText="1"/>
      <protection/>
    </xf>
    <xf numFmtId="0" fontId="15" fillId="0" borderId="40" xfId="51" applyFont="1" applyBorder="1" applyAlignment="1">
      <alignment horizontal="center" vertical="center"/>
      <protection/>
    </xf>
    <xf numFmtId="0" fontId="3" fillId="0" borderId="69" xfId="0" applyFont="1" applyBorder="1" applyAlignment="1">
      <alignment horizontal="center" vertical="center"/>
    </xf>
    <xf numFmtId="186" fontId="3" fillId="24" borderId="47" xfId="0" applyNumberFormat="1" applyFont="1" applyFill="1" applyBorder="1" applyAlignment="1">
      <alignment horizontal="center" vertical="top"/>
    </xf>
    <xf numFmtId="180" fontId="4" fillId="8" borderId="59" xfId="0" applyNumberFormat="1" applyFont="1" applyFill="1" applyBorder="1" applyAlignment="1">
      <alignment horizontal="center" vertical="top"/>
    </xf>
    <xf numFmtId="180" fontId="4" fillId="8" borderId="60" xfId="0" applyNumberFormat="1" applyFont="1" applyFill="1" applyBorder="1" applyAlignment="1">
      <alignment horizontal="center" vertical="top"/>
    </xf>
    <xf numFmtId="0" fontId="3" fillId="24" borderId="58" xfId="0" applyFont="1" applyFill="1" applyBorder="1" applyAlignment="1">
      <alignment horizontal="left" vertical="top" wrapText="1"/>
    </xf>
    <xf numFmtId="0" fontId="3" fillId="0" borderId="27" xfId="0" applyFont="1" applyBorder="1" applyAlignment="1">
      <alignment vertical="top" wrapText="1"/>
    </xf>
    <xf numFmtId="49" fontId="2" fillId="0" borderId="64" xfId="0" applyNumberFormat="1" applyFont="1" applyFill="1" applyBorder="1" applyAlignment="1">
      <alignment vertical="top" wrapText="1"/>
    </xf>
    <xf numFmtId="49" fontId="4" fillId="0" borderId="47" xfId="0" applyNumberFormat="1" applyFont="1" applyFill="1" applyBorder="1" applyAlignment="1">
      <alignment horizontal="center" vertical="top"/>
    </xf>
    <xf numFmtId="180" fontId="25" fillId="16" borderId="28" xfId="0" applyNumberFormat="1" applyFont="1" applyFill="1" applyBorder="1" applyAlignment="1">
      <alignment horizontal="center" vertical="top"/>
    </xf>
    <xf numFmtId="180" fontId="25" fillId="16" borderId="0" xfId="0" applyNumberFormat="1" applyFont="1" applyFill="1" applyBorder="1" applyAlignment="1">
      <alignment horizontal="center" vertical="top"/>
    </xf>
    <xf numFmtId="180" fontId="25" fillId="16" borderId="33" xfId="0" applyNumberFormat="1" applyFont="1" applyFill="1" applyBorder="1" applyAlignment="1">
      <alignment horizontal="center" vertical="top"/>
    </xf>
    <xf numFmtId="180" fontId="25" fillId="16" borderId="10" xfId="0" applyNumberFormat="1" applyFont="1" applyFill="1" applyBorder="1" applyAlignment="1">
      <alignment horizontal="center" vertical="top"/>
    </xf>
    <xf numFmtId="180" fontId="25" fillId="16" borderId="16" xfId="0" applyNumberFormat="1" applyFont="1" applyFill="1" applyBorder="1" applyAlignment="1">
      <alignment horizontal="center" vertical="top"/>
    </xf>
    <xf numFmtId="0" fontId="25" fillId="24" borderId="27" xfId="0" applyFont="1" applyFill="1" applyBorder="1" applyAlignment="1">
      <alignment vertical="top" wrapText="1"/>
    </xf>
    <xf numFmtId="49" fontId="3" fillId="24" borderId="27" xfId="0" applyNumberFormat="1" applyFont="1" applyFill="1" applyBorder="1" applyAlignment="1">
      <alignment horizontal="center" vertical="top" wrapText="1"/>
    </xf>
    <xf numFmtId="0" fontId="3" fillId="24" borderId="81" xfId="0" applyFont="1" applyFill="1" applyBorder="1" applyAlignment="1">
      <alignment horizontal="center" vertical="top" wrapText="1"/>
    </xf>
    <xf numFmtId="0" fontId="3" fillId="0" borderId="14" xfId="0" applyFont="1" applyBorder="1" applyAlignment="1">
      <alignment horizontal="center"/>
    </xf>
    <xf numFmtId="180" fontId="3" fillId="0" borderId="56" xfId="0" applyNumberFormat="1" applyFont="1" applyBorder="1" applyAlignment="1">
      <alignment horizontal="center"/>
    </xf>
    <xf numFmtId="180" fontId="3" fillId="0" borderId="10" xfId="0" applyNumberFormat="1" applyFont="1" applyBorder="1" applyAlignment="1">
      <alignment horizontal="center"/>
    </xf>
    <xf numFmtId="180" fontId="3" fillId="0" borderId="30" xfId="0" applyNumberFormat="1" applyFont="1" applyBorder="1" applyAlignment="1">
      <alignment horizontal="center"/>
    </xf>
    <xf numFmtId="180" fontId="3" fillId="0" borderId="15" xfId="0" applyNumberFormat="1" applyFont="1" applyBorder="1" applyAlignment="1">
      <alignment horizontal="center"/>
    </xf>
    <xf numFmtId="180" fontId="3" fillId="0" borderId="16" xfId="0" applyNumberFormat="1" applyFont="1" applyBorder="1" applyAlignment="1">
      <alignment horizontal="center"/>
    </xf>
    <xf numFmtId="180" fontId="3" fillId="0" borderId="14" xfId="0" applyNumberFormat="1" applyFont="1" applyBorder="1" applyAlignment="1">
      <alignment horizontal="center"/>
    </xf>
    <xf numFmtId="180" fontId="3" fillId="0" borderId="26" xfId="0" applyNumberFormat="1" applyFont="1" applyBorder="1" applyAlignment="1">
      <alignment horizontal="center"/>
    </xf>
    <xf numFmtId="0" fontId="3" fillId="0" borderId="19" xfId="0" applyFont="1" applyBorder="1" applyAlignment="1">
      <alignment horizontal="center"/>
    </xf>
    <xf numFmtId="180" fontId="3" fillId="0" borderId="20" xfId="0" applyNumberFormat="1" applyFont="1" applyBorder="1" applyAlignment="1">
      <alignment horizontal="center"/>
    </xf>
    <xf numFmtId="180" fontId="3" fillId="0" borderId="11" xfId="0" applyNumberFormat="1" applyFont="1" applyBorder="1" applyAlignment="1">
      <alignment horizontal="center"/>
    </xf>
    <xf numFmtId="180" fontId="3" fillId="0" borderId="13" xfId="0" applyNumberFormat="1" applyFont="1" applyBorder="1" applyAlignment="1">
      <alignment horizontal="center"/>
    </xf>
    <xf numFmtId="180" fontId="3" fillId="0" borderId="35" xfId="0" applyNumberFormat="1" applyFont="1" applyBorder="1" applyAlignment="1">
      <alignment horizontal="center"/>
    </xf>
    <xf numFmtId="180" fontId="3" fillId="0" borderId="19" xfId="0" applyNumberFormat="1" applyFont="1" applyBorder="1" applyAlignment="1">
      <alignment horizontal="center"/>
    </xf>
    <xf numFmtId="180" fontId="3" fillId="0" borderId="65" xfId="0" applyNumberFormat="1" applyFont="1" applyBorder="1" applyAlignment="1">
      <alignment horizontal="center"/>
    </xf>
    <xf numFmtId="0" fontId="3" fillId="0" borderId="21" xfId="0" applyFont="1" applyBorder="1" applyAlignment="1">
      <alignment horizontal="center"/>
    </xf>
    <xf numFmtId="180" fontId="3" fillId="0" borderId="75" xfId="0" applyNumberFormat="1" applyFont="1" applyBorder="1" applyAlignment="1">
      <alignment horizontal="center"/>
    </xf>
    <xf numFmtId="180" fontId="3" fillId="0" borderId="23" xfId="0" applyNumberFormat="1" applyFont="1" applyBorder="1" applyAlignment="1">
      <alignment horizontal="center"/>
    </xf>
    <xf numFmtId="180" fontId="3" fillId="0" borderId="36" xfId="0" applyNumberFormat="1" applyFont="1" applyBorder="1" applyAlignment="1">
      <alignment horizontal="center"/>
    </xf>
    <xf numFmtId="180" fontId="3" fillId="0" borderId="24" xfId="0" applyNumberFormat="1" applyFont="1" applyBorder="1" applyAlignment="1">
      <alignment horizontal="center"/>
    </xf>
    <xf numFmtId="180" fontId="3" fillId="0" borderId="21" xfId="0" applyNumberFormat="1" applyFont="1" applyBorder="1" applyAlignment="1">
      <alignment horizontal="center"/>
    </xf>
    <xf numFmtId="180" fontId="3" fillId="0" borderId="76" xfId="0" applyNumberFormat="1" applyFont="1" applyBorder="1" applyAlignment="1">
      <alignment horizontal="center"/>
    </xf>
    <xf numFmtId="0" fontId="3" fillId="0" borderId="50" xfId="0" applyFont="1" applyBorder="1" applyAlignment="1">
      <alignment horizontal="center"/>
    </xf>
    <xf numFmtId="180" fontId="3" fillId="0" borderId="39" xfId="0" applyNumberFormat="1" applyFont="1" applyBorder="1" applyAlignment="1">
      <alignment horizontal="center"/>
    </xf>
    <xf numFmtId="180" fontId="3" fillId="0" borderId="48" xfId="0" applyNumberFormat="1" applyFont="1" applyBorder="1" applyAlignment="1">
      <alignment horizontal="center"/>
    </xf>
    <xf numFmtId="180" fontId="3" fillId="0" borderId="49" xfId="0" applyNumberFormat="1" applyFont="1" applyBorder="1" applyAlignment="1">
      <alignment horizontal="center"/>
    </xf>
    <xf numFmtId="180" fontId="3" fillId="0" borderId="22" xfId="0" applyNumberFormat="1" applyFont="1" applyBorder="1" applyAlignment="1">
      <alignment horizontal="center"/>
    </xf>
    <xf numFmtId="180" fontId="3" fillId="0" borderId="50" xfId="0" applyNumberFormat="1" applyFont="1" applyBorder="1" applyAlignment="1">
      <alignment horizontal="center"/>
    </xf>
    <xf numFmtId="180" fontId="3" fillId="0" borderId="52" xfId="0" applyNumberFormat="1" applyFont="1" applyBorder="1" applyAlignment="1">
      <alignment horizontal="center"/>
    </xf>
    <xf numFmtId="0" fontId="4" fillId="25" borderId="58" xfId="0" applyFont="1" applyFill="1" applyBorder="1" applyAlignment="1">
      <alignment horizontal="right"/>
    </xf>
    <xf numFmtId="180" fontId="4" fillId="25" borderId="88" xfId="0" applyNumberFormat="1" applyFont="1" applyFill="1" applyBorder="1" applyAlignment="1">
      <alignment horizontal="center"/>
    </xf>
    <xf numFmtId="180" fontId="4" fillId="25" borderId="80" xfId="0" applyNumberFormat="1" applyFont="1" applyFill="1" applyBorder="1" applyAlignment="1">
      <alignment horizontal="center"/>
    </xf>
    <xf numFmtId="180" fontId="4" fillId="25" borderId="79" xfId="0" applyNumberFormat="1" applyFont="1" applyFill="1" applyBorder="1" applyAlignment="1">
      <alignment horizontal="center"/>
    </xf>
    <xf numFmtId="180" fontId="4" fillId="25" borderId="25" xfId="0" applyNumberFormat="1" applyFont="1" applyFill="1" applyBorder="1" applyAlignment="1">
      <alignment horizontal="center"/>
    </xf>
    <xf numFmtId="180" fontId="4" fillId="25" borderId="60" xfId="0" applyNumberFormat="1" applyFont="1" applyFill="1" applyBorder="1" applyAlignment="1">
      <alignment horizontal="center"/>
    </xf>
    <xf numFmtId="180" fontId="4" fillId="25" borderId="61" xfId="0" applyNumberFormat="1" applyFont="1" applyFill="1" applyBorder="1" applyAlignment="1">
      <alignment horizontal="center"/>
    </xf>
    <xf numFmtId="180" fontId="4" fillId="25" borderId="58" xfId="0" applyNumberFormat="1" applyFont="1" applyFill="1" applyBorder="1" applyAlignment="1">
      <alignment horizontal="center"/>
    </xf>
    <xf numFmtId="180" fontId="4" fillId="25" borderId="78" xfId="0" applyNumberFormat="1" applyFont="1" applyFill="1" applyBorder="1" applyAlignment="1">
      <alignment horizontal="center"/>
    </xf>
    <xf numFmtId="49" fontId="4" fillId="24" borderId="37" xfId="0" applyNumberFormat="1" applyFont="1" applyFill="1" applyBorder="1" applyAlignment="1">
      <alignment horizontal="center" vertical="top"/>
    </xf>
    <xf numFmtId="180" fontId="3" fillId="16" borderId="10" xfId="0" applyNumberFormat="1" applyFont="1" applyFill="1" applyBorder="1" applyAlignment="1">
      <alignment horizontal="center" vertical="top"/>
    </xf>
    <xf numFmtId="180" fontId="3" fillId="16" borderId="73" xfId="0" applyNumberFormat="1" applyFont="1" applyFill="1" applyBorder="1" applyAlignment="1">
      <alignment horizontal="center" vertical="top"/>
    </xf>
    <xf numFmtId="180" fontId="3" fillId="16" borderId="17" xfId="0" applyNumberFormat="1" applyFont="1" applyFill="1" applyBorder="1" applyAlignment="1">
      <alignment horizontal="center" vertical="top"/>
    </xf>
    <xf numFmtId="180" fontId="3" fillId="16" borderId="72" xfId="0" applyNumberFormat="1" applyFont="1" applyFill="1" applyBorder="1" applyAlignment="1">
      <alignment horizontal="center" vertical="top"/>
    </xf>
    <xf numFmtId="180" fontId="3" fillId="16" borderId="75" xfId="0" applyNumberFormat="1" applyFont="1" applyFill="1" applyBorder="1" applyAlignment="1">
      <alignment horizontal="center" vertical="top"/>
    </xf>
    <xf numFmtId="180" fontId="3" fillId="16" borderId="31" xfId="0" applyNumberFormat="1" applyFont="1" applyFill="1" applyBorder="1" applyAlignment="1">
      <alignment horizontal="center" vertical="top"/>
    </xf>
    <xf numFmtId="180" fontId="3" fillId="16" borderId="37" xfId="0" applyNumberFormat="1" applyFont="1" applyFill="1" applyBorder="1" applyAlignment="1">
      <alignment horizontal="center" vertical="top"/>
    </xf>
    <xf numFmtId="180" fontId="3" fillId="16" borderId="40" xfId="0" applyNumberFormat="1" applyFont="1" applyFill="1" applyBorder="1" applyAlignment="1">
      <alignment horizontal="center" vertical="top"/>
    </xf>
    <xf numFmtId="180" fontId="3" fillId="16" borderId="23" xfId="0" applyNumberFormat="1" applyFont="1" applyFill="1" applyBorder="1" applyAlignment="1">
      <alignment horizontal="center" vertical="top"/>
    </xf>
    <xf numFmtId="180" fontId="3" fillId="16" borderId="24" xfId="0" applyNumberFormat="1" applyFont="1" applyFill="1" applyBorder="1" applyAlignment="1">
      <alignment horizontal="center" vertical="top"/>
    </xf>
    <xf numFmtId="180" fontId="3" fillId="0" borderId="87" xfId="0" applyNumberFormat="1" applyFont="1" applyBorder="1" applyAlignment="1">
      <alignment horizontal="center" vertical="top" wrapText="1"/>
    </xf>
    <xf numFmtId="180" fontId="3" fillId="0" borderId="63" xfId="0" applyNumberFormat="1" applyFont="1" applyBorder="1" applyAlignment="1">
      <alignment horizontal="center" vertical="top" wrapText="1"/>
    </xf>
    <xf numFmtId="0" fontId="4" fillId="0" borderId="27" xfId="0" applyFont="1" applyFill="1" applyBorder="1" applyAlignment="1">
      <alignment horizontal="center" vertical="top" wrapText="1"/>
    </xf>
    <xf numFmtId="0" fontId="4" fillId="24" borderId="27" xfId="0" applyNumberFormat="1" applyFont="1" applyFill="1" applyBorder="1" applyAlignment="1">
      <alignment horizontal="center" vertical="top" wrapText="1"/>
    </xf>
    <xf numFmtId="0" fontId="4" fillId="24" borderId="29" xfId="0" applyNumberFormat="1" applyFont="1" applyFill="1" applyBorder="1" applyAlignment="1">
      <alignment horizontal="center" vertical="top"/>
    </xf>
    <xf numFmtId="180" fontId="3" fillId="16" borderId="33" xfId="0" applyNumberFormat="1" applyFont="1" applyFill="1" applyBorder="1" applyAlignment="1">
      <alignment horizontal="center"/>
    </xf>
    <xf numFmtId="180" fontId="3" fillId="16" borderId="10" xfId="0" applyNumberFormat="1" applyFont="1" applyFill="1" applyBorder="1" applyAlignment="1">
      <alignment horizontal="center"/>
    </xf>
    <xf numFmtId="180" fontId="3" fillId="16" borderId="30" xfId="0" applyNumberFormat="1" applyFont="1" applyFill="1" applyBorder="1" applyAlignment="1">
      <alignment horizontal="center"/>
    </xf>
    <xf numFmtId="180" fontId="3" fillId="16" borderId="12" xfId="0" applyNumberFormat="1" applyFont="1" applyFill="1" applyBorder="1" applyAlignment="1">
      <alignment horizontal="center"/>
    </xf>
    <xf numFmtId="180" fontId="3" fillId="16" borderId="11" xfId="0" applyNumberFormat="1" applyFont="1" applyFill="1" applyBorder="1" applyAlignment="1">
      <alignment horizontal="center"/>
    </xf>
    <xf numFmtId="180" fontId="3" fillId="16" borderId="13" xfId="0" applyNumberFormat="1" applyFont="1" applyFill="1" applyBorder="1" applyAlignment="1">
      <alignment horizontal="center"/>
    </xf>
    <xf numFmtId="180" fontId="3" fillId="16" borderId="40" xfId="0" applyNumberFormat="1" applyFont="1" applyFill="1" applyBorder="1" applyAlignment="1">
      <alignment horizontal="center"/>
    </xf>
    <xf numFmtId="180" fontId="3" fillId="16" borderId="23" xfId="0" applyNumberFormat="1" applyFont="1" applyFill="1" applyBorder="1" applyAlignment="1">
      <alignment horizontal="center"/>
    </xf>
    <xf numFmtId="180" fontId="3" fillId="16" borderId="36" xfId="0" applyNumberFormat="1" applyFont="1" applyFill="1" applyBorder="1" applyAlignment="1">
      <alignment horizontal="center"/>
    </xf>
    <xf numFmtId="180" fontId="3" fillId="16" borderId="38" xfId="0" applyNumberFormat="1" applyFont="1" applyFill="1" applyBorder="1" applyAlignment="1">
      <alignment horizontal="center"/>
    </xf>
    <xf numFmtId="180" fontId="3" fillId="16" borderId="48" xfId="0" applyNumberFormat="1" applyFont="1" applyFill="1" applyBorder="1" applyAlignment="1">
      <alignment horizontal="center"/>
    </xf>
    <xf numFmtId="180" fontId="3" fillId="16" borderId="49" xfId="0" applyNumberFormat="1" applyFont="1" applyFill="1" applyBorder="1" applyAlignment="1">
      <alignment horizontal="center"/>
    </xf>
    <xf numFmtId="49" fontId="4" fillId="4" borderId="45" xfId="0" applyNumberFormat="1" applyFont="1" applyFill="1" applyBorder="1" applyAlignment="1">
      <alignment vertical="top"/>
    </xf>
    <xf numFmtId="49" fontId="4" fillId="4" borderId="28" xfId="0" applyNumberFormat="1" applyFont="1" applyFill="1" applyBorder="1" applyAlignment="1">
      <alignment vertical="top"/>
    </xf>
    <xf numFmtId="49" fontId="4" fillId="4" borderId="28" xfId="0" applyNumberFormat="1" applyFont="1" applyFill="1" applyBorder="1" applyAlignment="1">
      <alignment horizontal="center" vertical="top"/>
    </xf>
    <xf numFmtId="180" fontId="3" fillId="16" borderId="70" xfId="0" applyNumberFormat="1" applyFont="1" applyFill="1" applyBorder="1" applyAlignment="1">
      <alignment horizontal="center" vertical="top"/>
    </xf>
    <xf numFmtId="180" fontId="3" fillId="16" borderId="43" xfId="0" applyNumberFormat="1" applyFont="1" applyFill="1" applyBorder="1" applyAlignment="1">
      <alignment horizontal="center" vertical="top"/>
    </xf>
    <xf numFmtId="180" fontId="3" fillId="16" borderId="64" xfId="0" applyNumberFormat="1" applyFont="1" applyFill="1" applyBorder="1" applyAlignment="1">
      <alignment horizontal="center" vertical="top"/>
    </xf>
    <xf numFmtId="0" fontId="4" fillId="16" borderId="58" xfId="0" applyFont="1" applyFill="1" applyBorder="1" applyAlignment="1">
      <alignment horizontal="center" vertical="top" wrapText="1"/>
    </xf>
    <xf numFmtId="180" fontId="4" fillId="16" borderId="81" xfId="0" applyNumberFormat="1" applyFont="1" applyFill="1" applyBorder="1" applyAlignment="1">
      <alignment horizontal="center" vertical="top"/>
    </xf>
    <xf numFmtId="180" fontId="4" fillId="16" borderId="80" xfId="0" applyNumberFormat="1" applyFont="1" applyFill="1" applyBorder="1" applyAlignment="1">
      <alignment horizontal="center" vertical="top"/>
    </xf>
    <xf numFmtId="180" fontId="4" fillId="16" borderId="88" xfId="0" applyNumberFormat="1" applyFont="1" applyFill="1" applyBorder="1" applyAlignment="1">
      <alignment horizontal="center" vertical="top"/>
    </xf>
    <xf numFmtId="180" fontId="4" fillId="16" borderId="83" xfId="0" applyNumberFormat="1" applyFont="1" applyFill="1" applyBorder="1" applyAlignment="1">
      <alignment horizontal="center" vertical="top"/>
    </xf>
    <xf numFmtId="180" fontId="4" fillId="16" borderId="85" xfId="0" applyNumberFormat="1" applyFont="1" applyFill="1" applyBorder="1" applyAlignment="1">
      <alignment horizontal="center" vertical="top"/>
    </xf>
    <xf numFmtId="180" fontId="4" fillId="16" borderId="83" xfId="0" applyNumberFormat="1" applyFont="1" applyFill="1" applyBorder="1" applyAlignment="1">
      <alignment horizontal="center" vertical="top"/>
    </xf>
    <xf numFmtId="180" fontId="4" fillId="16" borderId="58" xfId="0" applyNumberFormat="1" applyFont="1" applyFill="1" applyBorder="1" applyAlignment="1">
      <alignment horizontal="center" vertical="top"/>
    </xf>
    <xf numFmtId="0" fontId="3" fillId="0" borderId="51" xfId="0" applyFont="1" applyBorder="1" applyAlignment="1">
      <alignment horizontal="center" vertical="top"/>
    </xf>
    <xf numFmtId="180" fontId="3" fillId="0" borderId="25" xfId="0" applyNumberFormat="1" applyFont="1" applyFill="1" applyBorder="1" applyAlignment="1">
      <alignment horizontal="center" vertical="top"/>
    </xf>
    <xf numFmtId="180" fontId="3" fillId="0" borderId="57" xfId="0" applyNumberFormat="1" applyFont="1" applyFill="1" applyBorder="1" applyAlignment="1">
      <alignment horizontal="center" vertical="top"/>
    </xf>
    <xf numFmtId="180" fontId="3" fillId="0" borderId="60" xfId="0" applyNumberFormat="1" applyFont="1" applyFill="1" applyBorder="1" applyAlignment="1">
      <alignment horizontal="center" vertical="top"/>
    </xf>
    <xf numFmtId="180" fontId="3" fillId="0" borderId="92" xfId="0" applyNumberFormat="1" applyFont="1" applyFill="1" applyBorder="1" applyAlignment="1">
      <alignment horizontal="center" vertical="top"/>
    </xf>
    <xf numFmtId="180" fontId="3" fillId="16" borderId="25" xfId="0" applyNumberFormat="1" applyFont="1" applyFill="1" applyBorder="1" applyAlignment="1">
      <alignment horizontal="center" vertical="top"/>
    </xf>
    <xf numFmtId="180" fontId="3" fillId="16" borderId="57" xfId="0" applyNumberFormat="1" applyFont="1" applyFill="1" applyBorder="1" applyAlignment="1">
      <alignment horizontal="center" vertical="top"/>
    </xf>
    <xf numFmtId="180" fontId="3" fillId="16" borderId="60" xfId="0" applyNumberFormat="1" applyFont="1" applyFill="1" applyBorder="1" applyAlignment="1">
      <alignment horizontal="center" vertical="top"/>
    </xf>
    <xf numFmtId="180" fontId="3" fillId="16" borderId="92" xfId="0" applyNumberFormat="1" applyFont="1" applyFill="1" applyBorder="1" applyAlignment="1">
      <alignment horizontal="center" vertical="top"/>
    </xf>
    <xf numFmtId="180" fontId="3" fillId="0" borderId="51" xfId="0" applyNumberFormat="1" applyFont="1" applyBorder="1" applyAlignment="1">
      <alignment horizontal="center" vertical="top"/>
    </xf>
    <xf numFmtId="180" fontId="3" fillId="0" borderId="51" xfId="0" applyNumberFormat="1" applyFont="1" applyBorder="1" applyAlignment="1">
      <alignment horizontal="center" vertical="top"/>
    </xf>
    <xf numFmtId="0" fontId="4" fillId="0" borderId="51" xfId="0" applyFont="1" applyFill="1" applyBorder="1" applyAlignment="1">
      <alignment horizontal="left" vertical="top" wrapText="1"/>
    </xf>
    <xf numFmtId="49" fontId="4" fillId="8" borderId="47" xfId="0" applyNumberFormat="1" applyFont="1" applyFill="1" applyBorder="1" applyAlignment="1">
      <alignment vertical="top"/>
    </xf>
    <xf numFmtId="49" fontId="4" fillId="8" borderId="27" xfId="0" applyNumberFormat="1" applyFont="1" applyFill="1" applyBorder="1" applyAlignment="1">
      <alignment vertical="top"/>
    </xf>
    <xf numFmtId="49" fontId="4" fillId="8" borderId="27" xfId="0" applyNumberFormat="1" applyFont="1" applyFill="1" applyBorder="1" applyAlignment="1">
      <alignment horizontal="center" vertical="top"/>
    </xf>
    <xf numFmtId="49" fontId="4" fillId="0" borderId="44" xfId="0" applyNumberFormat="1" applyFont="1" applyBorder="1" applyAlignment="1">
      <alignment horizontal="center" vertical="top"/>
    </xf>
    <xf numFmtId="49" fontId="4" fillId="4" borderId="75" xfId="0" applyNumberFormat="1" applyFont="1" applyFill="1" applyBorder="1" applyAlignment="1">
      <alignment horizontal="center" vertical="top"/>
    </xf>
    <xf numFmtId="0" fontId="3" fillId="0" borderId="81" xfId="0" applyFont="1" applyFill="1" applyBorder="1" applyAlignment="1">
      <alignment horizontal="center" vertical="top" wrapText="1"/>
    </xf>
    <xf numFmtId="0" fontId="4" fillId="25" borderId="47" xfId="0" applyFont="1" applyFill="1" applyBorder="1" applyAlignment="1">
      <alignment vertical="top" wrapText="1"/>
    </xf>
    <xf numFmtId="49" fontId="3" fillId="0" borderId="43" xfId="0" applyNumberFormat="1" applyFont="1" applyBorder="1" applyAlignment="1">
      <alignment horizontal="center" vertical="top" wrapText="1"/>
    </xf>
    <xf numFmtId="180" fontId="3" fillId="16" borderId="15" xfId="0" applyNumberFormat="1" applyFont="1" applyFill="1" applyBorder="1" applyAlignment="1">
      <alignment horizontal="center" vertical="top"/>
    </xf>
    <xf numFmtId="180" fontId="3" fillId="16" borderId="10" xfId="0" applyNumberFormat="1" applyFont="1" applyFill="1" applyBorder="1" applyAlignment="1">
      <alignment horizontal="center" vertical="top"/>
    </xf>
    <xf numFmtId="180" fontId="3" fillId="16" borderId="16" xfId="0" applyNumberFormat="1" applyFont="1" applyFill="1" applyBorder="1" applyAlignment="1">
      <alignment horizontal="center" vertical="top"/>
    </xf>
    <xf numFmtId="0" fontId="4" fillId="0" borderId="70" xfId="0" applyFont="1" applyFill="1" applyBorder="1" applyAlignment="1">
      <alignment horizontal="center" vertical="top" wrapText="1"/>
    </xf>
    <xf numFmtId="49" fontId="3" fillId="24" borderId="47" xfId="0" applyNumberFormat="1" applyFont="1" applyFill="1" applyBorder="1" applyAlignment="1">
      <alignment horizontal="center" vertical="top" wrapText="1"/>
    </xf>
    <xf numFmtId="180" fontId="3" fillId="0" borderId="86" xfId="0" applyNumberFormat="1" applyFont="1" applyFill="1" applyBorder="1" applyAlignment="1">
      <alignment horizontal="center" vertical="top"/>
    </xf>
    <xf numFmtId="180" fontId="3" fillId="0" borderId="68" xfId="0" applyNumberFormat="1" applyFont="1" applyFill="1" applyBorder="1" applyAlignment="1">
      <alignment horizontal="center" vertical="top"/>
    </xf>
    <xf numFmtId="180" fontId="3" fillId="16" borderId="86" xfId="0" applyNumberFormat="1" applyFont="1" applyFill="1" applyBorder="1" applyAlignment="1">
      <alignment horizontal="center" vertical="top"/>
    </xf>
    <xf numFmtId="180" fontId="3" fillId="16" borderId="68" xfId="0" applyNumberFormat="1" applyFont="1" applyFill="1" applyBorder="1" applyAlignment="1">
      <alignment horizontal="center" vertical="top"/>
    </xf>
    <xf numFmtId="0" fontId="4" fillId="0" borderId="41" xfId="0" applyFont="1" applyFill="1" applyBorder="1" applyAlignment="1">
      <alignment horizontal="center" vertical="top" wrapText="1"/>
    </xf>
    <xf numFmtId="180" fontId="3" fillId="16" borderId="66" xfId="0" applyNumberFormat="1" applyFont="1" applyFill="1" applyBorder="1" applyAlignment="1">
      <alignment horizontal="center" vertical="top"/>
    </xf>
    <xf numFmtId="180" fontId="3" fillId="16" borderId="17" xfId="0" applyNumberFormat="1" applyFont="1" applyFill="1" applyBorder="1" applyAlignment="1">
      <alignment horizontal="center" vertical="top"/>
    </xf>
    <xf numFmtId="180" fontId="3" fillId="16" borderId="71" xfId="0" applyNumberFormat="1" applyFont="1" applyFill="1" applyBorder="1" applyAlignment="1">
      <alignment horizontal="center" vertical="top"/>
    </xf>
    <xf numFmtId="180" fontId="3" fillId="0" borderId="87" xfId="0" applyNumberFormat="1" applyFont="1" applyFill="1" applyBorder="1" applyAlignment="1">
      <alignment horizontal="center" vertical="top"/>
    </xf>
    <xf numFmtId="180" fontId="3" fillId="0" borderId="63" xfId="0" applyNumberFormat="1" applyFont="1" applyFill="1" applyBorder="1" applyAlignment="1">
      <alignment horizontal="center" vertical="top"/>
    </xf>
    <xf numFmtId="180" fontId="3" fillId="24" borderId="20" xfId="0" applyNumberFormat="1" applyFont="1" applyFill="1" applyBorder="1" applyAlignment="1">
      <alignment horizontal="center" vertical="top"/>
    </xf>
    <xf numFmtId="180" fontId="3" fillId="24" borderId="63" xfId="0" applyNumberFormat="1" applyFont="1" applyFill="1" applyBorder="1" applyAlignment="1">
      <alignment horizontal="center" vertical="top"/>
    </xf>
    <xf numFmtId="180" fontId="3" fillId="24" borderId="11" xfId="0" applyNumberFormat="1" applyFont="1" applyFill="1" applyBorder="1" applyAlignment="1">
      <alignment horizontal="center" vertical="top"/>
    </xf>
    <xf numFmtId="180" fontId="3" fillId="16" borderId="87" xfId="0" applyNumberFormat="1" applyFont="1" applyFill="1" applyBorder="1" applyAlignment="1">
      <alignment horizontal="center" vertical="top"/>
    </xf>
    <xf numFmtId="180" fontId="3" fillId="16" borderId="11" xfId="0" applyNumberFormat="1" applyFont="1" applyFill="1" applyBorder="1" applyAlignment="1">
      <alignment horizontal="center" vertical="top"/>
    </xf>
    <xf numFmtId="180" fontId="3" fillId="16" borderId="63" xfId="0" applyNumberFormat="1" applyFont="1" applyFill="1" applyBorder="1" applyAlignment="1">
      <alignment horizontal="center" vertical="top"/>
    </xf>
    <xf numFmtId="49" fontId="3" fillId="24" borderId="58" xfId="0" applyNumberFormat="1" applyFont="1" applyFill="1" applyBorder="1" applyAlignment="1">
      <alignment horizontal="center" vertical="top" wrapText="1"/>
    </xf>
    <xf numFmtId="0" fontId="4" fillId="16" borderId="50" xfId="0" applyFont="1" applyFill="1" applyBorder="1" applyAlignment="1">
      <alignment horizontal="center" vertical="top" wrapText="1"/>
    </xf>
    <xf numFmtId="180" fontId="4" fillId="16" borderId="55" xfId="0" applyNumberFormat="1" applyFont="1" applyFill="1" applyBorder="1" applyAlignment="1">
      <alignment horizontal="center" vertical="top"/>
    </xf>
    <xf numFmtId="180" fontId="4" fillId="16" borderId="48" xfId="0" applyNumberFormat="1" applyFont="1" applyFill="1" applyBorder="1" applyAlignment="1">
      <alignment horizontal="center" vertical="top"/>
    </xf>
    <xf numFmtId="180" fontId="4" fillId="16" borderId="62" xfId="0" applyNumberFormat="1" applyFont="1" applyFill="1" applyBorder="1" applyAlignment="1">
      <alignment horizontal="center" vertical="top"/>
    </xf>
    <xf numFmtId="180" fontId="4" fillId="16" borderId="39" xfId="0" applyNumberFormat="1" applyFont="1" applyFill="1" applyBorder="1" applyAlignment="1">
      <alignment horizontal="center" vertical="top"/>
    </xf>
    <xf numFmtId="180" fontId="4" fillId="16" borderId="38" xfId="0" applyNumberFormat="1" applyFont="1" applyFill="1" applyBorder="1" applyAlignment="1">
      <alignment horizontal="center" vertical="top"/>
    </xf>
    <xf numFmtId="180" fontId="4" fillId="16" borderId="55" xfId="0" applyNumberFormat="1" applyFont="1" applyFill="1" applyBorder="1" applyAlignment="1">
      <alignment horizontal="center" vertical="top"/>
    </xf>
    <xf numFmtId="180" fontId="4" fillId="16" borderId="48" xfId="0" applyNumberFormat="1" applyFont="1" applyFill="1" applyBorder="1" applyAlignment="1">
      <alignment horizontal="center" vertical="top"/>
    </xf>
    <xf numFmtId="180" fontId="4" fillId="16" borderId="62" xfId="0" applyNumberFormat="1" applyFont="1" applyFill="1" applyBorder="1" applyAlignment="1">
      <alignment horizontal="center" vertical="top"/>
    </xf>
    <xf numFmtId="180" fontId="4" fillId="16" borderId="50" xfId="0" applyNumberFormat="1" applyFont="1" applyFill="1" applyBorder="1" applyAlignment="1">
      <alignment horizontal="center" vertical="top"/>
    </xf>
    <xf numFmtId="180" fontId="3" fillId="16" borderId="18" xfId="0" applyNumberFormat="1" applyFont="1" applyFill="1" applyBorder="1" applyAlignment="1">
      <alignment horizontal="center" vertical="top"/>
    </xf>
    <xf numFmtId="180" fontId="3" fillId="16" borderId="77" xfId="0" applyNumberFormat="1" applyFont="1" applyFill="1" applyBorder="1" applyAlignment="1">
      <alignment horizontal="center" vertical="top"/>
    </xf>
    <xf numFmtId="180" fontId="3" fillId="0" borderId="63" xfId="0" applyNumberFormat="1" applyFont="1" applyFill="1" applyBorder="1" applyAlignment="1">
      <alignment horizontal="center" vertical="top"/>
    </xf>
    <xf numFmtId="180" fontId="3" fillId="0" borderId="65" xfId="0" applyNumberFormat="1" applyFont="1" applyFill="1" applyBorder="1" applyAlignment="1">
      <alignment horizontal="center" vertical="top"/>
    </xf>
    <xf numFmtId="180" fontId="3" fillId="16" borderId="20" xfId="0" applyNumberFormat="1" applyFont="1" applyFill="1" applyBorder="1" applyAlignment="1">
      <alignment horizontal="center" vertical="top"/>
    </xf>
    <xf numFmtId="180" fontId="3" fillId="16" borderId="65" xfId="0" applyNumberFormat="1" applyFont="1" applyFill="1" applyBorder="1" applyAlignment="1">
      <alignment horizontal="center" vertical="top"/>
    </xf>
    <xf numFmtId="0" fontId="4" fillId="16" borderId="50" xfId="0" applyFont="1" applyFill="1" applyBorder="1" applyAlignment="1">
      <alignment horizontal="center" vertical="top" wrapText="1"/>
    </xf>
    <xf numFmtId="180" fontId="4" fillId="16" borderId="38" xfId="0" applyNumberFormat="1" applyFont="1" applyFill="1" applyBorder="1" applyAlignment="1">
      <alignment horizontal="center" vertical="top"/>
    </xf>
    <xf numFmtId="180" fontId="4" fillId="16" borderId="39" xfId="0" applyNumberFormat="1" applyFont="1" applyFill="1" applyBorder="1" applyAlignment="1">
      <alignment horizontal="center" vertical="top"/>
    </xf>
    <xf numFmtId="180" fontId="3" fillId="16" borderId="0" xfId="0" applyNumberFormat="1" applyFont="1" applyFill="1" applyBorder="1" applyAlignment="1">
      <alignment horizontal="center" vertical="top"/>
    </xf>
    <xf numFmtId="180" fontId="3" fillId="16" borderId="31" xfId="0" applyNumberFormat="1" applyFont="1" applyFill="1" applyBorder="1" applyAlignment="1">
      <alignment horizontal="center" vertical="top"/>
    </xf>
    <xf numFmtId="180" fontId="3" fillId="16" borderId="29" xfId="0" applyNumberFormat="1" applyFont="1" applyFill="1" applyBorder="1" applyAlignment="1">
      <alignment horizontal="center" vertical="top"/>
    </xf>
    <xf numFmtId="180" fontId="3" fillId="0" borderId="69" xfId="0" applyNumberFormat="1" applyFont="1" applyFill="1" applyBorder="1" applyAlignment="1">
      <alignment horizontal="center" vertical="top"/>
    </xf>
    <xf numFmtId="180" fontId="3" fillId="0" borderId="76" xfId="0" applyNumberFormat="1" applyFont="1" applyFill="1" applyBorder="1" applyAlignment="1">
      <alignment horizontal="center" vertical="top"/>
    </xf>
    <xf numFmtId="180" fontId="3" fillId="16" borderId="22" xfId="0" applyNumberFormat="1" applyFont="1" applyFill="1" applyBorder="1" applyAlignment="1">
      <alignment horizontal="center" vertical="top"/>
    </xf>
    <xf numFmtId="180" fontId="3" fillId="16" borderId="69" xfId="0" applyNumberFormat="1" applyFont="1" applyFill="1" applyBorder="1" applyAlignment="1">
      <alignment horizontal="center" vertical="top"/>
    </xf>
    <xf numFmtId="180" fontId="3" fillId="16" borderId="23" xfId="0" applyNumberFormat="1" applyFont="1" applyFill="1" applyBorder="1" applyAlignment="1">
      <alignment horizontal="center" vertical="top"/>
    </xf>
    <xf numFmtId="180" fontId="3" fillId="16" borderId="76" xfId="0" applyNumberFormat="1" applyFont="1" applyFill="1" applyBorder="1" applyAlignment="1">
      <alignment horizontal="center" vertical="top"/>
    </xf>
    <xf numFmtId="0" fontId="4" fillId="24" borderId="47" xfId="0" applyFont="1" applyFill="1" applyBorder="1" applyAlignment="1">
      <alignment horizontal="center" vertical="top" wrapText="1"/>
    </xf>
    <xf numFmtId="180" fontId="3" fillId="0" borderId="76" xfId="0" applyNumberFormat="1" applyFont="1" applyFill="1" applyBorder="1" applyAlignment="1">
      <alignment horizontal="center" vertical="top"/>
    </xf>
    <xf numFmtId="180" fontId="3" fillId="0" borderId="69" xfId="0" applyNumberFormat="1" applyFont="1" applyFill="1" applyBorder="1" applyAlignment="1">
      <alignment horizontal="center" vertical="top"/>
    </xf>
    <xf numFmtId="180" fontId="3" fillId="16" borderId="67" xfId="0" applyNumberFormat="1" applyFont="1" applyFill="1" applyBorder="1" applyAlignment="1">
      <alignment horizontal="center" vertical="top"/>
    </xf>
    <xf numFmtId="0" fontId="0" fillId="0" borderId="14" xfId="0" applyFont="1" applyBorder="1" applyAlignment="1">
      <alignment horizontal="center" vertical="top" wrapText="1"/>
    </xf>
    <xf numFmtId="0" fontId="0" fillId="0" borderId="53" xfId="0" applyFont="1" applyBorder="1" applyAlignment="1">
      <alignment horizontal="center" vertical="top" wrapText="1"/>
    </xf>
    <xf numFmtId="0" fontId="4" fillId="0" borderId="27" xfId="0" applyFont="1" applyBorder="1" applyAlignment="1">
      <alignment horizontal="center" vertical="top"/>
    </xf>
    <xf numFmtId="180" fontId="3" fillId="0" borderId="65" xfId="0" applyNumberFormat="1" applyFont="1" applyFill="1" applyBorder="1" applyAlignment="1">
      <alignment horizontal="center" vertical="top"/>
    </xf>
    <xf numFmtId="0" fontId="0" fillId="0" borderId="19" xfId="0" applyFont="1" applyBorder="1" applyAlignment="1">
      <alignment horizontal="center" vertical="top" wrapText="1"/>
    </xf>
    <xf numFmtId="0" fontId="0" fillId="0" borderId="27" xfId="0" applyFont="1" applyBorder="1" applyAlignment="1">
      <alignment vertical="top"/>
    </xf>
    <xf numFmtId="0" fontId="0" fillId="0" borderId="58" xfId="0" applyFont="1" applyBorder="1" applyAlignment="1">
      <alignment vertical="top"/>
    </xf>
    <xf numFmtId="49" fontId="4" fillId="4" borderId="75" xfId="0" applyNumberFormat="1" applyFont="1" applyFill="1" applyBorder="1" applyAlignment="1">
      <alignment horizontal="center" vertical="top"/>
    </xf>
    <xf numFmtId="49" fontId="3" fillId="24" borderId="70" xfId="0" applyNumberFormat="1" applyFont="1" applyFill="1" applyBorder="1" applyAlignment="1">
      <alignment horizontal="center" vertical="top" wrapText="1"/>
    </xf>
    <xf numFmtId="0" fontId="4" fillId="24" borderId="47" xfId="0" applyNumberFormat="1" applyFont="1" applyFill="1" applyBorder="1" applyAlignment="1">
      <alignment horizontal="center" vertical="top"/>
    </xf>
    <xf numFmtId="0" fontId="3" fillId="0" borderId="68" xfId="0" applyFont="1" applyFill="1" applyBorder="1" applyAlignment="1">
      <alignment horizontal="center" vertical="top" wrapText="1"/>
    </xf>
    <xf numFmtId="180" fontId="3" fillId="0" borderId="86" xfId="0" applyNumberFormat="1" applyFont="1" applyFill="1" applyBorder="1" applyAlignment="1">
      <alignment horizontal="center" vertical="top"/>
    </xf>
    <xf numFmtId="180" fontId="3" fillId="0" borderId="68" xfId="0" applyNumberFormat="1" applyFont="1" applyFill="1" applyBorder="1" applyAlignment="1">
      <alignment horizontal="center" vertical="top"/>
    </xf>
    <xf numFmtId="0" fontId="3" fillId="0" borderId="14" xfId="0" applyFont="1" applyFill="1" applyBorder="1" applyAlignment="1">
      <alignment horizontal="center" vertical="top" wrapText="1"/>
    </xf>
    <xf numFmtId="0" fontId="3" fillId="0" borderId="26" xfId="0" applyFont="1" applyFill="1" applyBorder="1" applyAlignment="1">
      <alignment horizontal="center" vertical="top" wrapText="1"/>
    </xf>
    <xf numFmtId="49" fontId="3" fillId="24" borderId="41" xfId="0" applyNumberFormat="1" applyFont="1" applyFill="1" applyBorder="1" applyAlignment="1">
      <alignment horizontal="center" vertical="top" wrapText="1"/>
    </xf>
    <xf numFmtId="0" fontId="3" fillId="0" borderId="63" xfId="0" applyFont="1" applyBorder="1" applyAlignment="1">
      <alignment horizontal="center" vertical="top"/>
    </xf>
    <xf numFmtId="180" fontId="3" fillId="0" borderId="87" xfId="0" applyNumberFormat="1" applyFont="1" applyFill="1" applyBorder="1" applyAlignment="1">
      <alignment horizontal="center" vertical="top"/>
    </xf>
    <xf numFmtId="0" fontId="0" fillId="0" borderId="65" xfId="0" applyFont="1" applyBorder="1" applyAlignment="1">
      <alignment horizontal="center" vertical="top" wrapText="1"/>
    </xf>
    <xf numFmtId="0" fontId="3" fillId="0" borderId="69" xfId="0" applyFont="1" applyFill="1" applyBorder="1" applyAlignment="1">
      <alignment horizontal="center" vertical="top" wrapText="1"/>
    </xf>
    <xf numFmtId="0" fontId="0" fillId="0" borderId="21" xfId="0" applyFont="1" applyBorder="1" applyAlignment="1">
      <alignment horizontal="center" vertical="top" wrapText="1"/>
    </xf>
    <xf numFmtId="0" fontId="0" fillId="0" borderId="76" xfId="0" applyFont="1" applyBorder="1" applyAlignment="1">
      <alignment horizontal="center" vertical="top" wrapText="1"/>
    </xf>
    <xf numFmtId="49" fontId="3" fillId="24" borderId="81" xfId="0" applyNumberFormat="1" applyFont="1" applyFill="1" applyBorder="1" applyAlignment="1">
      <alignment horizontal="center" vertical="top" wrapText="1"/>
    </xf>
    <xf numFmtId="0" fontId="4" fillId="24" borderId="58" xfId="0" applyNumberFormat="1" applyFont="1" applyFill="1" applyBorder="1" applyAlignment="1">
      <alignment horizontal="center" vertical="top"/>
    </xf>
    <xf numFmtId="0" fontId="4" fillId="16" borderId="62" xfId="0" applyFont="1" applyFill="1" applyBorder="1" applyAlignment="1">
      <alignment horizontal="center" vertical="top" wrapText="1"/>
    </xf>
    <xf numFmtId="180" fontId="4" fillId="16" borderId="52" xfId="0" applyNumberFormat="1" applyFont="1" applyFill="1" applyBorder="1" applyAlignment="1">
      <alignment horizontal="center" vertical="top"/>
    </xf>
    <xf numFmtId="0" fontId="4" fillId="24" borderId="47" xfId="0" applyNumberFormat="1" applyFont="1" applyFill="1" applyBorder="1" applyAlignment="1">
      <alignment horizontal="center" vertical="top"/>
    </xf>
    <xf numFmtId="180" fontId="3" fillId="0" borderId="26" xfId="0" applyNumberFormat="1" applyFont="1" applyFill="1" applyBorder="1" applyAlignment="1">
      <alignment horizontal="center" vertical="top"/>
    </xf>
    <xf numFmtId="180" fontId="3" fillId="16" borderId="26" xfId="0" applyNumberFormat="1" applyFont="1" applyFill="1" applyBorder="1" applyAlignment="1">
      <alignment horizontal="center" vertical="top"/>
    </xf>
    <xf numFmtId="0" fontId="3" fillId="0" borderId="19" xfId="0" applyFont="1" applyFill="1" applyBorder="1" applyAlignment="1">
      <alignment horizontal="center" vertical="top" wrapText="1"/>
    </xf>
    <xf numFmtId="180" fontId="3" fillId="0" borderId="63" xfId="0" applyNumberFormat="1" applyFont="1" applyFill="1" applyBorder="1" applyAlignment="1">
      <alignment vertical="top"/>
    </xf>
    <xf numFmtId="0" fontId="3" fillId="0" borderId="64" xfId="0" applyFont="1" applyBorder="1" applyAlignment="1">
      <alignment horizontal="center" vertical="top"/>
    </xf>
    <xf numFmtId="180" fontId="3" fillId="0" borderId="26" xfId="0" applyNumberFormat="1" applyFont="1" applyFill="1" applyBorder="1" applyAlignment="1">
      <alignment horizontal="center" vertical="top"/>
    </xf>
    <xf numFmtId="180" fontId="3" fillId="0" borderId="26" xfId="0" applyNumberFormat="1" applyFont="1" applyBorder="1" applyAlignment="1">
      <alignment horizontal="center" vertical="top"/>
    </xf>
    <xf numFmtId="180" fontId="3" fillId="0" borderId="65" xfId="0" applyNumberFormat="1" applyFont="1" applyBorder="1" applyAlignment="1">
      <alignment horizontal="center" vertical="top"/>
    </xf>
    <xf numFmtId="0" fontId="4" fillId="24" borderId="47" xfId="0" applyFont="1" applyFill="1" applyBorder="1" applyAlignment="1">
      <alignment horizontal="center" vertical="top" wrapText="1"/>
    </xf>
    <xf numFmtId="49" fontId="4" fillId="4" borderId="88" xfId="0" applyNumberFormat="1" applyFont="1" applyFill="1" applyBorder="1" applyAlignment="1">
      <alignment horizontal="center" vertical="top"/>
    </xf>
    <xf numFmtId="0" fontId="4" fillId="24" borderId="58" xfId="0" applyNumberFormat="1" applyFont="1" applyFill="1" applyBorder="1" applyAlignment="1">
      <alignment horizontal="center" vertical="top"/>
    </xf>
    <xf numFmtId="0" fontId="4" fillId="16" borderId="52" xfId="0" applyFont="1" applyFill="1" applyBorder="1" applyAlignment="1">
      <alignment horizontal="center" vertical="top" wrapText="1"/>
    </xf>
    <xf numFmtId="49" fontId="4" fillId="4" borderId="83" xfId="0" applyNumberFormat="1" applyFont="1" applyFill="1" applyBorder="1" applyAlignment="1">
      <alignment horizontal="center" vertical="top"/>
    </xf>
    <xf numFmtId="49" fontId="4" fillId="4" borderId="79" xfId="0" applyNumberFormat="1" applyFont="1" applyFill="1" applyBorder="1" applyAlignment="1">
      <alignment horizontal="center" vertical="top"/>
    </xf>
    <xf numFmtId="0" fontId="3" fillId="4" borderId="58" xfId="0" applyFont="1" applyFill="1" applyBorder="1" applyAlignment="1">
      <alignment vertical="top" wrapText="1"/>
    </xf>
    <xf numFmtId="0" fontId="4" fillId="4" borderId="81" xfId="0" applyFont="1" applyFill="1" applyBorder="1" applyAlignment="1">
      <alignment horizontal="center" vertical="center" textRotation="90" wrapText="1"/>
    </xf>
    <xf numFmtId="49" fontId="3" fillId="4" borderId="80" xfId="0" applyNumberFormat="1" applyFont="1" applyFill="1" applyBorder="1" applyAlignment="1">
      <alignment horizontal="center" vertical="top" wrapText="1"/>
    </xf>
    <xf numFmtId="0" fontId="4" fillId="4" borderId="85" xfId="0" applyNumberFormat="1" applyFont="1" applyFill="1" applyBorder="1" applyAlignment="1">
      <alignment horizontal="center" vertical="top"/>
    </xf>
    <xf numFmtId="0" fontId="4" fillId="4" borderId="51" xfId="0" applyFont="1" applyFill="1" applyBorder="1" applyAlignment="1">
      <alignment horizontal="center" vertical="top" wrapText="1"/>
    </xf>
    <xf numFmtId="180" fontId="4" fillId="4" borderId="57" xfId="0" applyNumberFormat="1" applyFont="1" applyFill="1" applyBorder="1" applyAlignment="1">
      <alignment horizontal="center" vertical="top"/>
    </xf>
    <xf numFmtId="180" fontId="4" fillId="4" borderId="59" xfId="0" applyNumberFormat="1" applyFont="1" applyFill="1" applyBorder="1" applyAlignment="1">
      <alignment horizontal="center" vertical="top"/>
    </xf>
    <xf numFmtId="180" fontId="3" fillId="0" borderId="33" xfId="0" applyNumberFormat="1" applyFont="1" applyBorder="1" applyAlignment="1">
      <alignment horizontal="center"/>
    </xf>
    <xf numFmtId="180" fontId="3" fillId="0" borderId="12" xfId="0" applyNumberFormat="1" applyFont="1" applyBorder="1" applyAlignment="1">
      <alignment horizontal="center"/>
    </xf>
    <xf numFmtId="180" fontId="3" fillId="0" borderId="40" xfId="0" applyNumberFormat="1" applyFont="1" applyBorder="1" applyAlignment="1">
      <alignment horizontal="center"/>
    </xf>
    <xf numFmtId="180" fontId="3" fillId="0" borderId="38" xfId="0" applyNumberFormat="1" applyFont="1" applyBorder="1" applyAlignment="1">
      <alignment horizontal="center"/>
    </xf>
    <xf numFmtId="0" fontId="4" fillId="24" borderId="27" xfId="0" applyFont="1" applyFill="1" applyBorder="1" applyAlignment="1">
      <alignment horizontal="center" vertical="top" wrapText="1"/>
    </xf>
    <xf numFmtId="180" fontId="3" fillId="0" borderId="29" xfId="0" applyNumberFormat="1" applyFont="1" applyFill="1" applyBorder="1" applyAlignment="1">
      <alignment horizontal="center" vertical="top"/>
    </xf>
    <xf numFmtId="180" fontId="3" fillId="16" borderId="41" xfId="0" applyNumberFormat="1" applyFont="1" applyFill="1" applyBorder="1" applyAlignment="1">
      <alignment horizontal="center" vertical="top"/>
    </xf>
    <xf numFmtId="180" fontId="25" fillId="16" borderId="29" xfId="0" applyNumberFormat="1" applyFont="1" applyFill="1" applyBorder="1" applyAlignment="1">
      <alignment horizontal="center" vertical="top"/>
    </xf>
    <xf numFmtId="180" fontId="25" fillId="16" borderId="28" xfId="0" applyNumberFormat="1" applyFont="1" applyFill="1" applyBorder="1" applyAlignment="1">
      <alignment horizontal="center" vertical="top"/>
    </xf>
    <xf numFmtId="180" fontId="25" fillId="16" borderId="20" xfId="0" applyNumberFormat="1" applyFont="1" applyFill="1" applyBorder="1" applyAlignment="1">
      <alignment horizontal="center" vertical="top"/>
    </xf>
    <xf numFmtId="180" fontId="25" fillId="16" borderId="65" xfId="0" applyNumberFormat="1" applyFont="1" applyFill="1" applyBorder="1" applyAlignment="1">
      <alignment horizontal="center" vertical="top"/>
    </xf>
    <xf numFmtId="180" fontId="25" fillId="0" borderId="53" xfId="0" applyNumberFormat="1" applyFont="1" applyBorder="1" applyAlignment="1">
      <alignment horizontal="center" vertical="top"/>
    </xf>
    <xf numFmtId="0" fontId="25" fillId="0" borderId="31" xfId="51" applyFont="1" applyFill="1" applyBorder="1" applyAlignment="1">
      <alignment horizontal="center" vertical="center"/>
      <protection/>
    </xf>
    <xf numFmtId="180" fontId="0" fillId="0" borderId="53" xfId="0" applyNumberFormat="1" applyFont="1" applyBorder="1" applyAlignment="1">
      <alignment horizontal="center" vertical="top" wrapText="1"/>
    </xf>
    <xf numFmtId="180" fontId="0" fillId="0" borderId="19" xfId="0" applyNumberFormat="1" applyFont="1" applyBorder="1" applyAlignment="1">
      <alignment horizontal="center" vertical="top" wrapText="1"/>
    </xf>
    <xf numFmtId="180" fontId="43" fillId="0" borderId="19" xfId="0" applyNumberFormat="1" applyFont="1" applyBorder="1" applyAlignment="1">
      <alignment horizontal="center" vertical="top" wrapText="1"/>
    </xf>
    <xf numFmtId="180" fontId="25" fillId="16" borderId="15" xfId="0" applyNumberFormat="1" applyFont="1" applyFill="1" applyBorder="1" applyAlignment="1">
      <alignment horizontal="center" vertical="top"/>
    </xf>
    <xf numFmtId="180" fontId="25" fillId="16" borderId="26" xfId="0" applyNumberFormat="1" applyFont="1" applyFill="1" applyBorder="1" applyAlignment="1">
      <alignment horizontal="center" vertical="top"/>
    </xf>
    <xf numFmtId="186" fontId="25" fillId="0" borderId="86" xfId="0" applyNumberFormat="1" applyFont="1" applyFill="1" applyBorder="1" applyAlignment="1">
      <alignment horizontal="center" vertical="top"/>
    </xf>
    <xf numFmtId="180" fontId="25" fillId="0" borderId="67" xfId="0" applyNumberFormat="1" applyFont="1" applyFill="1" applyBorder="1" applyAlignment="1">
      <alignment horizontal="center" vertical="top"/>
    </xf>
    <xf numFmtId="186" fontId="25" fillId="0" borderId="87" xfId="0" applyNumberFormat="1" applyFont="1" applyFill="1" applyBorder="1" applyAlignment="1">
      <alignment horizontal="center" vertical="top"/>
    </xf>
    <xf numFmtId="0" fontId="25" fillId="24" borderId="31" xfId="0" applyFont="1" applyFill="1" applyBorder="1" applyAlignment="1">
      <alignment/>
    </xf>
    <xf numFmtId="49" fontId="2" fillId="0" borderId="64" xfId="0" applyNumberFormat="1" applyFont="1" applyFill="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wrapText="1"/>
    </xf>
    <xf numFmtId="0" fontId="3" fillId="0" borderId="0" xfId="0" applyFont="1" applyBorder="1" applyAlignment="1">
      <alignment horizontal="center" vertical="top" wrapText="1"/>
    </xf>
    <xf numFmtId="0" fontId="4" fillId="0" borderId="85" xfId="0" applyFont="1" applyBorder="1" applyAlignment="1">
      <alignment horizontal="right" vertical="top" wrapText="1"/>
    </xf>
    <xf numFmtId="0" fontId="3" fillId="0" borderId="15"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24" borderId="87" xfId="0" applyFont="1" applyFill="1" applyBorder="1" applyAlignment="1">
      <alignment horizontal="left" vertical="top" wrapText="1"/>
    </xf>
    <xf numFmtId="0" fontId="3" fillId="24" borderId="63" xfId="0" applyFont="1" applyFill="1" applyBorder="1" applyAlignment="1">
      <alignment horizontal="left" vertical="top" wrapText="1"/>
    </xf>
    <xf numFmtId="0" fontId="3" fillId="24" borderId="65" xfId="0" applyFont="1" applyFill="1" applyBorder="1" applyAlignment="1">
      <alignment horizontal="left" vertical="top" wrapText="1"/>
    </xf>
    <xf numFmtId="49" fontId="4" fillId="8" borderId="70" xfId="0" applyNumberFormat="1" applyFont="1" applyFill="1" applyBorder="1" applyAlignment="1">
      <alignment horizontal="center" vertical="top"/>
    </xf>
    <xf numFmtId="49" fontId="4" fillId="8" borderId="81" xfId="0" applyNumberFormat="1" applyFont="1" applyFill="1" applyBorder="1" applyAlignment="1">
      <alignment horizontal="center" vertical="top"/>
    </xf>
    <xf numFmtId="49" fontId="4" fillId="8" borderId="45" xfId="0" applyNumberFormat="1" applyFont="1" applyFill="1" applyBorder="1" applyAlignment="1">
      <alignment horizontal="center" vertical="top"/>
    </xf>
    <xf numFmtId="49" fontId="4" fillId="8" borderId="83" xfId="0" applyNumberFormat="1" applyFont="1" applyFill="1" applyBorder="1" applyAlignment="1">
      <alignment horizontal="center" vertical="top"/>
    </xf>
    <xf numFmtId="0" fontId="4" fillId="0" borderId="0" xfId="0" applyFont="1" applyAlignment="1">
      <alignment horizontal="right" vertical="top"/>
    </xf>
    <xf numFmtId="49" fontId="4" fillId="4" borderId="92" xfId="0" applyNumberFormat="1" applyFont="1" applyFill="1" applyBorder="1" applyAlignment="1">
      <alignment horizontal="left" vertical="top" wrapText="1"/>
    </xf>
    <xf numFmtId="0" fontId="4" fillId="0" borderId="70" xfId="0" applyFont="1" applyFill="1" applyBorder="1" applyAlignment="1">
      <alignment horizontal="center" vertical="center" textRotation="90" wrapText="1"/>
    </xf>
    <xf numFmtId="0" fontId="4" fillId="0" borderId="81" xfId="0" applyFont="1" applyFill="1" applyBorder="1" applyAlignment="1">
      <alignment horizontal="center" vertical="center" textRotation="90" wrapText="1"/>
    </xf>
    <xf numFmtId="49" fontId="4" fillId="4" borderId="73" xfId="0" applyNumberFormat="1" applyFont="1" applyFill="1" applyBorder="1" applyAlignment="1">
      <alignment horizontal="center" vertical="top"/>
    </xf>
    <xf numFmtId="49" fontId="4" fillId="4" borderId="75" xfId="0" applyNumberFormat="1" applyFont="1" applyFill="1" applyBorder="1" applyAlignment="1">
      <alignment horizontal="center" vertical="top"/>
    </xf>
    <xf numFmtId="49" fontId="4" fillId="4" borderId="38" xfId="0" applyNumberFormat="1" applyFont="1" applyFill="1" applyBorder="1" applyAlignment="1">
      <alignment horizontal="center" vertical="top"/>
    </xf>
    <xf numFmtId="49" fontId="4" fillId="4" borderId="43" xfId="0" applyNumberFormat="1" applyFont="1" applyFill="1" applyBorder="1" applyAlignment="1">
      <alignment horizontal="center" vertical="top"/>
    </xf>
    <xf numFmtId="49" fontId="4" fillId="4" borderId="31" xfId="0" applyNumberFormat="1" applyFont="1" applyFill="1" applyBorder="1" applyAlignment="1">
      <alignment horizontal="center" vertical="top"/>
    </xf>
    <xf numFmtId="49" fontId="4" fillId="4" borderId="80" xfId="0" applyNumberFormat="1" applyFont="1" applyFill="1" applyBorder="1" applyAlignment="1">
      <alignment horizontal="center" vertical="top"/>
    </xf>
    <xf numFmtId="0" fontId="4" fillId="0" borderId="70"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47" xfId="0" applyNumberFormat="1" applyFont="1" applyBorder="1" applyAlignment="1">
      <alignment horizontal="center" vertical="top"/>
    </xf>
    <xf numFmtId="0" fontId="4" fillId="0" borderId="58" xfId="0" applyNumberFormat="1" applyFont="1" applyBorder="1" applyAlignment="1">
      <alignment horizontal="center" vertical="top"/>
    </xf>
    <xf numFmtId="49" fontId="4" fillId="0" borderId="64"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4" borderId="84" xfId="0" applyNumberFormat="1" applyFont="1" applyFill="1" applyBorder="1" applyAlignment="1">
      <alignment horizontal="left" vertical="top" wrapText="1"/>
    </xf>
    <xf numFmtId="49" fontId="4" fillId="4" borderId="57" xfId="0" applyNumberFormat="1" applyFont="1" applyFill="1" applyBorder="1" applyAlignment="1">
      <alignment horizontal="left" vertical="top" wrapText="1"/>
    </xf>
    <xf numFmtId="49" fontId="4" fillId="25" borderId="57" xfId="0" applyNumberFormat="1" applyFont="1" applyFill="1" applyBorder="1" applyAlignment="1">
      <alignment horizontal="right" vertical="top"/>
    </xf>
    <xf numFmtId="49" fontId="4" fillId="25" borderId="92" xfId="0" applyNumberFormat="1" applyFont="1" applyFill="1" applyBorder="1" applyAlignment="1">
      <alignment horizontal="right" vertical="top"/>
    </xf>
    <xf numFmtId="49" fontId="3" fillId="0" borderId="47"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0" fontId="0" fillId="0" borderId="92" xfId="0" applyFont="1" applyBorder="1" applyAlignment="1">
      <alignment vertical="top"/>
    </xf>
    <xf numFmtId="0" fontId="3" fillId="0" borderId="64"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85" xfId="0" applyFont="1" applyBorder="1" applyAlignment="1">
      <alignment horizontal="center" vertical="center" textRotation="90" wrapText="1"/>
    </xf>
    <xf numFmtId="0" fontId="3" fillId="0" borderId="11" xfId="0" applyFont="1" applyBorder="1" applyAlignment="1">
      <alignment horizontal="center" vertical="center"/>
    </xf>
    <xf numFmtId="0" fontId="2" fillId="0" borderId="36" xfId="0" applyFont="1" applyFill="1" applyBorder="1" applyAlignment="1">
      <alignment horizontal="center" vertical="center" textRotation="90" wrapText="1"/>
    </xf>
    <xf numFmtId="0" fontId="2" fillId="0" borderId="79" xfId="0" applyFont="1" applyFill="1" applyBorder="1" applyAlignment="1">
      <alignment horizontal="center" vertical="center" textRotation="90" wrapText="1"/>
    </xf>
    <xf numFmtId="49" fontId="4" fillId="3" borderId="42" xfId="0" applyNumberFormat="1" applyFont="1" applyFill="1" applyBorder="1" applyAlignment="1">
      <alignment horizontal="left" vertical="top" wrapText="1"/>
    </xf>
    <xf numFmtId="49" fontId="4" fillId="3" borderId="57" xfId="0" applyNumberFormat="1" applyFont="1" applyFill="1" applyBorder="1" applyAlignment="1">
      <alignment horizontal="left" vertical="top" wrapText="1"/>
    </xf>
    <xf numFmtId="0" fontId="0" fillId="0" borderId="57" xfId="0" applyFont="1" applyBorder="1" applyAlignment="1">
      <alignment vertical="top"/>
    </xf>
    <xf numFmtId="0" fontId="3" fillId="0" borderId="22" xfId="0" applyFont="1" applyBorder="1" applyAlignment="1">
      <alignment horizontal="center" vertical="center" textRotation="90" wrapText="1"/>
    </xf>
    <xf numFmtId="0" fontId="3" fillId="0" borderId="83" xfId="0" applyFont="1" applyBorder="1" applyAlignment="1">
      <alignment horizontal="center" vertical="center" textRotation="90" wrapText="1"/>
    </xf>
    <xf numFmtId="0" fontId="3" fillId="0" borderId="3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8" xfId="0" applyFont="1" applyBorder="1" applyAlignment="1">
      <alignment horizontal="center" vertical="center" textRotation="90" wrapText="1"/>
    </xf>
    <xf numFmtId="49" fontId="4" fillId="0" borderId="44" xfId="0" applyNumberFormat="1" applyFont="1" applyBorder="1" applyAlignment="1">
      <alignment horizontal="center" vertical="top"/>
    </xf>
    <xf numFmtId="49" fontId="4" fillId="0" borderId="37" xfId="0" applyNumberFormat="1" applyFont="1" applyBorder="1" applyAlignment="1">
      <alignment horizontal="center" vertical="top"/>
    </xf>
    <xf numFmtId="0" fontId="4" fillId="0" borderId="47" xfId="0" applyNumberFormat="1" applyFont="1" applyBorder="1" applyAlignment="1">
      <alignment horizontal="center" vertical="top"/>
    </xf>
    <xf numFmtId="0" fontId="4" fillId="0" borderId="27" xfId="0" applyNumberFormat="1" applyFont="1" applyBorder="1" applyAlignment="1">
      <alignment horizontal="center" vertical="top"/>
    </xf>
    <xf numFmtId="49" fontId="3" fillId="0" borderId="14"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2" fillId="0" borderId="0" xfId="0" applyNumberFormat="1" applyFont="1" applyFill="1" applyBorder="1" applyAlignment="1">
      <alignment horizontal="left" vertical="top"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4" fillId="8" borderId="57" xfId="0" applyFont="1" applyFill="1" applyBorder="1" applyAlignment="1">
      <alignment horizontal="left" vertical="center"/>
    </xf>
    <xf numFmtId="0" fontId="4" fillId="8" borderId="92" xfId="0" applyFont="1" applyFill="1" applyBorder="1" applyAlignment="1">
      <alignment horizontal="left" vertical="center"/>
    </xf>
    <xf numFmtId="0" fontId="4" fillId="0" borderId="64" xfId="0" applyFont="1" applyFill="1" applyBorder="1" applyAlignment="1">
      <alignment horizontal="center" vertical="top" textRotation="180" wrapText="1"/>
    </xf>
    <xf numFmtId="0" fontId="4" fillId="0" borderId="0" xfId="0" applyFont="1" applyFill="1" applyBorder="1" applyAlignment="1">
      <alignment horizontal="center" vertical="top" textRotation="180" wrapText="1"/>
    </xf>
    <xf numFmtId="49" fontId="3" fillId="0" borderId="47" xfId="0" applyNumberFormat="1" applyFont="1" applyBorder="1" applyAlignment="1">
      <alignment horizontal="center" vertical="top"/>
    </xf>
    <xf numFmtId="49" fontId="3" fillId="0" borderId="27" xfId="0" applyNumberFormat="1" applyFont="1" applyBorder="1" applyAlignment="1">
      <alignment horizontal="center" vertical="top"/>
    </xf>
    <xf numFmtId="49" fontId="4" fillId="0" borderId="46" xfId="0" applyNumberFormat="1" applyFont="1" applyBorder="1" applyAlignment="1">
      <alignment horizontal="center" vertical="top"/>
    </xf>
    <xf numFmtId="49" fontId="4" fillId="0" borderId="32" xfId="0" applyNumberFormat="1" applyFont="1" applyBorder="1" applyAlignment="1">
      <alignment horizontal="center" vertical="top"/>
    </xf>
    <xf numFmtId="0" fontId="3" fillId="0" borderId="6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7" xfId="0" applyFont="1" applyBorder="1" applyAlignment="1">
      <alignment horizontal="center" vertical="center" textRotation="90" wrapText="1"/>
    </xf>
    <xf numFmtId="180" fontId="3" fillId="0" borderId="65" xfId="0" applyNumberFormat="1" applyFont="1" applyBorder="1" applyAlignment="1">
      <alignment horizontal="center" vertical="top" wrapText="1"/>
    </xf>
    <xf numFmtId="49" fontId="4" fillId="8" borderId="70" xfId="0" applyNumberFormat="1" applyFont="1" applyFill="1" applyBorder="1" applyAlignment="1">
      <alignment horizontal="center" vertical="top"/>
    </xf>
    <xf numFmtId="49" fontId="4" fillId="8" borderId="41" xfId="0" applyNumberFormat="1" applyFont="1" applyFill="1" applyBorder="1" applyAlignment="1">
      <alignment horizontal="center" vertical="top"/>
    </xf>
    <xf numFmtId="49" fontId="4" fillId="0" borderId="44" xfId="0" applyNumberFormat="1" applyFont="1" applyBorder="1" applyAlignment="1">
      <alignment horizontal="center" vertical="top"/>
    </xf>
    <xf numFmtId="49" fontId="4" fillId="0" borderId="37" xfId="0" applyNumberFormat="1" applyFont="1" applyBorder="1" applyAlignment="1">
      <alignment horizontal="center" vertical="top"/>
    </xf>
    <xf numFmtId="49" fontId="4" fillId="0" borderId="82" xfId="0" applyNumberFormat="1" applyFont="1" applyBorder="1" applyAlignment="1">
      <alignment horizontal="center" vertical="top"/>
    </xf>
    <xf numFmtId="49" fontId="4" fillId="4" borderId="60" xfId="0" applyNumberFormat="1" applyFont="1" applyFill="1" applyBorder="1" applyAlignment="1">
      <alignment horizontal="right" vertical="top"/>
    </xf>
    <xf numFmtId="49" fontId="4" fillId="4" borderId="84" xfId="0" applyNumberFormat="1" applyFont="1" applyFill="1" applyBorder="1" applyAlignment="1">
      <alignment horizontal="right" vertical="top"/>
    </xf>
    <xf numFmtId="0" fontId="4" fillId="0" borderId="34" xfId="0" applyNumberFormat="1" applyFont="1" applyBorder="1" applyAlignment="1">
      <alignment horizontal="center" vertical="top"/>
    </xf>
    <xf numFmtId="0" fontId="4" fillId="0" borderId="29" xfId="0" applyNumberFormat="1" applyFont="1" applyBorder="1" applyAlignment="1">
      <alignment horizontal="center" vertical="top"/>
    </xf>
    <xf numFmtId="0" fontId="3" fillId="0" borderId="14" xfId="0" applyFont="1" applyFill="1" applyBorder="1" applyAlignment="1">
      <alignment vertical="top" wrapText="1"/>
    </xf>
    <xf numFmtId="0" fontId="3" fillId="0" borderId="21" xfId="0" applyFont="1" applyFill="1" applyBorder="1" applyAlignment="1">
      <alignment vertical="top" wrapText="1"/>
    </xf>
    <xf numFmtId="49" fontId="4" fillId="8" borderId="86" xfId="0" applyNumberFormat="1" applyFont="1" applyFill="1" applyBorder="1" applyAlignment="1">
      <alignment horizontal="center" vertical="top"/>
    </xf>
    <xf numFmtId="49" fontId="4" fillId="8" borderId="67" xfId="0" applyNumberFormat="1" applyFont="1" applyFill="1" applyBorder="1" applyAlignment="1">
      <alignment horizontal="center" vertical="top"/>
    </xf>
    <xf numFmtId="49" fontId="4" fillId="4" borderId="10" xfId="0" applyNumberFormat="1" applyFont="1" applyFill="1" applyBorder="1" applyAlignment="1">
      <alignment horizontal="center" vertical="top"/>
    </xf>
    <xf numFmtId="49" fontId="4" fillId="4" borderId="23" xfId="0" applyNumberFormat="1" applyFont="1" applyFill="1" applyBorder="1" applyAlignment="1">
      <alignment horizontal="center" vertical="top"/>
    </xf>
    <xf numFmtId="49" fontId="4" fillId="8" borderId="81" xfId="0" applyNumberFormat="1" applyFont="1" applyFill="1" applyBorder="1" applyAlignment="1">
      <alignment horizontal="center" vertical="top"/>
    </xf>
    <xf numFmtId="0" fontId="3" fillId="0" borderId="4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4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80" xfId="0" applyFont="1" applyBorder="1" applyAlignment="1">
      <alignment horizontal="center" vertical="center" textRotation="90" wrapText="1"/>
    </xf>
    <xf numFmtId="0" fontId="4" fillId="4" borderId="57" xfId="0" applyFont="1" applyFill="1" applyBorder="1" applyAlignment="1">
      <alignment horizontal="left" vertical="top" wrapText="1"/>
    </xf>
    <xf numFmtId="0" fontId="4" fillId="4" borderId="92" xfId="0" applyFont="1" applyFill="1" applyBorder="1" applyAlignment="1">
      <alignment horizontal="left" vertical="top" wrapText="1"/>
    </xf>
    <xf numFmtId="49" fontId="4" fillId="0" borderId="70" xfId="0" applyNumberFormat="1" applyFont="1" applyBorder="1" applyAlignment="1">
      <alignment horizontal="center" vertical="top"/>
    </xf>
    <xf numFmtId="49" fontId="4" fillId="0" borderId="41" xfId="0" applyNumberFormat="1" applyFont="1" applyBorder="1" applyAlignment="1">
      <alignment horizontal="center" vertical="top"/>
    </xf>
    <xf numFmtId="49" fontId="4" fillId="0" borderId="81" xfId="0" applyNumberFormat="1" applyFont="1" applyBorder="1" applyAlignment="1">
      <alignment horizontal="center" vertical="top"/>
    </xf>
    <xf numFmtId="49" fontId="4" fillId="0" borderId="46" xfId="0" applyNumberFormat="1" applyFont="1" applyBorder="1" applyAlignment="1">
      <alignment horizontal="center" vertical="top"/>
    </xf>
    <xf numFmtId="49" fontId="4" fillId="0" borderId="32" xfId="0" applyNumberFormat="1" applyFont="1" applyBorder="1" applyAlignment="1">
      <alignment horizontal="center" vertical="top"/>
    </xf>
    <xf numFmtId="49" fontId="4" fillId="0" borderId="79" xfId="0" applyNumberFormat="1" applyFont="1" applyBorder="1" applyAlignment="1">
      <alignment horizontal="center" vertical="top"/>
    </xf>
    <xf numFmtId="49" fontId="3" fillId="0" borderId="47"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0" fontId="10" fillId="25" borderId="42" xfId="0" applyFont="1" applyFill="1" applyBorder="1" applyAlignment="1">
      <alignment horizontal="left" vertical="top"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47" xfId="0" applyNumberFormat="1" applyFont="1" applyBorder="1" applyAlignment="1">
      <alignment horizontal="center" vertical="center" textRotation="90" wrapText="1"/>
    </xf>
    <xf numFmtId="0" fontId="3" fillId="0" borderId="27" xfId="0" applyNumberFormat="1" applyFont="1" applyBorder="1" applyAlignment="1">
      <alignment horizontal="center" vertical="center" textRotation="90" wrapText="1"/>
    </xf>
    <xf numFmtId="0" fontId="3" fillId="0" borderId="58" xfId="0" applyNumberFormat="1" applyFont="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0" borderId="82" xfId="0" applyFont="1" applyFill="1" applyBorder="1" applyAlignment="1">
      <alignment horizontal="center" vertical="center" textRotation="90" wrapText="1"/>
    </xf>
    <xf numFmtId="0" fontId="4" fillId="0" borderId="30" xfId="0" applyFont="1" applyBorder="1" applyAlignment="1">
      <alignment horizontal="center" vertical="center" wrapText="1"/>
    </xf>
    <xf numFmtId="0" fontId="25" fillId="0" borderId="47"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58" xfId="0" applyFont="1" applyFill="1" applyBorder="1" applyAlignment="1">
      <alignment horizontal="left" vertical="top" wrapText="1"/>
    </xf>
    <xf numFmtId="0" fontId="4" fillId="0" borderId="81" xfId="0" applyFont="1" applyFill="1" applyBorder="1" applyAlignment="1">
      <alignment horizontal="center" vertical="top" wrapText="1"/>
    </xf>
    <xf numFmtId="0" fontId="4" fillId="0" borderId="47" xfId="0" applyFont="1" applyFill="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58" xfId="0" applyFont="1" applyFill="1" applyBorder="1" applyAlignment="1">
      <alignment horizontal="center" vertical="center" textRotation="90" wrapText="1"/>
    </xf>
    <xf numFmtId="0" fontId="4" fillId="0" borderId="47"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58" xfId="0" applyFont="1" applyFill="1" applyBorder="1" applyAlignment="1">
      <alignment horizontal="left" vertical="top" wrapText="1"/>
    </xf>
    <xf numFmtId="49" fontId="4" fillId="0" borderId="44" xfId="0" applyNumberFormat="1" applyFont="1" applyFill="1" applyBorder="1" applyAlignment="1">
      <alignment horizontal="center" vertical="top"/>
    </xf>
    <xf numFmtId="49" fontId="4" fillId="0" borderId="82" xfId="0" applyNumberFormat="1" applyFont="1" applyFill="1" applyBorder="1" applyAlignment="1">
      <alignment horizontal="center" vertical="top"/>
    </xf>
    <xf numFmtId="0" fontId="4" fillId="0" borderId="47" xfId="0" applyFont="1" applyFill="1" applyBorder="1" applyAlignment="1">
      <alignment vertical="top" wrapText="1"/>
    </xf>
    <xf numFmtId="0" fontId="0" fillId="0" borderId="27" xfId="0" applyFont="1" applyFill="1" applyBorder="1" applyAlignment="1">
      <alignment vertical="top" wrapText="1"/>
    </xf>
    <xf numFmtId="0" fontId="0" fillId="0" borderId="58" xfId="0" applyFont="1" applyFill="1" applyBorder="1" applyAlignment="1">
      <alignment vertical="top" wrapText="1"/>
    </xf>
    <xf numFmtId="0" fontId="3" fillId="0" borderId="47" xfId="0" applyFont="1" applyFill="1" applyBorder="1" applyAlignment="1">
      <alignment horizontal="left" vertical="top" wrapText="1"/>
    </xf>
    <xf numFmtId="49" fontId="4" fillId="0" borderId="0" xfId="0" applyNumberFormat="1" applyFont="1" applyBorder="1" applyAlignment="1">
      <alignment horizontal="center" vertical="top"/>
    </xf>
    <xf numFmtId="49" fontId="4" fillId="8" borderId="55" xfId="0" applyNumberFormat="1" applyFont="1" applyFill="1" applyBorder="1" applyAlignment="1">
      <alignment horizontal="center" vertical="top"/>
    </xf>
    <xf numFmtId="49" fontId="4" fillId="8" borderId="41" xfId="0" applyNumberFormat="1" applyFont="1" applyFill="1" applyBorder="1" applyAlignment="1">
      <alignment horizontal="center" vertical="top"/>
    </xf>
    <xf numFmtId="49" fontId="4" fillId="8" borderId="15" xfId="0" applyNumberFormat="1" applyFont="1" applyFill="1" applyBorder="1" applyAlignment="1">
      <alignment horizontal="center" vertical="top"/>
    </xf>
    <xf numFmtId="49" fontId="4" fillId="8" borderId="28" xfId="0" applyNumberFormat="1" applyFont="1" applyFill="1" applyBorder="1" applyAlignment="1">
      <alignment horizontal="center" vertical="top"/>
    </xf>
    <xf numFmtId="49" fontId="4" fillId="8" borderId="39" xfId="0" applyNumberFormat="1" applyFont="1" applyFill="1" applyBorder="1" applyAlignment="1">
      <alignment horizontal="center" vertical="top"/>
    </xf>
    <xf numFmtId="49" fontId="4" fillId="0" borderId="72" xfId="0" applyNumberFormat="1" applyFont="1" applyBorder="1" applyAlignment="1">
      <alignment horizontal="center" vertical="top"/>
    </xf>
    <xf numFmtId="49" fontId="4" fillId="0" borderId="54" xfId="0" applyNumberFormat="1" applyFont="1" applyBorder="1" applyAlignment="1">
      <alignment horizontal="center" vertical="top"/>
    </xf>
    <xf numFmtId="0" fontId="4" fillId="8" borderId="84" xfId="0" applyFont="1" applyFill="1" applyBorder="1" applyAlignment="1">
      <alignment horizontal="left" vertical="top" wrapText="1"/>
    </xf>
    <xf numFmtId="0" fontId="4" fillId="8" borderId="57" xfId="0" applyFont="1" applyFill="1" applyBorder="1" applyAlignment="1">
      <alignment horizontal="left" vertical="top" wrapText="1"/>
    </xf>
    <xf numFmtId="0" fontId="4" fillId="8" borderId="92" xfId="0" applyFont="1" applyFill="1" applyBorder="1" applyAlignment="1">
      <alignment horizontal="left" vertical="top" wrapText="1"/>
    </xf>
    <xf numFmtId="49" fontId="4" fillId="0" borderId="16" xfId="0" applyNumberFormat="1" applyFont="1" applyBorder="1" applyAlignment="1">
      <alignment horizontal="center" vertical="top"/>
    </xf>
    <xf numFmtId="0" fontId="3" fillId="0" borderId="68" xfId="0" applyFont="1" applyFill="1" applyBorder="1" applyAlignment="1">
      <alignment vertical="top" wrapText="1"/>
    </xf>
    <xf numFmtId="0" fontId="3" fillId="0" borderId="62" xfId="0" applyFont="1" applyFill="1" applyBorder="1" applyAlignment="1">
      <alignment vertical="top" wrapText="1"/>
    </xf>
    <xf numFmtId="0" fontId="4" fillId="0" borderId="53" xfId="0" applyFont="1" applyFill="1" applyBorder="1" applyAlignment="1">
      <alignment vertical="top" wrapText="1"/>
    </xf>
    <xf numFmtId="0" fontId="4" fillId="0" borderId="27" xfId="0" applyFont="1" applyFill="1" applyBorder="1" applyAlignment="1">
      <alignment vertical="top" wrapText="1"/>
    </xf>
    <xf numFmtId="0" fontId="3" fillId="0" borderId="50" xfId="0" applyFont="1" applyFill="1" applyBorder="1" applyAlignment="1">
      <alignment vertical="top" wrapText="1"/>
    </xf>
    <xf numFmtId="49" fontId="3" fillId="0" borderId="53"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0" fontId="4" fillId="0" borderId="41" xfId="0" applyFont="1" applyFill="1" applyBorder="1" applyAlignment="1">
      <alignment horizontal="center" vertical="center" textRotation="90" wrapText="1"/>
    </xf>
    <xf numFmtId="49" fontId="4" fillId="4" borderId="48" xfId="0" applyNumberFormat="1" applyFont="1" applyFill="1" applyBorder="1" applyAlignment="1">
      <alignment horizontal="center" vertical="top"/>
    </xf>
    <xf numFmtId="0" fontId="4" fillId="24" borderId="68" xfId="0" applyFont="1" applyFill="1" applyBorder="1" applyAlignment="1">
      <alignment vertical="top" wrapText="1"/>
    </xf>
    <xf numFmtId="0" fontId="3" fillId="24" borderId="62" xfId="0" applyFont="1" applyFill="1" applyBorder="1" applyAlignment="1">
      <alignment vertical="top" wrapText="1"/>
    </xf>
    <xf numFmtId="0" fontId="3" fillId="24" borderId="27" xfId="0" applyFont="1" applyFill="1" applyBorder="1" applyAlignment="1">
      <alignment horizontal="left" vertical="top" wrapText="1"/>
    </xf>
    <xf numFmtId="0" fontId="3" fillId="24" borderId="58" xfId="0" applyFont="1" applyFill="1" applyBorder="1" applyAlignment="1">
      <alignment horizontal="left" vertical="top" wrapText="1"/>
    </xf>
    <xf numFmtId="0" fontId="4" fillId="0" borderId="70" xfId="0" applyFont="1" applyFill="1" applyBorder="1" applyAlignment="1">
      <alignment horizontal="center" vertical="top" textRotation="180" wrapText="1"/>
    </xf>
    <xf numFmtId="0" fontId="4" fillId="0" borderId="81" xfId="0" applyFont="1" applyFill="1" applyBorder="1" applyAlignment="1">
      <alignment horizontal="center" vertical="top" textRotation="180" wrapText="1"/>
    </xf>
    <xf numFmtId="49" fontId="4" fillId="8" borderId="79" xfId="0" applyNumberFormat="1" applyFont="1" applyFill="1" applyBorder="1" applyAlignment="1">
      <alignment horizontal="right" vertical="top"/>
    </xf>
    <xf numFmtId="49" fontId="4" fillId="8" borderId="85" xfId="0" applyNumberFormat="1" applyFont="1" applyFill="1" applyBorder="1" applyAlignment="1">
      <alignment horizontal="right" vertical="top"/>
    </xf>
    <xf numFmtId="0" fontId="4" fillId="0" borderId="47" xfId="0" applyFont="1" applyFill="1" applyBorder="1" applyAlignment="1">
      <alignment horizontal="center" vertical="center" textRotation="90" wrapText="1"/>
    </xf>
    <xf numFmtId="0" fontId="4" fillId="0" borderId="58" xfId="0" applyFont="1" applyFill="1" applyBorder="1" applyAlignment="1">
      <alignment horizontal="center" vertical="center" textRotation="90" wrapText="1"/>
    </xf>
    <xf numFmtId="0" fontId="4" fillId="0" borderId="47" xfId="0" applyNumberFormat="1" applyFont="1" applyFill="1" applyBorder="1" applyAlignment="1">
      <alignment horizontal="center" vertical="top"/>
    </xf>
    <xf numFmtId="0" fontId="4" fillId="0" borderId="58" xfId="0" applyNumberFormat="1" applyFont="1" applyFill="1" applyBorder="1" applyAlignment="1">
      <alignment horizontal="center" vertical="top"/>
    </xf>
    <xf numFmtId="49" fontId="4" fillId="4" borderId="57" xfId="0" applyNumberFormat="1" applyFont="1" applyFill="1" applyBorder="1" applyAlignment="1">
      <alignment horizontal="right" vertical="top"/>
    </xf>
    <xf numFmtId="0" fontId="3" fillId="0" borderId="64"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24" borderId="34" xfId="0" applyFont="1" applyFill="1" applyBorder="1" applyAlignment="1">
      <alignment vertical="top" wrapText="1"/>
    </xf>
    <xf numFmtId="0" fontId="0" fillId="24" borderId="29" xfId="0" applyFont="1" applyFill="1" applyBorder="1" applyAlignment="1">
      <alignment vertical="top" wrapText="1"/>
    </xf>
    <xf numFmtId="0" fontId="0" fillId="24" borderId="78" xfId="0" applyFont="1" applyFill="1" applyBorder="1" applyAlignment="1">
      <alignment vertical="top" wrapText="1"/>
    </xf>
    <xf numFmtId="0" fontId="0" fillId="0" borderId="37" xfId="0" applyFont="1" applyBorder="1" applyAlignment="1">
      <alignment horizontal="center" vertical="top"/>
    </xf>
    <xf numFmtId="0" fontId="0" fillId="0" borderId="82" xfId="0" applyFont="1" applyBorder="1" applyAlignment="1">
      <alignment horizontal="center" vertical="top"/>
    </xf>
    <xf numFmtId="0" fontId="4" fillId="0" borderId="41" xfId="0" applyNumberFormat="1" applyFont="1" applyBorder="1" applyAlignment="1">
      <alignment horizontal="center" vertical="top"/>
    </xf>
    <xf numFmtId="0" fontId="4" fillId="0" borderId="81" xfId="0" applyNumberFormat="1" applyFont="1" applyBorder="1" applyAlignment="1">
      <alignment horizontal="center" vertical="top"/>
    </xf>
    <xf numFmtId="0" fontId="3" fillId="24" borderId="64" xfId="0" applyFont="1" applyFill="1" applyBorder="1" applyAlignment="1">
      <alignment horizontal="left" vertical="top" wrapText="1"/>
    </xf>
    <xf numFmtId="0" fontId="3" fillId="24" borderId="85" xfId="0" applyFont="1" applyFill="1" applyBorder="1" applyAlignment="1">
      <alignment horizontal="left" vertical="top" wrapText="1"/>
    </xf>
    <xf numFmtId="0" fontId="4" fillId="0" borderId="70" xfId="0" applyFont="1" applyFill="1" applyBorder="1" applyAlignment="1">
      <alignment horizontal="center" vertical="center" textRotation="90"/>
    </xf>
    <xf numFmtId="0" fontId="11" fillId="0" borderId="41" xfId="0" applyFont="1" applyBorder="1" applyAlignment="1">
      <alignment horizontal="center" vertical="center" textRotation="90"/>
    </xf>
    <xf numFmtId="0" fontId="11" fillId="0" borderId="81" xfId="0" applyFont="1" applyBorder="1" applyAlignment="1">
      <alignment horizontal="center" vertical="center" textRotation="90"/>
    </xf>
    <xf numFmtId="0" fontId="4" fillId="0" borderId="70" xfId="0" applyFont="1" applyFill="1" applyBorder="1" applyAlignment="1">
      <alignment horizontal="center" vertical="center" textRotation="90" wrapText="1"/>
    </xf>
    <xf numFmtId="0" fontId="4" fillId="0" borderId="81" xfId="0" applyFont="1" applyFill="1" applyBorder="1" applyAlignment="1">
      <alignment horizontal="center" vertical="center" textRotation="90" wrapText="1"/>
    </xf>
    <xf numFmtId="0" fontId="4" fillId="4" borderId="64" xfId="0" applyFont="1" applyFill="1" applyBorder="1" applyAlignment="1">
      <alignment horizontal="left" vertical="top" wrapText="1"/>
    </xf>
    <xf numFmtId="0" fontId="4" fillId="4" borderId="34" xfId="0" applyFont="1" applyFill="1" applyBorder="1" applyAlignment="1">
      <alignment horizontal="left" vertical="top" wrapText="1"/>
    </xf>
    <xf numFmtId="49" fontId="4" fillId="0" borderId="82" xfId="0" applyNumberFormat="1" applyFont="1" applyBorder="1" applyAlignment="1">
      <alignment horizontal="center" vertical="top"/>
    </xf>
    <xf numFmtId="0" fontId="4" fillId="0" borderId="0"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24" borderId="47" xfId="0" applyFont="1" applyFill="1" applyBorder="1" applyAlignment="1">
      <alignment horizontal="left" vertical="top" wrapText="1"/>
    </xf>
    <xf numFmtId="0" fontId="4" fillId="0" borderId="47" xfId="0" applyFont="1" applyFill="1" applyBorder="1" applyAlignment="1">
      <alignment horizontal="center" vertical="center" textRotation="90" wrapText="1"/>
    </xf>
    <xf numFmtId="0" fontId="4" fillId="0" borderId="58" xfId="0" applyFont="1" applyFill="1" applyBorder="1" applyAlignment="1">
      <alignment horizontal="center" vertical="center" textRotation="90" wrapText="1"/>
    </xf>
    <xf numFmtId="49" fontId="4" fillId="4" borderId="43" xfId="0" applyNumberFormat="1" applyFont="1" applyFill="1" applyBorder="1" applyAlignment="1">
      <alignment horizontal="center" vertical="top"/>
    </xf>
    <xf numFmtId="49" fontId="4" fillId="4" borderId="80" xfId="0" applyNumberFormat="1" applyFont="1" applyFill="1" applyBorder="1" applyAlignment="1">
      <alignment horizontal="center" vertical="top"/>
    </xf>
    <xf numFmtId="0" fontId="4" fillId="24" borderId="29" xfId="0" applyFont="1" applyFill="1" applyBorder="1" applyAlignment="1">
      <alignment horizontal="left" vertical="top" wrapText="1"/>
    </xf>
    <xf numFmtId="49" fontId="3" fillId="0" borderId="47" xfId="0" applyNumberFormat="1" applyFont="1" applyBorder="1" applyAlignment="1">
      <alignment horizontal="center" vertical="top"/>
    </xf>
    <xf numFmtId="0" fontId="0" fillId="0" borderId="27" xfId="0" applyFont="1" applyBorder="1" applyAlignment="1">
      <alignment horizontal="center" vertical="top"/>
    </xf>
    <xf numFmtId="0" fontId="0" fillId="0" borderId="58" xfId="0" applyFont="1" applyBorder="1" applyAlignment="1">
      <alignment horizontal="center" vertical="top"/>
    </xf>
    <xf numFmtId="0" fontId="4" fillId="24" borderId="47" xfId="0" applyFont="1" applyFill="1" applyBorder="1" applyAlignment="1">
      <alignment vertical="top" wrapText="1"/>
    </xf>
    <xf numFmtId="0" fontId="4" fillId="24" borderId="58" xfId="0" applyFont="1" applyFill="1" applyBorder="1" applyAlignment="1">
      <alignment vertical="top" wrapText="1"/>
    </xf>
    <xf numFmtId="0" fontId="3" fillId="0" borderId="34" xfId="0" applyFont="1" applyFill="1" applyBorder="1" applyAlignment="1">
      <alignment horizontal="left" vertical="top" wrapText="1"/>
    </xf>
    <xf numFmtId="0" fontId="3" fillId="0" borderId="29" xfId="0" applyFont="1" applyFill="1" applyBorder="1" applyAlignment="1">
      <alignment horizontal="left" vertical="top" wrapText="1"/>
    </xf>
    <xf numFmtId="0" fontId="4" fillId="0" borderId="78" xfId="0" applyFont="1" applyFill="1" applyBorder="1" applyAlignment="1">
      <alignment horizontal="left" vertical="top" wrapText="1"/>
    </xf>
    <xf numFmtId="49" fontId="4" fillId="4" borderId="42" xfId="0" applyNumberFormat="1" applyFont="1" applyFill="1" applyBorder="1" applyAlignment="1">
      <alignment horizontal="left" vertical="top"/>
    </xf>
    <xf numFmtId="49" fontId="4" fillId="4" borderId="57" xfId="0" applyNumberFormat="1" applyFont="1" applyFill="1" applyBorder="1" applyAlignment="1">
      <alignment horizontal="left" vertical="top"/>
    </xf>
    <xf numFmtId="49" fontId="4" fillId="4" borderId="34" xfId="0" applyNumberFormat="1" applyFont="1" applyFill="1" applyBorder="1" applyAlignment="1">
      <alignment horizontal="left" vertical="top"/>
    </xf>
    <xf numFmtId="49" fontId="4" fillId="8" borderId="45" xfId="0" applyNumberFormat="1" applyFont="1" applyFill="1" applyBorder="1" applyAlignment="1">
      <alignment horizontal="center" vertical="top"/>
    </xf>
    <xf numFmtId="49" fontId="4" fillId="8" borderId="83"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49" fontId="4" fillId="0" borderId="58" xfId="0" applyNumberFormat="1" applyFont="1" applyFill="1" applyBorder="1" applyAlignment="1">
      <alignment horizontal="center" vertical="top"/>
    </xf>
    <xf numFmtId="0" fontId="4" fillId="0" borderId="41" xfId="0" applyFont="1" applyFill="1" applyBorder="1" applyAlignment="1">
      <alignment horizontal="center" vertical="center" textRotation="90" wrapText="1"/>
    </xf>
    <xf numFmtId="0" fontId="3" fillId="0" borderId="33" xfId="0" applyFont="1" applyFill="1" applyBorder="1" applyAlignment="1">
      <alignment vertical="top" wrapText="1"/>
    </xf>
    <xf numFmtId="0" fontId="3" fillId="0" borderId="38" xfId="0" applyFont="1" applyFill="1" applyBorder="1" applyAlignment="1">
      <alignment vertical="top" wrapText="1"/>
    </xf>
    <xf numFmtId="0" fontId="3" fillId="0" borderId="70" xfId="0" applyFont="1" applyFill="1" applyBorder="1" applyAlignment="1">
      <alignment horizontal="center" vertical="top" wrapText="1"/>
    </xf>
    <xf numFmtId="0" fontId="0" fillId="0" borderId="81" xfId="0" applyFont="1" applyBorder="1" applyAlignment="1">
      <alignment horizontal="center" vertical="top" wrapText="1"/>
    </xf>
    <xf numFmtId="0" fontId="11" fillId="0" borderId="58" xfId="0" applyFont="1" applyBorder="1" applyAlignment="1">
      <alignment horizontal="center" vertical="top"/>
    </xf>
    <xf numFmtId="0" fontId="4" fillId="0" borderId="41" xfId="0" applyFont="1" applyFill="1" applyBorder="1" applyAlignment="1">
      <alignment horizontal="center" vertical="center" textRotation="90" wrapText="1"/>
    </xf>
    <xf numFmtId="0" fontId="4" fillId="0" borderId="81" xfId="0" applyFont="1" applyFill="1" applyBorder="1" applyAlignment="1">
      <alignment horizontal="center" vertical="center" textRotation="90" wrapText="1"/>
    </xf>
    <xf numFmtId="49" fontId="4" fillId="0" borderId="79" xfId="0" applyNumberFormat="1" applyFont="1" applyBorder="1" applyAlignment="1">
      <alignment horizontal="center" vertical="top"/>
    </xf>
    <xf numFmtId="49" fontId="4" fillId="0" borderId="16"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49" fontId="4" fillId="0" borderId="44" xfId="0" applyNumberFormat="1" applyFont="1" applyFill="1" applyBorder="1" applyAlignment="1">
      <alignment horizontal="center" vertical="top"/>
    </xf>
    <xf numFmtId="49" fontId="4" fillId="0" borderId="82" xfId="0" applyNumberFormat="1" applyFont="1" applyFill="1" applyBorder="1" applyAlignment="1">
      <alignment horizontal="center" vertical="top"/>
    </xf>
    <xf numFmtId="0" fontId="4" fillId="0" borderId="41" xfId="0" applyFont="1" applyFill="1" applyBorder="1" applyAlignment="1">
      <alignment horizontal="center" vertical="top" textRotation="90" wrapText="1"/>
    </xf>
    <xf numFmtId="49" fontId="4" fillId="4" borderId="64" xfId="0" applyNumberFormat="1" applyFont="1" applyFill="1" applyBorder="1" applyAlignment="1">
      <alignment horizontal="left" vertical="top" wrapText="1"/>
    </xf>
    <xf numFmtId="49" fontId="4" fillId="4" borderId="34" xfId="0" applyNumberFormat="1" applyFont="1" applyFill="1" applyBorder="1" applyAlignment="1">
      <alignment horizontal="left" vertical="top" wrapText="1"/>
    </xf>
    <xf numFmtId="0" fontId="3" fillId="24" borderId="47" xfId="0" applyFont="1" applyFill="1" applyBorder="1" applyAlignment="1">
      <alignment vertical="top" wrapText="1"/>
    </xf>
    <xf numFmtId="0" fontId="3" fillId="24" borderId="58" xfId="0" applyFont="1" applyFill="1" applyBorder="1" applyAlignment="1">
      <alignment vertical="top" wrapText="1"/>
    </xf>
    <xf numFmtId="0" fontId="4" fillId="0" borderId="29" xfId="0" applyNumberFormat="1" applyFont="1" applyFill="1" applyBorder="1" applyAlignment="1">
      <alignment horizontal="center" vertical="top"/>
    </xf>
    <xf numFmtId="0" fontId="4" fillId="0" borderId="78" xfId="0" applyNumberFormat="1" applyFont="1" applyFill="1" applyBorder="1" applyAlignment="1">
      <alignment horizontal="center" vertical="top"/>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92" xfId="0" applyFont="1" applyBorder="1" applyAlignment="1">
      <alignment horizontal="center" vertical="center" wrapText="1"/>
    </xf>
    <xf numFmtId="180" fontId="4" fillId="25" borderId="42" xfId="0" applyNumberFormat="1" applyFont="1" applyFill="1" applyBorder="1" applyAlignment="1">
      <alignment horizontal="center" vertical="top" wrapText="1"/>
    </xf>
    <xf numFmtId="180" fontId="4" fillId="25" borderId="57" xfId="0" applyNumberFormat="1" applyFont="1" applyFill="1" applyBorder="1" applyAlignment="1">
      <alignment horizontal="center" vertical="top" wrapText="1"/>
    </xf>
    <xf numFmtId="180" fontId="4" fillId="25" borderId="92" xfId="0" applyNumberFormat="1" applyFont="1" applyFill="1" applyBorder="1" applyAlignment="1">
      <alignment horizontal="center" vertical="top" wrapText="1"/>
    </xf>
    <xf numFmtId="0" fontId="0" fillId="0" borderId="58" xfId="0" applyFont="1" applyBorder="1" applyAlignment="1">
      <alignment horizontal="center" vertical="top" wrapText="1"/>
    </xf>
    <xf numFmtId="0" fontId="4" fillId="25" borderId="41" xfId="0" applyFont="1" applyFill="1" applyBorder="1" applyAlignment="1">
      <alignment horizontal="center" vertical="top" wrapText="1"/>
    </xf>
    <xf numFmtId="0" fontId="4" fillId="25" borderId="0" xfId="0" applyFont="1" applyFill="1" applyBorder="1" applyAlignment="1">
      <alignment horizontal="center" vertical="top" wrapText="1"/>
    </xf>
    <xf numFmtId="0" fontId="4" fillId="25" borderId="29" xfId="0" applyFont="1" applyFill="1" applyBorder="1" applyAlignment="1">
      <alignment horizontal="center" vertical="top" wrapText="1"/>
    </xf>
    <xf numFmtId="49" fontId="4" fillId="4" borderId="92" xfId="0" applyNumberFormat="1" applyFont="1" applyFill="1" applyBorder="1" applyAlignment="1">
      <alignment horizontal="right" vertical="top"/>
    </xf>
    <xf numFmtId="0" fontId="4" fillId="0" borderId="34" xfId="0" applyNumberFormat="1" applyFont="1" applyFill="1" applyBorder="1" applyAlignment="1">
      <alignment horizontal="center" vertical="top"/>
    </xf>
    <xf numFmtId="0" fontId="4" fillId="0" borderId="78" xfId="0" applyNumberFormat="1" applyFont="1" applyFill="1" applyBorder="1" applyAlignment="1">
      <alignment horizontal="center" vertical="top"/>
    </xf>
    <xf numFmtId="49" fontId="4" fillId="8" borderId="57" xfId="0" applyNumberFormat="1" applyFont="1" applyFill="1" applyBorder="1" applyAlignment="1">
      <alignment horizontal="right" vertical="top"/>
    </xf>
    <xf numFmtId="49" fontId="4" fillId="8" borderId="92" xfId="0" applyNumberFormat="1" applyFont="1" applyFill="1" applyBorder="1" applyAlignment="1">
      <alignment horizontal="right" vertical="top"/>
    </xf>
    <xf numFmtId="180" fontId="4" fillId="16" borderId="86" xfId="0" applyNumberFormat="1" applyFont="1" applyFill="1" applyBorder="1" applyAlignment="1">
      <alignment horizontal="center" vertical="top" wrapText="1"/>
    </xf>
    <xf numFmtId="180" fontId="4" fillId="16" borderId="68" xfId="0" applyNumberFormat="1" applyFont="1" applyFill="1" applyBorder="1" applyAlignment="1">
      <alignment horizontal="center" vertical="top" wrapText="1"/>
    </xf>
    <xf numFmtId="180" fontId="4" fillId="16" borderId="26"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35" xfId="0" applyFont="1" applyBorder="1" applyAlignment="1">
      <alignment horizontal="left" vertical="top" wrapText="1"/>
    </xf>
    <xf numFmtId="180" fontId="3" fillId="0" borderId="87" xfId="0" applyNumberFormat="1" applyFont="1" applyFill="1" applyBorder="1" applyAlignment="1">
      <alignment horizontal="center" vertical="top" wrapText="1"/>
    </xf>
    <xf numFmtId="180" fontId="3" fillId="0" borderId="63" xfId="0" applyNumberFormat="1" applyFont="1" applyFill="1" applyBorder="1" applyAlignment="1">
      <alignment horizontal="center" vertical="top" wrapText="1"/>
    </xf>
    <xf numFmtId="180" fontId="3" fillId="0" borderId="65" xfId="0" applyNumberFormat="1" applyFont="1" applyFill="1" applyBorder="1" applyAlignment="1">
      <alignment horizontal="center" vertical="top" wrapText="1"/>
    </xf>
    <xf numFmtId="180" fontId="4" fillId="16" borderId="55" xfId="0" applyNumberFormat="1" applyFont="1" applyFill="1" applyBorder="1" applyAlignment="1">
      <alignment horizontal="center" vertical="top" wrapText="1"/>
    </xf>
    <xf numFmtId="180" fontId="4" fillId="16" borderId="62" xfId="0" applyNumberFormat="1" applyFont="1" applyFill="1" applyBorder="1" applyAlignment="1">
      <alignment horizontal="center" vertical="top" wrapText="1"/>
    </xf>
    <xf numFmtId="180" fontId="4" fillId="16" borderId="52" xfId="0" applyNumberFormat="1" applyFont="1" applyFill="1" applyBorder="1" applyAlignment="1">
      <alignment horizontal="center" vertical="top" wrapText="1"/>
    </xf>
    <xf numFmtId="0" fontId="3" fillId="24" borderId="18" xfId="0" applyFont="1" applyFill="1" applyBorder="1" applyAlignment="1">
      <alignment horizontal="left" vertical="top" wrapText="1"/>
    </xf>
    <xf numFmtId="0" fontId="3" fillId="24" borderId="17" xfId="0" applyFont="1" applyFill="1" applyBorder="1" applyAlignment="1">
      <alignment horizontal="left" vertical="top" wrapText="1"/>
    </xf>
    <xf numFmtId="0" fontId="3" fillId="24" borderId="72" xfId="0" applyFont="1" applyFill="1" applyBorder="1" applyAlignment="1">
      <alignment horizontal="left" vertical="top" wrapText="1"/>
    </xf>
    <xf numFmtId="180" fontId="3" fillId="0" borderId="68" xfId="0" applyNumberFormat="1" applyFont="1" applyBorder="1" applyAlignment="1">
      <alignment horizontal="center" vertical="top" wrapText="1"/>
    </xf>
    <xf numFmtId="180" fontId="3" fillId="0" borderId="26" xfId="0" applyNumberFormat="1" applyFont="1" applyBorder="1" applyAlignment="1">
      <alignment horizontal="center" vertical="top" wrapText="1"/>
    </xf>
    <xf numFmtId="180" fontId="3" fillId="0" borderId="86" xfId="0" applyNumberFormat="1" applyFont="1" applyBorder="1" applyAlignment="1">
      <alignment horizontal="center" vertical="top" wrapText="1"/>
    </xf>
    <xf numFmtId="0" fontId="4" fillId="25" borderId="25" xfId="0" applyFont="1" applyFill="1" applyBorder="1" applyAlignment="1">
      <alignment horizontal="center" vertical="top" wrapText="1"/>
    </xf>
    <xf numFmtId="0" fontId="4" fillId="25" borderId="60" xfId="0" applyFont="1" applyFill="1" applyBorder="1" applyAlignment="1">
      <alignment horizontal="center" vertical="top" wrapText="1"/>
    </xf>
    <xf numFmtId="0" fontId="4" fillId="25" borderId="61" xfId="0" applyFont="1" applyFill="1" applyBorder="1" applyAlignment="1">
      <alignment horizontal="center" vertical="top" wrapText="1"/>
    </xf>
    <xf numFmtId="0" fontId="3" fillId="16" borderId="55" xfId="0" applyFont="1" applyFill="1" applyBorder="1" applyAlignment="1">
      <alignment horizontal="left" vertical="top" wrapText="1"/>
    </xf>
    <xf numFmtId="0" fontId="3" fillId="16" borderId="62" xfId="0" applyFont="1" applyFill="1" applyBorder="1" applyAlignment="1">
      <alignment horizontal="left" vertical="top" wrapText="1"/>
    </xf>
    <xf numFmtId="0" fontId="3" fillId="16" borderId="52" xfId="0" applyFont="1" applyFill="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180" fontId="3" fillId="0" borderId="62" xfId="0" applyNumberFormat="1" applyFont="1" applyBorder="1" applyAlignment="1">
      <alignment horizontal="center" vertical="top" wrapText="1"/>
    </xf>
    <xf numFmtId="180" fontId="3" fillId="0" borderId="52" xfId="0" applyNumberFormat="1" applyFont="1" applyBorder="1" applyAlignment="1">
      <alignment horizontal="center" vertical="top" wrapText="1"/>
    </xf>
    <xf numFmtId="49" fontId="12" fillId="0" borderId="0" xfId="0" applyNumberFormat="1" applyFont="1" applyFill="1" applyBorder="1" applyAlignment="1">
      <alignment horizontal="center" wrapText="1"/>
    </xf>
    <xf numFmtId="0" fontId="4" fillId="0" borderId="64"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85" xfId="0" applyFont="1" applyFill="1" applyBorder="1" applyAlignment="1">
      <alignment horizontal="center" vertical="center" textRotation="90" wrapText="1"/>
    </xf>
    <xf numFmtId="49" fontId="4" fillId="0" borderId="37" xfId="0" applyNumberFormat="1" applyFont="1" applyFill="1" applyBorder="1" applyAlignment="1">
      <alignment horizontal="center" vertical="top"/>
    </xf>
    <xf numFmtId="0" fontId="3" fillId="0" borderId="81" xfId="0" applyFont="1" applyFill="1" applyBorder="1" applyAlignment="1">
      <alignment horizontal="center" vertical="top" wrapText="1"/>
    </xf>
    <xf numFmtId="0" fontId="4" fillId="16" borderId="42" xfId="0" applyFont="1" applyFill="1" applyBorder="1" applyAlignment="1">
      <alignment horizontal="right" vertical="top" wrapText="1"/>
    </xf>
    <xf numFmtId="0" fontId="4" fillId="16" borderId="57" xfId="0" applyFont="1" applyFill="1" applyBorder="1" applyAlignment="1">
      <alignment horizontal="right" vertical="top" wrapText="1"/>
    </xf>
    <xf numFmtId="0" fontId="4" fillId="16" borderId="92" xfId="0" applyFont="1" applyFill="1" applyBorder="1" applyAlignment="1">
      <alignment horizontal="right" vertical="top" wrapText="1"/>
    </xf>
    <xf numFmtId="180" fontId="4" fillId="16" borderId="57" xfId="0" applyNumberFormat="1" applyFont="1" applyFill="1" applyBorder="1" applyAlignment="1">
      <alignment horizontal="center" vertical="top" wrapText="1"/>
    </xf>
    <xf numFmtId="180" fontId="4" fillId="16" borderId="92" xfId="0" applyNumberFormat="1" applyFont="1" applyFill="1" applyBorder="1" applyAlignment="1">
      <alignment horizontal="center" vertical="top" wrapText="1"/>
    </xf>
    <xf numFmtId="0" fontId="3" fillId="24" borderId="20" xfId="0" applyFont="1" applyFill="1" applyBorder="1" applyAlignment="1">
      <alignment horizontal="left" vertical="top" wrapText="1"/>
    </xf>
    <xf numFmtId="0" fontId="3" fillId="24" borderId="11" xfId="0" applyFont="1" applyFill="1" applyBorder="1" applyAlignment="1">
      <alignment horizontal="left" vertical="top" wrapText="1"/>
    </xf>
    <xf numFmtId="0" fontId="3" fillId="24" borderId="35" xfId="0" applyFont="1" applyFill="1" applyBorder="1" applyAlignment="1">
      <alignment horizontal="left" vertical="top" wrapText="1"/>
    </xf>
    <xf numFmtId="0" fontId="4" fillId="16" borderId="86" xfId="0" applyFont="1" applyFill="1" applyBorder="1" applyAlignment="1">
      <alignment horizontal="left" vertical="top" wrapText="1"/>
    </xf>
    <xf numFmtId="0" fontId="4" fillId="16" borderId="68" xfId="0" applyFont="1" applyFill="1" applyBorder="1" applyAlignment="1">
      <alignment horizontal="left" vertical="top" wrapText="1"/>
    </xf>
    <xf numFmtId="0" fontId="4" fillId="16" borderId="26" xfId="0" applyFont="1" applyFill="1" applyBorder="1" applyAlignment="1">
      <alignment horizontal="left" vertical="top" wrapText="1"/>
    </xf>
    <xf numFmtId="180" fontId="4" fillId="16" borderId="42" xfId="0" applyNumberFormat="1" applyFont="1" applyFill="1" applyBorder="1" applyAlignment="1">
      <alignment horizontal="center" vertical="top" wrapText="1"/>
    </xf>
    <xf numFmtId="0" fontId="4" fillId="0" borderId="70" xfId="0" applyFont="1" applyFill="1" applyBorder="1" applyAlignment="1">
      <alignment horizontal="center" vertical="top" textRotation="91" wrapText="1"/>
    </xf>
    <xf numFmtId="0" fontId="4" fillId="0" borderId="41" xfId="0" applyFont="1" applyFill="1" applyBorder="1" applyAlignment="1">
      <alignment horizontal="center" vertical="top" textRotation="91" wrapText="1"/>
    </xf>
    <xf numFmtId="0" fontId="4" fillId="0" borderId="81" xfId="0" applyFont="1" applyFill="1" applyBorder="1" applyAlignment="1">
      <alignment horizontal="center" vertical="top" textRotation="91" wrapText="1"/>
    </xf>
    <xf numFmtId="49" fontId="4" fillId="0" borderId="29" xfId="0" applyNumberFormat="1" applyFont="1" applyBorder="1" applyAlignment="1">
      <alignment horizontal="center" vertical="top"/>
    </xf>
    <xf numFmtId="0" fontId="3" fillId="0" borderId="58" xfId="0" applyFont="1" applyFill="1" applyBorder="1" applyAlignment="1">
      <alignment horizontal="left" vertical="top" wrapText="1"/>
    </xf>
    <xf numFmtId="180" fontId="3" fillId="0" borderId="55" xfId="0" applyNumberFormat="1" applyFont="1" applyBorder="1" applyAlignment="1">
      <alignment horizontal="center" vertical="top" wrapText="1"/>
    </xf>
    <xf numFmtId="49" fontId="3" fillId="0" borderId="0" xfId="0" applyNumberFormat="1" applyFont="1" applyAlignment="1">
      <alignment horizontal="left" wrapText="1"/>
    </xf>
    <xf numFmtId="0" fontId="3" fillId="0" borderId="0" xfId="0" applyFont="1" applyAlignment="1">
      <alignment horizontal="left" wrapText="1"/>
    </xf>
    <xf numFmtId="49" fontId="3" fillId="0" borderId="64" xfId="0" applyNumberFormat="1" applyFont="1" applyBorder="1" applyAlignment="1">
      <alignment horizontal="left" wrapText="1"/>
    </xf>
    <xf numFmtId="0" fontId="3" fillId="0" borderId="64" xfId="0" applyFont="1" applyBorder="1" applyAlignment="1">
      <alignment horizontal="left" wrapText="1"/>
    </xf>
    <xf numFmtId="0" fontId="14" fillId="0" borderId="0" xfId="0" applyFont="1" applyFill="1" applyAlignment="1">
      <alignment horizontal="center" wrapText="1"/>
    </xf>
    <xf numFmtId="0" fontId="14" fillId="0" borderId="0" xfId="0" applyFont="1" applyAlignment="1">
      <alignment horizontal="center" wrapText="1"/>
    </xf>
    <xf numFmtId="0" fontId="6" fillId="0" borderId="0" xfId="0" applyFont="1" applyAlignment="1">
      <alignment horizontal="center"/>
    </xf>
    <xf numFmtId="0" fontId="4" fillId="24" borderId="70" xfId="0" applyFont="1" applyFill="1" applyBorder="1" applyAlignment="1">
      <alignment horizontal="center" vertical="center" wrapText="1"/>
    </xf>
    <xf numFmtId="0" fontId="4" fillId="24" borderId="41" xfId="0" applyFont="1" applyFill="1" applyBorder="1" applyAlignment="1">
      <alignment horizontal="center" vertical="center" wrapText="1"/>
    </xf>
    <xf numFmtId="0" fontId="4" fillId="24" borderId="81"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4" borderId="58"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81" xfId="0" applyFont="1" applyBorder="1" applyAlignment="1">
      <alignment horizontal="center" vertical="center" wrapText="1"/>
    </xf>
    <xf numFmtId="0" fontId="15" fillId="0" borderId="11" xfId="51" applyFont="1" applyBorder="1" applyAlignment="1">
      <alignment horizontal="center" vertical="center" wrapText="1"/>
      <protection/>
    </xf>
    <xf numFmtId="0" fontId="0" fillId="0" borderId="23" xfId="0" applyFont="1" applyBorder="1" applyAlignment="1">
      <alignment horizontal="center" vertical="center"/>
    </xf>
    <xf numFmtId="0" fontId="15" fillId="0" borderId="12" xfId="51" applyFont="1" applyBorder="1" applyAlignment="1">
      <alignment horizontal="center" vertical="center" wrapText="1"/>
      <protection/>
    </xf>
    <xf numFmtId="0" fontId="0" fillId="0" borderId="40" xfId="0" applyFont="1" applyBorder="1" applyAlignment="1">
      <alignment horizontal="center" vertical="center" wrapText="1"/>
    </xf>
    <xf numFmtId="0" fontId="0" fillId="0" borderId="23" xfId="0" applyFont="1" applyBorder="1" applyAlignment="1">
      <alignment horizontal="center" vertical="center" wrapText="1"/>
    </xf>
    <xf numFmtId="0" fontId="15" fillId="0" borderId="23" xfId="51" applyFont="1" applyBorder="1" applyAlignment="1">
      <alignment horizontal="center" vertical="center" wrapText="1"/>
      <protection/>
    </xf>
    <xf numFmtId="0" fontId="0" fillId="0" borderId="31" xfId="0" applyFont="1" applyBorder="1" applyAlignment="1">
      <alignment horizontal="center" vertical="center"/>
    </xf>
    <xf numFmtId="49" fontId="4" fillId="8" borderId="27" xfId="0" applyNumberFormat="1" applyFont="1" applyFill="1" applyBorder="1" applyAlignment="1">
      <alignment horizontal="center" vertical="top"/>
    </xf>
    <xf numFmtId="49" fontId="4" fillId="8" borderId="58" xfId="0" applyNumberFormat="1" applyFont="1" applyFill="1" applyBorder="1" applyAlignment="1">
      <alignment horizontal="center" vertical="top"/>
    </xf>
    <xf numFmtId="49" fontId="4" fillId="4" borderId="28" xfId="0" applyNumberFormat="1" applyFont="1" applyFill="1" applyBorder="1" applyAlignment="1">
      <alignment horizontal="center" vertical="top"/>
    </xf>
    <xf numFmtId="49" fontId="4" fillId="4" borderId="83" xfId="0" applyNumberFormat="1" applyFont="1" applyFill="1" applyBorder="1" applyAlignment="1">
      <alignment horizontal="center" vertical="top"/>
    </xf>
    <xf numFmtId="0" fontId="24" fillId="0" borderId="47" xfId="0" applyFont="1" applyFill="1" applyBorder="1" applyAlignment="1">
      <alignment horizontal="left" vertical="top" wrapText="1"/>
    </xf>
    <xf numFmtId="49" fontId="3" fillId="24" borderId="27" xfId="0" applyNumberFormat="1" applyFont="1" applyFill="1" applyBorder="1" applyAlignment="1">
      <alignment horizontal="center" vertical="top" wrapText="1"/>
    </xf>
    <xf numFmtId="0" fontId="0" fillId="0" borderId="27" xfId="0" applyFont="1" applyBorder="1" applyAlignment="1">
      <alignment horizontal="center" vertical="top" wrapText="1"/>
    </xf>
    <xf numFmtId="0" fontId="4" fillId="24" borderId="27" xfId="0" applyNumberFormat="1" applyFont="1" applyFill="1" applyBorder="1" applyAlignment="1">
      <alignment horizontal="center" vertical="top"/>
    </xf>
    <xf numFmtId="0" fontId="11" fillId="0" borderId="27" xfId="0" applyFont="1" applyBorder="1" applyAlignment="1">
      <alignment horizontal="center" vertical="top"/>
    </xf>
    <xf numFmtId="49" fontId="4" fillId="4" borderId="31" xfId="0" applyNumberFormat="1" applyFont="1" applyFill="1" applyBorder="1" applyAlignment="1">
      <alignment horizontal="center" vertical="top"/>
    </xf>
    <xf numFmtId="49" fontId="4" fillId="24" borderId="37" xfId="0" applyNumberFormat="1" applyFont="1" applyFill="1" applyBorder="1" applyAlignment="1">
      <alignment horizontal="center" vertical="top"/>
    </xf>
    <xf numFmtId="0" fontId="24" fillId="0" borderId="0" xfId="0" applyFont="1" applyFill="1" applyBorder="1" applyAlignment="1">
      <alignment vertical="top" wrapText="1"/>
    </xf>
    <xf numFmtId="0" fontId="24" fillId="0" borderId="85" xfId="0" applyFont="1" applyFill="1" applyBorder="1" applyAlignment="1">
      <alignment vertical="top" wrapText="1"/>
    </xf>
    <xf numFmtId="0" fontId="4" fillId="24" borderId="27" xfId="0" applyFont="1" applyFill="1" applyBorder="1" applyAlignment="1">
      <alignment horizontal="center" vertical="top" wrapText="1"/>
    </xf>
    <xf numFmtId="49" fontId="4" fillId="8" borderId="28" xfId="0" applyNumberFormat="1" applyFont="1" applyFill="1" applyBorder="1" applyAlignment="1">
      <alignment horizontal="center" vertical="top"/>
    </xf>
    <xf numFmtId="0" fontId="4" fillId="0" borderId="64" xfId="0" applyFont="1" applyFill="1" applyBorder="1" applyAlignment="1">
      <alignment horizontal="left" vertical="top" wrapText="1"/>
    </xf>
    <xf numFmtId="0" fontId="4" fillId="0" borderId="85" xfId="0" applyFont="1" applyFill="1" applyBorder="1" applyAlignment="1">
      <alignment horizontal="left" vertical="top" wrapText="1"/>
    </xf>
    <xf numFmtId="49" fontId="4" fillId="24" borderId="82" xfId="0" applyNumberFormat="1" applyFont="1" applyFill="1" applyBorder="1" applyAlignment="1">
      <alignment horizontal="center" vertical="top"/>
    </xf>
    <xf numFmtId="0" fontId="4" fillId="0" borderId="34" xfId="0" applyFont="1" applyFill="1" applyBorder="1" applyAlignment="1">
      <alignment vertical="top" wrapText="1"/>
    </xf>
    <xf numFmtId="0" fontId="4" fillId="0" borderId="78" xfId="0" applyFont="1" applyFill="1" applyBorder="1" applyAlignment="1">
      <alignment vertical="top" wrapText="1"/>
    </xf>
    <xf numFmtId="0" fontId="4" fillId="0" borderId="64" xfId="0" applyFont="1" applyFill="1" applyBorder="1" applyAlignment="1">
      <alignment vertical="top" wrapText="1"/>
    </xf>
    <xf numFmtId="0" fontId="4" fillId="0" borderId="0" xfId="0" applyFont="1" applyFill="1" applyBorder="1" applyAlignment="1">
      <alignment vertical="top" wrapText="1"/>
    </xf>
    <xf numFmtId="0" fontId="4" fillId="0" borderId="85" xfId="0" applyFont="1" applyFill="1" applyBorder="1" applyAlignment="1">
      <alignment vertical="top" wrapText="1"/>
    </xf>
    <xf numFmtId="49" fontId="3" fillId="24" borderId="47" xfId="0" applyNumberFormat="1" applyFont="1" applyFill="1" applyBorder="1" applyAlignment="1">
      <alignment horizontal="center" vertical="top" wrapText="1"/>
    </xf>
    <xf numFmtId="0" fontId="4" fillId="24" borderId="47" xfId="0" applyNumberFormat="1" applyFont="1" applyFill="1" applyBorder="1" applyAlignment="1">
      <alignment horizontal="center" vertical="top"/>
    </xf>
    <xf numFmtId="0" fontId="24" fillId="0" borderId="0" xfId="0" applyFont="1" applyFill="1" applyBorder="1" applyAlignment="1">
      <alignment horizontal="left" vertical="top" wrapText="1"/>
    </xf>
    <xf numFmtId="0" fontId="25" fillId="0" borderId="85" xfId="0" applyFont="1" applyFill="1" applyBorder="1" applyAlignment="1">
      <alignment horizontal="left" vertical="top" wrapText="1"/>
    </xf>
    <xf numFmtId="0" fontId="0" fillId="0" borderId="0" xfId="0" applyFont="1" applyFill="1" applyBorder="1" applyAlignment="1">
      <alignment vertical="top" wrapText="1"/>
    </xf>
    <xf numFmtId="0" fontId="0" fillId="0" borderId="85" xfId="0" applyFont="1" applyFill="1" applyBorder="1" applyAlignment="1">
      <alignment vertical="top" wrapText="1"/>
    </xf>
    <xf numFmtId="0" fontId="4" fillId="24" borderId="34" xfId="0" applyNumberFormat="1" applyFont="1" applyFill="1" applyBorder="1" applyAlignment="1">
      <alignment horizontal="center" vertical="top" wrapText="1"/>
    </xf>
    <xf numFmtId="0" fontId="4" fillId="24" borderId="29" xfId="0" applyNumberFormat="1" applyFont="1" applyFill="1" applyBorder="1" applyAlignment="1">
      <alignment horizontal="center" vertical="top" wrapText="1"/>
    </xf>
    <xf numFmtId="0" fontId="11" fillId="0" borderId="29" xfId="0" applyFont="1" applyBorder="1" applyAlignment="1">
      <alignment horizontal="center" vertical="top" wrapText="1"/>
    </xf>
    <xf numFmtId="0" fontId="11" fillId="0" borderId="78" xfId="0" applyFont="1" applyBorder="1" applyAlignment="1">
      <alignment horizontal="center" vertical="top" wrapText="1"/>
    </xf>
  </cellXfs>
  <cellStyles count="51">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omma" xfId="39"/>
    <cellStyle name="Comma [0]" xfId="40"/>
    <cellStyle name="Currency" xfId="41"/>
    <cellStyle name="Currency [0]" xfId="42"/>
    <cellStyle name="Followed Hyperlink" xfId="43"/>
    <cellStyle name="Geras" xfId="44"/>
    <cellStyle name="Hyperlink" xfId="45"/>
    <cellStyle name="Įprastas 2" xfId="46"/>
    <cellStyle name="Įspėjimo tekstas" xfId="47"/>
    <cellStyle name="Išvestis" xfId="48"/>
    <cellStyle name="Įvestis" xfId="49"/>
    <cellStyle name="Neutralus" xfId="50"/>
    <cellStyle name="Normal_biudz uz 2001 atskaitomybe3" xfId="51"/>
    <cellStyle name="Paryškinimas 1" xfId="52"/>
    <cellStyle name="Paryškinimas 2" xfId="53"/>
    <cellStyle name="Paryškinimas 3" xfId="54"/>
    <cellStyle name="Paryškinimas 4" xfId="55"/>
    <cellStyle name="Paryškinimas 5" xfId="56"/>
    <cellStyle name="Paryškinimas 6" xfId="57"/>
    <cellStyle name="Pastaba" xfId="58"/>
    <cellStyle name="Pavadinimas" xfId="59"/>
    <cellStyle name="Percent" xfId="60"/>
    <cellStyle name="Skaičiavimas" xfId="61"/>
    <cellStyle name="Suma" xfId="62"/>
    <cellStyle name="Susietas langelis" xfId="63"/>
    <cellStyle name="Tikrinimo langelis"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80"/>
  <sheetViews>
    <sheetView tabSelected="1" zoomScaleSheetLayoutView="89" workbookViewId="0" topLeftCell="A1">
      <selection activeCell="A5" sqref="A5"/>
    </sheetView>
  </sheetViews>
  <sheetFormatPr defaultColWidth="9.140625" defaultRowHeight="12.75"/>
  <cols>
    <col min="1" max="3" width="2.421875" style="101" customWidth="1"/>
    <col min="4" max="4" width="38.28125" style="101" customWidth="1"/>
    <col min="5" max="5" width="4.140625" style="101" customWidth="1"/>
    <col min="6" max="6" width="2.8515625" style="101" customWidth="1"/>
    <col min="7" max="7" width="3.00390625" style="264" customWidth="1"/>
    <col min="8" max="8" width="8.421875" style="127" customWidth="1"/>
    <col min="9" max="9" width="8.421875" style="101" customWidth="1"/>
    <col min="10" max="10" width="8.7109375" style="101" customWidth="1"/>
    <col min="11" max="11" width="8.421875" style="101" customWidth="1"/>
    <col min="12" max="12" width="7.421875" style="101" customWidth="1"/>
    <col min="13" max="13" width="8.421875" style="102" customWidth="1"/>
    <col min="14" max="14" width="8.7109375" style="102" customWidth="1"/>
    <col min="15" max="15" width="8.57421875" style="102" customWidth="1"/>
    <col min="16" max="16" width="7.421875" style="102" customWidth="1"/>
    <col min="17" max="17" width="8.140625" style="101" customWidth="1"/>
    <col min="18" max="18" width="8.421875" style="101" customWidth="1"/>
    <col min="19" max="19" width="8.140625" style="101" customWidth="1"/>
    <col min="20" max="20" width="7.7109375" style="101" customWidth="1"/>
    <col min="21" max="21" width="9.00390625" style="101" customWidth="1"/>
    <col min="22" max="22" width="8.57421875" style="101" customWidth="1"/>
    <col min="23" max="16384" width="9.140625" style="37" customWidth="1"/>
  </cols>
  <sheetData>
    <row r="1" spans="1:22" ht="12.75" customHeight="1">
      <c r="A1" s="955" t="s">
        <v>74</v>
      </c>
      <c r="B1" s="955"/>
      <c r="C1" s="955"/>
      <c r="D1" s="955"/>
      <c r="E1" s="955"/>
      <c r="F1" s="955"/>
      <c r="G1" s="955"/>
      <c r="H1" s="955"/>
      <c r="I1" s="955"/>
      <c r="J1" s="955"/>
      <c r="K1" s="955"/>
      <c r="L1" s="955"/>
      <c r="M1" s="955"/>
      <c r="N1" s="955"/>
      <c r="O1" s="955"/>
      <c r="P1" s="955"/>
      <c r="Q1" s="955"/>
      <c r="R1" s="955"/>
      <c r="S1" s="955"/>
      <c r="T1" s="955"/>
      <c r="U1" s="955"/>
      <c r="V1" s="955"/>
    </row>
    <row r="2" spans="1:22" ht="12.75" customHeight="1">
      <c r="A2" s="941" t="s">
        <v>94</v>
      </c>
      <c r="B2" s="941"/>
      <c r="C2" s="941"/>
      <c r="D2" s="941"/>
      <c r="E2" s="941"/>
      <c r="F2" s="941"/>
      <c r="G2" s="941"/>
      <c r="H2" s="941"/>
      <c r="I2" s="941"/>
      <c r="J2" s="941"/>
      <c r="K2" s="941"/>
      <c r="L2" s="941"/>
      <c r="M2" s="941"/>
      <c r="N2" s="941"/>
      <c r="O2" s="941"/>
      <c r="P2" s="941"/>
      <c r="Q2" s="941"/>
      <c r="R2" s="941"/>
      <c r="S2" s="941"/>
      <c r="T2" s="941"/>
      <c r="U2" s="941"/>
      <c r="V2" s="941"/>
    </row>
    <row r="3" spans="1:22" ht="17.25" customHeight="1">
      <c r="A3" s="942" t="s">
        <v>69</v>
      </c>
      <c r="B3" s="942"/>
      <c r="C3" s="942"/>
      <c r="D3" s="942"/>
      <c r="E3" s="942"/>
      <c r="F3" s="942"/>
      <c r="G3" s="942"/>
      <c r="H3" s="942"/>
      <c r="I3" s="942"/>
      <c r="J3" s="942"/>
      <c r="K3" s="942"/>
      <c r="L3" s="942"/>
      <c r="M3" s="942"/>
      <c r="N3" s="942"/>
      <c r="O3" s="942"/>
      <c r="P3" s="942"/>
      <c r="Q3" s="942"/>
      <c r="R3" s="942"/>
      <c r="S3" s="942"/>
      <c r="T3" s="942"/>
      <c r="U3" s="942"/>
      <c r="V3" s="942"/>
    </row>
    <row r="4" spans="1:22" ht="15" customHeight="1">
      <c r="A4" s="943" t="s">
        <v>185</v>
      </c>
      <c r="B4" s="943"/>
      <c r="C4" s="943"/>
      <c r="D4" s="943"/>
      <c r="E4" s="943"/>
      <c r="F4" s="943"/>
      <c r="G4" s="943"/>
      <c r="H4" s="943"/>
      <c r="I4" s="943"/>
      <c r="J4" s="943"/>
      <c r="K4" s="943"/>
      <c r="L4" s="943"/>
      <c r="M4" s="943"/>
      <c r="N4" s="943"/>
      <c r="O4" s="943"/>
      <c r="P4" s="943"/>
      <c r="Q4" s="943"/>
      <c r="R4" s="943"/>
      <c r="S4" s="943"/>
      <c r="T4" s="943"/>
      <c r="U4" s="943"/>
      <c r="V4" s="943"/>
    </row>
    <row r="5" spans="1:22" ht="15" customHeight="1" thickBot="1">
      <c r="A5" s="211"/>
      <c r="B5" s="211"/>
      <c r="C5" s="944" t="s">
        <v>11</v>
      </c>
      <c r="D5" s="944"/>
      <c r="E5" s="944"/>
      <c r="F5" s="944"/>
      <c r="G5" s="944"/>
      <c r="H5" s="944"/>
      <c r="I5" s="944"/>
      <c r="J5" s="944"/>
      <c r="K5" s="944"/>
      <c r="L5" s="944"/>
      <c r="M5" s="944"/>
      <c r="N5" s="944"/>
      <c r="O5" s="944"/>
      <c r="P5" s="944"/>
      <c r="Q5" s="944"/>
      <c r="R5" s="944"/>
      <c r="S5" s="944"/>
      <c r="T5" s="944"/>
      <c r="U5" s="944"/>
      <c r="V5" s="944"/>
    </row>
    <row r="6" spans="1:22" ht="36.75" customHeight="1">
      <c r="A6" s="945" t="s">
        <v>16</v>
      </c>
      <c r="B6" s="1001" t="s">
        <v>18</v>
      </c>
      <c r="C6" s="1001" t="s">
        <v>19</v>
      </c>
      <c r="D6" s="1032" t="s">
        <v>37</v>
      </c>
      <c r="E6" s="1035" t="s">
        <v>20</v>
      </c>
      <c r="F6" s="989" t="s">
        <v>244</v>
      </c>
      <c r="G6" s="1053" t="s">
        <v>21</v>
      </c>
      <c r="H6" s="1014" t="s">
        <v>22</v>
      </c>
      <c r="I6" s="1050" t="s">
        <v>95</v>
      </c>
      <c r="J6" s="1051"/>
      <c r="K6" s="1051"/>
      <c r="L6" s="1058"/>
      <c r="M6" s="1050" t="s">
        <v>114</v>
      </c>
      <c r="N6" s="1051"/>
      <c r="O6" s="1051"/>
      <c r="P6" s="1052"/>
      <c r="Q6" s="1050" t="s">
        <v>96</v>
      </c>
      <c r="R6" s="1051"/>
      <c r="S6" s="1051"/>
      <c r="T6" s="1052"/>
      <c r="U6" s="978" t="s">
        <v>158</v>
      </c>
      <c r="V6" s="1014" t="s">
        <v>159</v>
      </c>
    </row>
    <row r="7" spans="1:22" ht="15" customHeight="1">
      <c r="A7" s="946"/>
      <c r="B7" s="1002"/>
      <c r="C7" s="1002"/>
      <c r="D7" s="1033"/>
      <c r="E7" s="1036"/>
      <c r="F7" s="990"/>
      <c r="G7" s="1054"/>
      <c r="H7" s="992"/>
      <c r="I7" s="987" t="s">
        <v>23</v>
      </c>
      <c r="J7" s="981" t="s">
        <v>24</v>
      </c>
      <c r="K7" s="981"/>
      <c r="L7" s="982" t="s">
        <v>36</v>
      </c>
      <c r="M7" s="987" t="s">
        <v>23</v>
      </c>
      <c r="N7" s="981" t="s">
        <v>24</v>
      </c>
      <c r="O7" s="981"/>
      <c r="P7" s="1056" t="s">
        <v>36</v>
      </c>
      <c r="Q7" s="987" t="s">
        <v>23</v>
      </c>
      <c r="R7" s="981" t="s">
        <v>24</v>
      </c>
      <c r="S7" s="981"/>
      <c r="T7" s="1056" t="s">
        <v>90</v>
      </c>
      <c r="U7" s="979"/>
      <c r="V7" s="992"/>
    </row>
    <row r="8" spans="1:22" ht="94.5" customHeight="1" thickBot="1">
      <c r="A8" s="947"/>
      <c r="B8" s="1003"/>
      <c r="C8" s="1003"/>
      <c r="D8" s="1034"/>
      <c r="E8" s="1037"/>
      <c r="F8" s="991"/>
      <c r="G8" s="1055"/>
      <c r="H8" s="993"/>
      <c r="I8" s="988"/>
      <c r="J8" s="144" t="s">
        <v>23</v>
      </c>
      <c r="K8" s="145" t="s">
        <v>38</v>
      </c>
      <c r="L8" s="983"/>
      <c r="M8" s="988"/>
      <c r="N8" s="146" t="s">
        <v>23</v>
      </c>
      <c r="O8" s="145" t="s">
        <v>38</v>
      </c>
      <c r="P8" s="1057"/>
      <c r="Q8" s="988"/>
      <c r="R8" s="146" t="s">
        <v>23</v>
      </c>
      <c r="S8" s="145" t="s">
        <v>38</v>
      </c>
      <c r="T8" s="1057"/>
      <c r="U8" s="980"/>
      <c r="V8" s="993"/>
    </row>
    <row r="9" spans="1:22" ht="15.75" customHeight="1" thickBot="1">
      <c r="A9" s="984" t="s">
        <v>85</v>
      </c>
      <c r="B9" s="985"/>
      <c r="C9" s="985"/>
      <c r="D9" s="985"/>
      <c r="E9" s="985"/>
      <c r="F9" s="985"/>
      <c r="G9" s="985"/>
      <c r="H9" s="985"/>
      <c r="I9" s="985"/>
      <c r="J9" s="985"/>
      <c r="K9" s="985"/>
      <c r="L9" s="985"/>
      <c r="M9" s="985"/>
      <c r="N9" s="985"/>
      <c r="O9" s="985"/>
      <c r="P9" s="985"/>
      <c r="Q9" s="985"/>
      <c r="R9" s="985"/>
      <c r="S9" s="985"/>
      <c r="T9" s="985"/>
      <c r="U9" s="986"/>
      <c r="V9" s="977"/>
    </row>
    <row r="10" spans="1:22" ht="14.25" customHeight="1" thickBot="1">
      <c r="A10" s="1049" t="s">
        <v>70</v>
      </c>
      <c r="B10" s="986"/>
      <c r="C10" s="986"/>
      <c r="D10" s="986"/>
      <c r="E10" s="986"/>
      <c r="F10" s="986"/>
      <c r="G10" s="986"/>
      <c r="H10" s="986"/>
      <c r="I10" s="986"/>
      <c r="J10" s="986"/>
      <c r="K10" s="986"/>
      <c r="L10" s="986"/>
      <c r="M10" s="986"/>
      <c r="N10" s="986"/>
      <c r="O10" s="986"/>
      <c r="P10" s="986"/>
      <c r="Q10" s="986"/>
      <c r="R10" s="986"/>
      <c r="S10" s="986"/>
      <c r="T10" s="986"/>
      <c r="U10" s="986"/>
      <c r="V10" s="977"/>
    </row>
    <row r="11" spans="1:22" ht="15.75" customHeight="1" thickBot="1">
      <c r="A11" s="256" t="s">
        <v>25</v>
      </c>
      <c r="B11" s="1004" t="s">
        <v>134</v>
      </c>
      <c r="C11" s="1004"/>
      <c r="D11" s="1004"/>
      <c r="E11" s="1004"/>
      <c r="F11" s="1004"/>
      <c r="G11" s="1004"/>
      <c r="H11" s="1004"/>
      <c r="I11" s="1004"/>
      <c r="J11" s="1004"/>
      <c r="K11" s="1004"/>
      <c r="L11" s="1004"/>
      <c r="M11" s="1004"/>
      <c r="N11" s="1004"/>
      <c r="O11" s="1004"/>
      <c r="P11" s="1004"/>
      <c r="Q11" s="1004"/>
      <c r="R11" s="1004"/>
      <c r="S11" s="1004"/>
      <c r="T11" s="1004"/>
      <c r="U11" s="1004"/>
      <c r="V11" s="1005"/>
    </row>
    <row r="12" spans="1:22" ht="18" customHeight="1" thickBot="1">
      <c r="A12" s="340" t="s">
        <v>25</v>
      </c>
      <c r="B12" s="257" t="s">
        <v>25</v>
      </c>
      <c r="C12" s="1038" t="s">
        <v>145</v>
      </c>
      <c r="D12" s="1038"/>
      <c r="E12" s="1038"/>
      <c r="F12" s="1038"/>
      <c r="G12" s="1038"/>
      <c r="H12" s="1038"/>
      <c r="I12" s="1038"/>
      <c r="J12" s="1038"/>
      <c r="K12" s="1038"/>
      <c r="L12" s="1038"/>
      <c r="M12" s="1038"/>
      <c r="N12" s="1038"/>
      <c r="O12" s="1038"/>
      <c r="P12" s="1038"/>
      <c r="Q12" s="1038"/>
      <c r="R12" s="1038"/>
      <c r="S12" s="1038"/>
      <c r="T12" s="1038"/>
      <c r="U12" s="1038"/>
      <c r="V12" s="1039"/>
    </row>
    <row r="13" spans="1:22" ht="14.25" customHeight="1">
      <c r="A13" s="390" t="s">
        <v>25</v>
      </c>
      <c r="B13" s="258" t="s">
        <v>25</v>
      </c>
      <c r="C13" s="1043" t="s">
        <v>25</v>
      </c>
      <c r="D13" s="1059" t="s">
        <v>249</v>
      </c>
      <c r="E13" s="965"/>
      <c r="F13" s="1046" t="s">
        <v>26</v>
      </c>
      <c r="G13" s="1040" t="s">
        <v>92</v>
      </c>
      <c r="H13" s="141" t="s">
        <v>27</v>
      </c>
      <c r="I13" s="52">
        <f>J13+L13</f>
        <v>30337</v>
      </c>
      <c r="J13" s="9">
        <v>30337</v>
      </c>
      <c r="K13" s="9">
        <v>20582.7</v>
      </c>
      <c r="L13" s="44"/>
      <c r="M13" s="11">
        <f>N13+P13</f>
        <v>29760.6</v>
      </c>
      <c r="N13" s="12">
        <v>29760.6</v>
      </c>
      <c r="O13" s="12">
        <v>19676.4</v>
      </c>
      <c r="P13" s="10"/>
      <c r="Q13" s="710">
        <f>R13+T13</f>
        <v>27641.1</v>
      </c>
      <c r="R13" s="711">
        <f>27641.1-7.4</f>
        <v>27633.699999999997</v>
      </c>
      <c r="S13" s="711">
        <f>18680.4-11.2</f>
        <v>18669.2</v>
      </c>
      <c r="T13" s="712">
        <f>7.4</f>
        <v>7.4</v>
      </c>
      <c r="U13" s="56">
        <v>29806</v>
      </c>
      <c r="V13" s="35">
        <v>29806</v>
      </c>
    </row>
    <row r="14" spans="1:22" ht="14.25" customHeight="1">
      <c r="A14" s="391"/>
      <c r="B14" s="393"/>
      <c r="C14" s="1044"/>
      <c r="D14" s="1060"/>
      <c r="E14" s="966"/>
      <c r="F14" s="1047"/>
      <c r="G14" s="1041"/>
      <c r="H14" s="323" t="s">
        <v>30</v>
      </c>
      <c r="I14" s="525">
        <f>J14+L14</f>
        <v>15492</v>
      </c>
      <c r="J14" s="17">
        <v>15413.4</v>
      </c>
      <c r="K14" s="17">
        <v>11297.3</v>
      </c>
      <c r="L14" s="526">
        <v>78.6</v>
      </c>
      <c r="M14" s="18">
        <f>P14+N14</f>
        <v>17235.5</v>
      </c>
      <c r="N14" s="23">
        <v>17154.1</v>
      </c>
      <c r="O14" s="23">
        <v>12587.6</v>
      </c>
      <c r="P14" s="503">
        <v>81.4</v>
      </c>
      <c r="Q14" s="349">
        <f>R14+T14</f>
        <v>17284.8</v>
      </c>
      <c r="R14" s="20">
        <v>17236</v>
      </c>
      <c r="S14" s="20">
        <v>12620.5</v>
      </c>
      <c r="T14" s="350">
        <v>48.8</v>
      </c>
      <c r="U14" s="39">
        <v>17227</v>
      </c>
      <c r="V14" s="338">
        <v>17227</v>
      </c>
    </row>
    <row r="15" spans="1:22" ht="14.25" customHeight="1">
      <c r="A15" s="391"/>
      <c r="B15" s="393"/>
      <c r="C15" s="1044"/>
      <c r="D15" s="1060"/>
      <c r="E15" s="966"/>
      <c r="F15" s="1047"/>
      <c r="G15" s="1041"/>
      <c r="H15" s="136" t="s">
        <v>42</v>
      </c>
      <c r="I15" s="226">
        <f>J15+L15</f>
        <v>9127.6</v>
      </c>
      <c r="J15" s="22">
        <v>9127.6</v>
      </c>
      <c r="K15" s="22">
        <v>1140</v>
      </c>
      <c r="L15" s="82"/>
      <c r="M15" s="30">
        <f>N15+P15</f>
        <v>9317</v>
      </c>
      <c r="N15" s="23">
        <v>9317</v>
      </c>
      <c r="O15" s="23">
        <v>1147.8</v>
      </c>
      <c r="P15" s="29"/>
      <c r="Q15" s="351">
        <f>R15+T15</f>
        <v>9299.6</v>
      </c>
      <c r="R15" s="51">
        <v>9299.6</v>
      </c>
      <c r="S15" s="51">
        <v>1162.4</v>
      </c>
      <c r="T15" s="352"/>
      <c r="U15" s="39">
        <v>9229</v>
      </c>
      <c r="V15" s="200">
        <v>9229</v>
      </c>
    </row>
    <row r="16" spans="1:22" ht="14.25" customHeight="1">
      <c r="A16" s="391"/>
      <c r="B16" s="393"/>
      <c r="C16" s="1044"/>
      <c r="D16" s="1060"/>
      <c r="E16" s="966"/>
      <c r="F16" s="1047"/>
      <c r="G16" s="1041"/>
      <c r="H16" s="136" t="s">
        <v>86</v>
      </c>
      <c r="I16" s="226">
        <f>J16+L16</f>
        <v>325.6</v>
      </c>
      <c r="J16" s="28">
        <v>325.6</v>
      </c>
      <c r="K16" s="28"/>
      <c r="L16" s="82"/>
      <c r="M16" s="30"/>
      <c r="N16" s="31"/>
      <c r="O16" s="31"/>
      <c r="P16" s="29"/>
      <c r="Q16" s="353"/>
      <c r="R16" s="354"/>
      <c r="S16" s="354"/>
      <c r="T16" s="355"/>
      <c r="U16" s="225"/>
      <c r="V16" s="225"/>
    </row>
    <row r="17" spans="1:22" ht="14.25" customHeight="1" thickBot="1">
      <c r="A17" s="392"/>
      <c r="B17" s="394"/>
      <c r="C17" s="1045"/>
      <c r="D17" s="1061"/>
      <c r="E17" s="1062"/>
      <c r="F17" s="1048"/>
      <c r="G17" s="1042"/>
      <c r="H17" s="135" t="s">
        <v>28</v>
      </c>
      <c r="I17" s="64">
        <f>L17+J17</f>
        <v>55282.2</v>
      </c>
      <c r="J17" s="79">
        <f aca="true" t="shared" si="0" ref="J17:P17">SUM(J13:J16)</f>
        <v>55203.6</v>
      </c>
      <c r="K17" s="79">
        <f t="shared" si="0"/>
        <v>33020</v>
      </c>
      <c r="L17" s="80">
        <f t="shared" si="0"/>
        <v>78.6</v>
      </c>
      <c r="M17" s="65">
        <f t="shared" si="0"/>
        <v>56313.1</v>
      </c>
      <c r="N17" s="79">
        <f t="shared" si="0"/>
        <v>56231.7</v>
      </c>
      <c r="O17" s="79">
        <f t="shared" si="0"/>
        <v>33411.8</v>
      </c>
      <c r="P17" s="92">
        <f t="shared" si="0"/>
        <v>81.4</v>
      </c>
      <c r="Q17" s="64">
        <f>R17+T17</f>
        <v>54225.49999999999</v>
      </c>
      <c r="R17" s="79">
        <f>SUM(R13:R16)</f>
        <v>54169.299999999996</v>
      </c>
      <c r="S17" s="79">
        <f>SUM(S13:S16)</f>
        <v>32452.100000000002</v>
      </c>
      <c r="T17" s="92">
        <f>SUM(T13:T16)</f>
        <v>56.199999999999996</v>
      </c>
      <c r="U17" s="86">
        <f>SUM(U13:U16)</f>
        <v>56262</v>
      </c>
      <c r="V17" s="86">
        <f>SUM(V13:V16)</f>
        <v>56262</v>
      </c>
    </row>
    <row r="18" spans="1:22" ht="14.25" customHeight="1">
      <c r="A18" s="1016" t="s">
        <v>25</v>
      </c>
      <c r="B18" s="258" t="s">
        <v>25</v>
      </c>
      <c r="C18" s="1075" t="s">
        <v>29</v>
      </c>
      <c r="D18" s="1074" t="s">
        <v>140</v>
      </c>
      <c r="E18" s="966"/>
      <c r="F18" s="1046" t="s">
        <v>26</v>
      </c>
      <c r="G18" s="1041" t="s">
        <v>92</v>
      </c>
      <c r="H18" s="141" t="s">
        <v>27</v>
      </c>
      <c r="I18" s="52">
        <f>J18+L18</f>
        <v>6194.7</v>
      </c>
      <c r="J18" s="9">
        <f>5866+328.7</f>
        <v>6194.7</v>
      </c>
      <c r="K18" s="9">
        <f>4001.1+197.2</f>
        <v>4198.3</v>
      </c>
      <c r="L18" s="44"/>
      <c r="M18" s="11">
        <f>N18+P18</f>
        <v>6296.9</v>
      </c>
      <c r="N18" s="489">
        <v>6296.9</v>
      </c>
      <c r="O18" s="12">
        <v>4169.8</v>
      </c>
      <c r="P18" s="10"/>
      <c r="Q18" s="347">
        <f>R18+T18</f>
        <v>5835.4</v>
      </c>
      <c r="R18" s="14">
        <v>5835.4</v>
      </c>
      <c r="S18" s="14">
        <v>3956.8</v>
      </c>
      <c r="T18" s="348"/>
      <c r="U18" s="56">
        <v>6304</v>
      </c>
      <c r="V18" s="35">
        <v>6304</v>
      </c>
    </row>
    <row r="19" spans="1:22" ht="14.25" customHeight="1">
      <c r="A19" s="1017"/>
      <c r="B19" s="393"/>
      <c r="C19" s="1044"/>
      <c r="D19" s="1067"/>
      <c r="E19" s="966"/>
      <c r="F19" s="1047"/>
      <c r="G19" s="1041"/>
      <c r="H19" s="323" t="s">
        <v>30</v>
      </c>
      <c r="I19" s="525">
        <f>J19+L19</f>
        <v>6268.2</v>
      </c>
      <c r="J19" s="17">
        <f>4412.8+1846.1</f>
        <v>6258.9</v>
      </c>
      <c r="K19" s="17">
        <f>3241.5+1377.3</f>
        <v>4618.8</v>
      </c>
      <c r="L19" s="526">
        <v>9.3</v>
      </c>
      <c r="M19" s="18">
        <f>N19+P19</f>
        <v>6273.3</v>
      </c>
      <c r="N19" s="19">
        <v>6266.7</v>
      </c>
      <c r="O19" s="19">
        <v>4613.9</v>
      </c>
      <c r="P19" s="516">
        <v>6.6</v>
      </c>
      <c r="Q19" s="349">
        <f>R19+T19</f>
        <v>6268</v>
      </c>
      <c r="R19" s="20">
        <v>6261.4</v>
      </c>
      <c r="S19" s="20">
        <v>4619.9</v>
      </c>
      <c r="T19" s="350">
        <v>6.6</v>
      </c>
      <c r="U19" s="88">
        <v>6272</v>
      </c>
      <c r="V19" s="338">
        <v>6272</v>
      </c>
    </row>
    <row r="20" spans="1:22" ht="14.25" customHeight="1">
      <c r="A20" s="1017"/>
      <c r="B20" s="393"/>
      <c r="C20" s="1044"/>
      <c r="D20" s="1067"/>
      <c r="E20" s="966"/>
      <c r="F20" s="1047"/>
      <c r="G20" s="1041"/>
      <c r="H20" s="231" t="s">
        <v>42</v>
      </c>
      <c r="I20" s="527">
        <f>J20+L20</f>
        <v>1942.7</v>
      </c>
      <c r="J20" s="28">
        <v>1942.7</v>
      </c>
      <c r="K20" s="28">
        <v>326.6</v>
      </c>
      <c r="L20" s="46"/>
      <c r="M20" s="49">
        <f>N20+P20</f>
        <v>1828.4</v>
      </c>
      <c r="N20" s="31">
        <v>1828.4</v>
      </c>
      <c r="O20" s="31">
        <v>337.4</v>
      </c>
      <c r="P20" s="62"/>
      <c r="Q20" s="351">
        <f>R20+T20</f>
        <v>1902.2</v>
      </c>
      <c r="R20" s="51">
        <v>1902.2</v>
      </c>
      <c r="S20" s="51">
        <v>371.8</v>
      </c>
      <c r="T20" s="352"/>
      <c r="U20" s="201">
        <v>2135</v>
      </c>
      <c r="V20" s="200">
        <v>2135</v>
      </c>
    </row>
    <row r="21" spans="1:22" ht="14.25" customHeight="1">
      <c r="A21" s="1017"/>
      <c r="B21" s="393"/>
      <c r="C21" s="1044"/>
      <c r="D21" s="1067"/>
      <c r="E21" s="966"/>
      <c r="F21" s="1047"/>
      <c r="G21" s="1041"/>
      <c r="H21" s="136" t="s">
        <v>86</v>
      </c>
      <c r="I21" s="226">
        <f>J21+L21</f>
        <v>60.3</v>
      </c>
      <c r="J21" s="28">
        <v>60.3</v>
      </c>
      <c r="K21" s="28"/>
      <c r="L21" s="82"/>
      <c r="M21" s="30"/>
      <c r="N21" s="31"/>
      <c r="O21" s="31"/>
      <c r="P21" s="29"/>
      <c r="Q21" s="353"/>
      <c r="R21" s="354"/>
      <c r="S21" s="354"/>
      <c r="T21" s="355"/>
      <c r="U21" s="33"/>
      <c r="V21" s="225"/>
    </row>
    <row r="22" spans="1:22" ht="14.25" customHeight="1" thickBot="1">
      <c r="A22" s="1031"/>
      <c r="B22" s="394"/>
      <c r="C22" s="1045"/>
      <c r="D22" s="1068"/>
      <c r="E22" s="1062"/>
      <c r="F22" s="1048"/>
      <c r="G22" s="1042"/>
      <c r="H22" s="135" t="s">
        <v>28</v>
      </c>
      <c r="I22" s="116">
        <f>L22+J22</f>
        <v>14465.899999999998</v>
      </c>
      <c r="J22" s="79">
        <f aca="true" t="shared" si="1" ref="J22:P22">SUM(J18:J21)</f>
        <v>14456.599999999999</v>
      </c>
      <c r="K22" s="116">
        <f t="shared" si="1"/>
        <v>9143.7</v>
      </c>
      <c r="L22" s="80">
        <f t="shared" si="1"/>
        <v>9.3</v>
      </c>
      <c r="M22" s="65">
        <f t="shared" si="1"/>
        <v>14398.6</v>
      </c>
      <c r="N22" s="116">
        <f t="shared" si="1"/>
        <v>14391.999999999998</v>
      </c>
      <c r="O22" s="79">
        <f t="shared" si="1"/>
        <v>9121.1</v>
      </c>
      <c r="P22" s="86">
        <f t="shared" si="1"/>
        <v>6.6</v>
      </c>
      <c r="Q22" s="116">
        <f>R22+T22</f>
        <v>14005.6</v>
      </c>
      <c r="R22" s="79">
        <f>SUM(R18:R21)</f>
        <v>13999</v>
      </c>
      <c r="S22" s="116">
        <f>SUM(S18:S21)</f>
        <v>8948.5</v>
      </c>
      <c r="T22" s="92">
        <f>SUM(T18:T21)</f>
        <v>6.6</v>
      </c>
      <c r="U22" s="81">
        <f>SUM(U18:U21)</f>
        <v>14711</v>
      </c>
      <c r="V22" s="86">
        <f>SUM(V18:V21)</f>
        <v>14711</v>
      </c>
    </row>
    <row r="23" spans="1:22" ht="14.25" customHeight="1">
      <c r="A23" s="1016" t="s">
        <v>25</v>
      </c>
      <c r="B23" s="240" t="s">
        <v>25</v>
      </c>
      <c r="C23" s="994" t="s">
        <v>31</v>
      </c>
      <c r="D23" s="1012" t="s">
        <v>141</v>
      </c>
      <c r="E23" s="965" t="s">
        <v>80</v>
      </c>
      <c r="F23" s="1008" t="s">
        <v>26</v>
      </c>
      <c r="G23" s="969" t="s">
        <v>92</v>
      </c>
      <c r="H23" s="136" t="s">
        <v>27</v>
      </c>
      <c r="I23" s="27">
        <f>J23+L23</f>
        <v>13814.699999999999</v>
      </c>
      <c r="J23" s="28">
        <f>14143.4-328.7</f>
        <v>13814.699999999999</v>
      </c>
      <c r="K23" s="28">
        <f>8769.2-197.2</f>
        <v>8572</v>
      </c>
      <c r="L23" s="32"/>
      <c r="M23" s="30">
        <f>P23+N23</f>
        <v>14442.300000000001</v>
      </c>
      <c r="N23" s="31">
        <f>5574.6+8867.7</f>
        <v>14442.300000000001</v>
      </c>
      <c r="O23" s="31">
        <f>3425.1+5468.1</f>
        <v>8893.2</v>
      </c>
      <c r="P23" s="29"/>
      <c r="Q23" s="361">
        <f>R23+T23</f>
        <v>13444.8</v>
      </c>
      <c r="R23" s="362">
        <v>13444.8</v>
      </c>
      <c r="S23" s="363">
        <v>8430.9</v>
      </c>
      <c r="T23" s="364"/>
      <c r="U23" s="166">
        <f>5487+8730</f>
        <v>14217</v>
      </c>
      <c r="V23" s="166">
        <f>5487+8730</f>
        <v>14217</v>
      </c>
    </row>
    <row r="24" spans="1:22" ht="14.25" customHeight="1">
      <c r="A24" s="1017"/>
      <c r="B24" s="244"/>
      <c r="C24" s="995"/>
      <c r="D24" s="1013"/>
      <c r="E24" s="966"/>
      <c r="F24" s="1009"/>
      <c r="G24" s="970"/>
      <c r="H24" s="139" t="s">
        <v>30</v>
      </c>
      <c r="I24" s="151">
        <f>J24+L24</f>
        <v>87219.6</v>
      </c>
      <c r="J24" s="22">
        <f>82111.8+1812.1+2358.8-1846.1+2757</f>
        <v>87193.6</v>
      </c>
      <c r="K24" s="22">
        <f>61251.2+1342.9+1774.4-1377.3+1426.9</f>
        <v>64418.1</v>
      </c>
      <c r="L24" s="153">
        <v>26</v>
      </c>
      <c r="M24" s="502">
        <f>P24+N24</f>
        <v>83436</v>
      </c>
      <c r="N24" s="23">
        <f>80619.9+2757</f>
        <v>83376.9</v>
      </c>
      <c r="O24" s="23">
        <f>60031+1459.4</f>
        <v>61490.4</v>
      </c>
      <c r="P24" s="120">
        <f>41+18.1</f>
        <v>59.1</v>
      </c>
      <c r="Q24" s="584">
        <f>R24+T24</f>
        <v>82079.8</v>
      </c>
      <c r="R24" s="60">
        <f>79391.8+2647</f>
        <v>82038.8</v>
      </c>
      <c r="S24" s="60">
        <f>59326.8+1401</f>
        <v>60727.8</v>
      </c>
      <c r="T24" s="585">
        <v>41</v>
      </c>
      <c r="U24" s="154">
        <f>33708+44903+2055+2757</f>
        <v>83423</v>
      </c>
      <c r="V24" s="154">
        <f>33708+44903+2055+2757</f>
        <v>83423</v>
      </c>
    </row>
    <row r="25" spans="1:22" ht="14.25" customHeight="1">
      <c r="A25" s="1017"/>
      <c r="B25" s="244"/>
      <c r="C25" s="995"/>
      <c r="D25" s="1013"/>
      <c r="E25" s="966"/>
      <c r="F25" s="1009"/>
      <c r="G25" s="970"/>
      <c r="H25" s="360" t="s">
        <v>42</v>
      </c>
      <c r="I25" s="151">
        <f>J25+L25</f>
        <v>4059.5</v>
      </c>
      <c r="J25" s="22">
        <v>4051.5</v>
      </c>
      <c r="K25" s="22">
        <v>1112.4</v>
      </c>
      <c r="L25" s="153">
        <v>8</v>
      </c>
      <c r="M25" s="502">
        <f>P25+N25</f>
        <v>3668.3</v>
      </c>
      <c r="N25" s="23">
        <f>1304.7+2359.6</f>
        <v>3664.3</v>
      </c>
      <c r="O25" s="23">
        <f>459.6+578.4</f>
        <v>1038</v>
      </c>
      <c r="P25" s="503">
        <v>4</v>
      </c>
      <c r="Q25" s="365">
        <f>R25+T25</f>
        <v>3810.3999999999996</v>
      </c>
      <c r="R25" s="362">
        <f>3773.7+10.2</f>
        <v>3783.8999999999996</v>
      </c>
      <c r="S25" s="362">
        <v>1051</v>
      </c>
      <c r="T25" s="366">
        <f>17+9.5</f>
        <v>26.5</v>
      </c>
      <c r="U25" s="166">
        <f>1308+2354</f>
        <v>3662</v>
      </c>
      <c r="V25" s="166">
        <f>1308+2354</f>
        <v>3662</v>
      </c>
    </row>
    <row r="26" spans="1:22" s="248" customFormat="1" ht="14.25" customHeight="1">
      <c r="A26" s="1017"/>
      <c r="B26" s="244"/>
      <c r="C26" s="995"/>
      <c r="D26" s="1013"/>
      <c r="E26" s="966"/>
      <c r="F26" s="1009"/>
      <c r="G26" s="970"/>
      <c r="H26" s="139" t="s">
        <v>17</v>
      </c>
      <c r="I26" s="151">
        <f>J26+L26</f>
        <v>100</v>
      </c>
      <c r="J26" s="22">
        <v>100</v>
      </c>
      <c r="K26" s="22"/>
      <c r="L26" s="153"/>
      <c r="M26" s="502">
        <f>P26+N26</f>
        <v>200</v>
      </c>
      <c r="N26" s="23">
        <v>200</v>
      </c>
      <c r="O26" s="23"/>
      <c r="P26" s="503"/>
      <c r="Q26" s="367">
        <f>R26+T26</f>
        <v>200</v>
      </c>
      <c r="R26" s="60">
        <v>200</v>
      </c>
      <c r="S26" s="372"/>
      <c r="T26" s="368"/>
      <c r="U26" s="265">
        <v>200</v>
      </c>
      <c r="V26" s="265">
        <v>200</v>
      </c>
    </row>
    <row r="27" spans="1:22" ht="14.25" customHeight="1">
      <c r="A27" s="1017"/>
      <c r="B27" s="244"/>
      <c r="C27" s="995"/>
      <c r="D27" s="1013"/>
      <c r="E27" s="966"/>
      <c r="F27" s="1009"/>
      <c r="G27" s="970"/>
      <c r="H27" s="136" t="s">
        <v>86</v>
      </c>
      <c r="I27" s="27">
        <f>J27+L27</f>
        <v>796</v>
      </c>
      <c r="J27" s="28">
        <v>796</v>
      </c>
      <c r="K27" s="28"/>
      <c r="L27" s="32"/>
      <c r="M27" s="30"/>
      <c r="N27" s="31"/>
      <c r="O27" s="31"/>
      <c r="P27" s="29"/>
      <c r="Q27" s="365"/>
      <c r="R27" s="362"/>
      <c r="S27" s="362"/>
      <c r="T27" s="366"/>
      <c r="U27" s="166"/>
      <c r="V27" s="166"/>
    </row>
    <row r="28" spans="1:22" ht="14.25" customHeight="1" thickBot="1">
      <c r="A28" s="245"/>
      <c r="B28" s="394"/>
      <c r="C28" s="343"/>
      <c r="D28" s="344"/>
      <c r="E28" s="396"/>
      <c r="F28" s="345"/>
      <c r="G28" s="400"/>
      <c r="H28" s="135" t="s">
        <v>28</v>
      </c>
      <c r="I28" s="116">
        <f>L28+J28</f>
        <v>105989.8</v>
      </c>
      <c r="J28" s="79">
        <f aca="true" t="shared" si="2" ref="J28:P28">SUM(J23:J27)</f>
        <v>105955.8</v>
      </c>
      <c r="K28" s="116">
        <f t="shared" si="2"/>
        <v>74102.5</v>
      </c>
      <c r="L28" s="80">
        <f t="shared" si="2"/>
        <v>34</v>
      </c>
      <c r="M28" s="65">
        <f t="shared" si="2"/>
        <v>101746.6</v>
      </c>
      <c r="N28" s="116">
        <f t="shared" si="2"/>
        <v>101683.5</v>
      </c>
      <c r="O28" s="79">
        <f t="shared" si="2"/>
        <v>71421.6</v>
      </c>
      <c r="P28" s="86">
        <f t="shared" si="2"/>
        <v>63.1</v>
      </c>
      <c r="Q28" s="132">
        <f aca="true" t="shared" si="3" ref="Q28:Q33">R28+T28</f>
        <v>99535</v>
      </c>
      <c r="R28" s="129">
        <f>SUM(R23:R27)</f>
        <v>99467.5</v>
      </c>
      <c r="S28" s="132">
        <f>SUM(S23:S27)</f>
        <v>70209.7</v>
      </c>
      <c r="T28" s="130">
        <f>SUM(T23:T27)</f>
        <v>67.5</v>
      </c>
      <c r="U28" s="97">
        <f>SUM(U23:U27)</f>
        <v>101502</v>
      </c>
      <c r="V28" s="97">
        <f>SUM(V23:V27)</f>
        <v>101502</v>
      </c>
    </row>
    <row r="29" spans="1:22" ht="14.25" customHeight="1">
      <c r="A29" s="1027" t="s">
        <v>25</v>
      </c>
      <c r="B29" s="1029" t="s">
        <v>25</v>
      </c>
      <c r="C29" s="1010" t="s">
        <v>33</v>
      </c>
      <c r="D29" s="1025" t="s">
        <v>112</v>
      </c>
      <c r="E29" s="1006"/>
      <c r="F29" s="1008" t="s">
        <v>26</v>
      </c>
      <c r="G29" s="1023">
        <v>2</v>
      </c>
      <c r="H29" s="288" t="s">
        <v>27</v>
      </c>
      <c r="I29" s="8">
        <f>J29+L29</f>
        <v>14868.5</v>
      </c>
      <c r="J29" s="9">
        <v>14868.5</v>
      </c>
      <c r="K29" s="9">
        <v>10981.8</v>
      </c>
      <c r="L29" s="15"/>
      <c r="M29" s="52">
        <f>N29+P29</f>
        <v>15088.8</v>
      </c>
      <c r="N29" s="12">
        <v>15088.8</v>
      </c>
      <c r="O29" s="12">
        <v>11163.3</v>
      </c>
      <c r="P29" s="137"/>
      <c r="Q29" s="13">
        <f t="shared" si="3"/>
        <v>14100.6</v>
      </c>
      <c r="R29" s="14">
        <v>14100.6</v>
      </c>
      <c r="S29" s="14">
        <v>10446.8</v>
      </c>
      <c r="T29" s="348"/>
      <c r="U29" s="330">
        <v>15100</v>
      </c>
      <c r="V29" s="330">
        <v>15100</v>
      </c>
    </row>
    <row r="30" spans="1:22" ht="14.25" customHeight="1">
      <c r="A30" s="1028"/>
      <c r="B30" s="1030"/>
      <c r="C30" s="1011"/>
      <c r="D30" s="1026"/>
      <c r="E30" s="1007"/>
      <c r="F30" s="1009"/>
      <c r="G30" s="1024"/>
      <c r="H30" s="138" t="s">
        <v>30</v>
      </c>
      <c r="I30" s="160">
        <f>J30+L30</f>
        <v>454.80000000000007</v>
      </c>
      <c r="J30" s="17">
        <f>233.3+47.3+163.1+11.1</f>
        <v>454.80000000000007</v>
      </c>
      <c r="K30" s="17">
        <f>168.8+36.1+118.1+8.3</f>
        <v>331.3</v>
      </c>
      <c r="L30" s="32"/>
      <c r="M30" s="38">
        <f>N30+P30</f>
        <v>460</v>
      </c>
      <c r="N30" s="22">
        <f>230.5+48+171.9+9.6</f>
        <v>460</v>
      </c>
      <c r="O30" s="22">
        <f>166.7+36.6+124.5+7.1</f>
        <v>334.9</v>
      </c>
      <c r="P30" s="70"/>
      <c r="Q30" s="164">
        <f t="shared" si="3"/>
        <v>595.6</v>
      </c>
      <c r="R30" s="20">
        <v>595.6</v>
      </c>
      <c r="S30" s="20">
        <v>438.4</v>
      </c>
      <c r="T30" s="355"/>
      <c r="U30" s="54">
        <f>230+48+172+10</f>
        <v>460</v>
      </c>
      <c r="V30" s="54">
        <f>230+48+172+10</f>
        <v>460</v>
      </c>
    </row>
    <row r="31" spans="1:22" ht="14.25" customHeight="1">
      <c r="A31" s="1028"/>
      <c r="B31" s="1030"/>
      <c r="C31" s="1011"/>
      <c r="D31" s="1026"/>
      <c r="E31" s="1007"/>
      <c r="F31" s="1009"/>
      <c r="G31" s="1024"/>
      <c r="H31" s="296" t="s">
        <v>42</v>
      </c>
      <c r="I31" s="160">
        <f>J31+L31</f>
        <v>844.3</v>
      </c>
      <c r="J31" s="22">
        <f>749.9+13.4</f>
        <v>763.3</v>
      </c>
      <c r="K31" s="22">
        <v>198.3</v>
      </c>
      <c r="L31" s="70">
        <v>81</v>
      </c>
      <c r="M31" s="151">
        <f>N31+P31</f>
        <v>910.6999999999999</v>
      </c>
      <c r="N31" s="22">
        <v>823.8</v>
      </c>
      <c r="O31" s="22">
        <v>198.4</v>
      </c>
      <c r="P31" s="70">
        <v>86.9</v>
      </c>
      <c r="Q31" s="370">
        <f t="shared" si="3"/>
        <v>923.1999999999999</v>
      </c>
      <c r="R31" s="51">
        <v>826.3</v>
      </c>
      <c r="S31" s="51">
        <v>198.4</v>
      </c>
      <c r="T31" s="355">
        <v>96.9</v>
      </c>
      <c r="U31" s="54">
        <v>910</v>
      </c>
      <c r="V31" s="331">
        <v>910</v>
      </c>
    </row>
    <row r="32" spans="1:22" ht="14.25" customHeight="1" thickBot="1">
      <c r="A32" s="336"/>
      <c r="B32" s="394"/>
      <c r="C32" s="397"/>
      <c r="D32" s="312"/>
      <c r="E32" s="398"/>
      <c r="F32" s="346"/>
      <c r="G32" s="399"/>
      <c r="H32" s="135" t="s">
        <v>28</v>
      </c>
      <c r="I32" s="116">
        <f>L32+J32</f>
        <v>16167.6</v>
      </c>
      <c r="J32" s="79">
        <f>J31+J30+J29</f>
        <v>16086.6</v>
      </c>
      <c r="K32" s="116">
        <f>K31+K30+K29</f>
        <v>11511.4</v>
      </c>
      <c r="L32" s="80">
        <f>+L31+L30+L29</f>
        <v>81</v>
      </c>
      <c r="M32" s="98">
        <f aca="true" t="shared" si="4" ref="M32:V32">SUM(M29:M31)</f>
        <v>16459.5</v>
      </c>
      <c r="N32" s="79">
        <f t="shared" si="4"/>
        <v>16372.599999999999</v>
      </c>
      <c r="O32" s="116">
        <f t="shared" si="4"/>
        <v>11696.599999999999</v>
      </c>
      <c r="P32" s="79">
        <f t="shared" si="4"/>
        <v>86.9</v>
      </c>
      <c r="Q32" s="95">
        <f t="shared" si="3"/>
        <v>15619.4</v>
      </c>
      <c r="R32" s="132">
        <f>SUM(R29:R31)</f>
        <v>15522.5</v>
      </c>
      <c r="S32" s="129">
        <f>SUM(S29:S31)</f>
        <v>11083.599999999999</v>
      </c>
      <c r="T32" s="128">
        <f>SUM(T29:T31)</f>
        <v>96.9</v>
      </c>
      <c r="U32" s="95">
        <f t="shared" si="4"/>
        <v>16470</v>
      </c>
      <c r="V32" s="97">
        <f t="shared" si="4"/>
        <v>16470</v>
      </c>
    </row>
    <row r="33" spans="1:22" ht="15" customHeight="1" thickBot="1">
      <c r="A33" s="255" t="s">
        <v>25</v>
      </c>
      <c r="B33" s="239" t="s">
        <v>25</v>
      </c>
      <c r="C33" s="1021" t="s">
        <v>32</v>
      </c>
      <c r="D33" s="1021"/>
      <c r="E33" s="1021"/>
      <c r="F33" s="1021"/>
      <c r="G33" s="1021"/>
      <c r="H33" s="1022"/>
      <c r="I33" s="72">
        <f>L33+J33</f>
        <v>191905.5</v>
      </c>
      <c r="J33" s="112">
        <f aca="true" t="shared" si="5" ref="J33:P33">J32+J28+J22+J17</f>
        <v>191702.6</v>
      </c>
      <c r="K33" s="105">
        <f t="shared" si="5"/>
        <v>127777.59999999999</v>
      </c>
      <c r="L33" s="112">
        <f t="shared" si="5"/>
        <v>202.89999999999998</v>
      </c>
      <c r="M33" s="72">
        <f t="shared" si="5"/>
        <v>188917.80000000002</v>
      </c>
      <c r="N33" s="112">
        <f t="shared" si="5"/>
        <v>188679.8</v>
      </c>
      <c r="O33" s="105">
        <f t="shared" si="5"/>
        <v>125651.10000000002</v>
      </c>
      <c r="P33" s="112">
        <f t="shared" si="5"/>
        <v>238</v>
      </c>
      <c r="Q33" s="34">
        <f t="shared" si="3"/>
        <v>183385.5</v>
      </c>
      <c r="R33" s="105">
        <f>R32+R28+R22+R17</f>
        <v>183158.3</v>
      </c>
      <c r="S33" s="112">
        <f>S32+S28+S22+S17</f>
        <v>122693.9</v>
      </c>
      <c r="T33" s="111">
        <f>T32+T28+T22+T17</f>
        <v>227.2</v>
      </c>
      <c r="U33" s="34">
        <f>U32+U28+U22+U17</f>
        <v>188945</v>
      </c>
      <c r="V33" s="85">
        <f>V32+V28+V22+V17</f>
        <v>188945</v>
      </c>
    </row>
    <row r="34" spans="1:22" ht="18.75" customHeight="1" thickBot="1">
      <c r="A34" s="255" t="s">
        <v>25</v>
      </c>
      <c r="B34" s="259" t="s">
        <v>29</v>
      </c>
      <c r="C34" s="971" t="s">
        <v>100</v>
      </c>
      <c r="D34" s="972"/>
      <c r="E34" s="972"/>
      <c r="F34" s="972"/>
      <c r="G34" s="972"/>
      <c r="H34" s="972"/>
      <c r="I34" s="972"/>
      <c r="J34" s="972"/>
      <c r="K34" s="972"/>
      <c r="L34" s="972"/>
      <c r="M34" s="972"/>
      <c r="N34" s="972"/>
      <c r="O34" s="972"/>
      <c r="P34" s="972"/>
      <c r="Q34" s="972"/>
      <c r="R34" s="972"/>
      <c r="S34" s="972"/>
      <c r="T34" s="972"/>
      <c r="U34" s="972"/>
      <c r="V34" s="956"/>
    </row>
    <row r="35" spans="1:22" ht="16.5" customHeight="1">
      <c r="A35" s="951" t="s">
        <v>25</v>
      </c>
      <c r="B35" s="962" t="s">
        <v>29</v>
      </c>
      <c r="C35" s="1018" t="s">
        <v>25</v>
      </c>
      <c r="D35" s="1071" t="s">
        <v>137</v>
      </c>
      <c r="E35" s="1063" t="s">
        <v>83</v>
      </c>
      <c r="F35" s="108" t="s">
        <v>26</v>
      </c>
      <c r="G35" s="996">
        <v>2</v>
      </c>
      <c r="H35" s="7" t="s">
        <v>27</v>
      </c>
      <c r="I35" s="8">
        <f>J35+L35</f>
        <v>611.3</v>
      </c>
      <c r="J35" s="9">
        <v>611.3</v>
      </c>
      <c r="K35" s="9">
        <v>442.9</v>
      </c>
      <c r="L35" s="15"/>
      <c r="M35" s="11">
        <f>N35+P35</f>
        <v>624.1</v>
      </c>
      <c r="N35" s="9">
        <v>624.1</v>
      </c>
      <c r="O35" s="12">
        <v>450.7</v>
      </c>
      <c r="P35" s="10"/>
      <c r="Q35" s="347">
        <f aca="true" t="shared" si="6" ref="Q35:Q40">R35+T35</f>
        <v>590.8</v>
      </c>
      <c r="R35" s="14">
        <v>590.8</v>
      </c>
      <c r="S35" s="14">
        <v>428.5</v>
      </c>
      <c r="T35" s="55"/>
      <c r="U35" s="56">
        <v>623</v>
      </c>
      <c r="V35" s="56">
        <v>623</v>
      </c>
    </row>
    <row r="36" spans="1:22" ht="16.5" customHeight="1">
      <c r="A36" s="1077"/>
      <c r="B36" s="963"/>
      <c r="C36" s="1019"/>
      <c r="D36" s="1072"/>
      <c r="E36" s="1064"/>
      <c r="F36" s="109"/>
      <c r="G36" s="997"/>
      <c r="H36" s="66" t="s">
        <v>30</v>
      </c>
      <c r="I36" s="151">
        <f>J36+L36</f>
        <v>617.8</v>
      </c>
      <c r="J36" s="22">
        <v>617.8</v>
      </c>
      <c r="K36" s="22">
        <v>471.4</v>
      </c>
      <c r="L36" s="32"/>
      <c r="M36" s="151">
        <f>N36+P36</f>
        <v>606.7</v>
      </c>
      <c r="N36" s="22">
        <v>606.7</v>
      </c>
      <c r="O36" s="22">
        <v>462.8</v>
      </c>
      <c r="P36" s="153"/>
      <c r="Q36" s="504">
        <f t="shared" si="6"/>
        <v>606</v>
      </c>
      <c r="R36" s="25">
        <v>606</v>
      </c>
      <c r="S36" s="25">
        <v>462.8</v>
      </c>
      <c r="T36" s="371"/>
      <c r="U36" s="54">
        <v>606</v>
      </c>
      <c r="V36" s="54">
        <v>606</v>
      </c>
    </row>
    <row r="37" spans="1:22" ht="16.5" customHeight="1">
      <c r="A37" s="1077"/>
      <c r="B37" s="963"/>
      <c r="C37" s="1019"/>
      <c r="D37" s="1072"/>
      <c r="E37" s="1064"/>
      <c r="F37" s="109"/>
      <c r="G37" s="518"/>
      <c r="H37" s="204" t="s">
        <v>42</v>
      </c>
      <c r="I37" s="123">
        <f>J37+L37</f>
        <v>0.8</v>
      </c>
      <c r="J37" s="82">
        <v>0.8</v>
      </c>
      <c r="K37" s="82"/>
      <c r="L37" s="32"/>
      <c r="M37" s="123"/>
      <c r="N37" s="82"/>
      <c r="O37" s="82"/>
      <c r="P37" s="32"/>
      <c r="Q37" s="126">
        <f t="shared" si="6"/>
        <v>1</v>
      </c>
      <c r="R37" s="371">
        <v>1</v>
      </c>
      <c r="S37" s="371"/>
      <c r="T37" s="371"/>
      <c r="U37" s="331"/>
      <c r="V37" s="331"/>
    </row>
    <row r="38" spans="1:22" ht="16.5" customHeight="1" thickBot="1">
      <c r="A38" s="952"/>
      <c r="B38" s="964"/>
      <c r="C38" s="1020"/>
      <c r="D38" s="1073"/>
      <c r="E38" s="1065"/>
      <c r="F38" s="110"/>
      <c r="G38" s="282"/>
      <c r="H38" s="83" t="s">
        <v>28</v>
      </c>
      <c r="I38" s="98">
        <f>SUM(I35:I37)</f>
        <v>1229.8999999999999</v>
      </c>
      <c r="J38" s="80">
        <f>SUM(J35:J37)</f>
        <v>1229.8999999999999</v>
      </c>
      <c r="K38" s="80">
        <f>SUM(K35:K36)</f>
        <v>914.3</v>
      </c>
      <c r="L38" s="92"/>
      <c r="M38" s="98">
        <f>SUM(M35:M36)</f>
        <v>1230.8000000000002</v>
      </c>
      <c r="N38" s="80">
        <f>SUM(N35:N36)</f>
        <v>1230.8000000000002</v>
      </c>
      <c r="O38" s="80">
        <f>SUM(O35:O36)</f>
        <v>913.5</v>
      </c>
      <c r="P38" s="92"/>
      <c r="Q38" s="116">
        <f t="shared" si="6"/>
        <v>1197.8</v>
      </c>
      <c r="R38" s="80">
        <f>SUM(R35:R37)</f>
        <v>1197.8</v>
      </c>
      <c r="S38" s="80">
        <f>SUM(S35:S37)</f>
        <v>891.3</v>
      </c>
      <c r="T38" s="80"/>
      <c r="U38" s="81">
        <f>SUM(U35:U36)</f>
        <v>1229</v>
      </c>
      <c r="V38" s="81">
        <f>SUM(V35:V36)</f>
        <v>1229</v>
      </c>
    </row>
    <row r="39" spans="1:22" ht="13.5" customHeight="1">
      <c r="A39" s="298" t="s">
        <v>25</v>
      </c>
      <c r="B39" s="299" t="s">
        <v>29</v>
      </c>
      <c r="C39" s="300" t="s">
        <v>29</v>
      </c>
      <c r="D39" s="1066" t="s">
        <v>138</v>
      </c>
      <c r="E39" s="301"/>
      <c r="F39" s="302" t="s">
        <v>26</v>
      </c>
      <c r="G39" s="342" t="s">
        <v>92</v>
      </c>
      <c r="H39" s="141" t="s">
        <v>27</v>
      </c>
      <c r="I39" s="8">
        <f>J39+L39</f>
        <v>1072.8</v>
      </c>
      <c r="J39" s="9">
        <v>1072.8</v>
      </c>
      <c r="K39" s="9">
        <v>765.7</v>
      </c>
      <c r="L39" s="15"/>
      <c r="M39" s="517">
        <f>N39+P39</f>
        <v>1054.7</v>
      </c>
      <c r="N39" s="12">
        <v>1054.7</v>
      </c>
      <c r="O39" s="12">
        <v>744.3</v>
      </c>
      <c r="P39" s="137"/>
      <c r="Q39" s="13">
        <f t="shared" si="6"/>
        <v>994.9</v>
      </c>
      <c r="R39" s="14">
        <v>994.9</v>
      </c>
      <c r="S39" s="14">
        <v>709.3</v>
      </c>
      <c r="T39" s="125"/>
      <c r="U39" s="162">
        <v>1057</v>
      </c>
      <c r="V39" s="162">
        <v>1057</v>
      </c>
    </row>
    <row r="40" spans="1:22" ht="13.5" customHeight="1">
      <c r="A40" s="303"/>
      <c r="B40" s="304"/>
      <c r="C40" s="305"/>
      <c r="D40" s="1067"/>
      <c r="E40" s="306"/>
      <c r="F40" s="307"/>
      <c r="G40" s="308"/>
      <c r="H40" s="139" t="s">
        <v>30</v>
      </c>
      <c r="I40" s="160">
        <f>J40+L40</f>
        <v>235.5</v>
      </c>
      <c r="J40" s="17">
        <v>235.5</v>
      </c>
      <c r="K40" s="22">
        <v>173.5</v>
      </c>
      <c r="L40" s="153"/>
      <c r="M40" s="502">
        <f>N40+P40</f>
        <v>246.9</v>
      </c>
      <c r="N40" s="23">
        <v>246.9</v>
      </c>
      <c r="O40" s="23">
        <v>184.2</v>
      </c>
      <c r="P40" s="198"/>
      <c r="Q40" s="24">
        <f t="shared" si="6"/>
        <v>251.1</v>
      </c>
      <c r="R40" s="25">
        <v>251.1</v>
      </c>
      <c r="S40" s="25">
        <v>187.4</v>
      </c>
      <c r="T40" s="118"/>
      <c r="U40" s="154">
        <v>268</v>
      </c>
      <c r="V40" s="154">
        <v>268</v>
      </c>
    </row>
    <row r="41" spans="1:22" ht="13.5" customHeight="1">
      <c r="A41" s="303"/>
      <c r="B41" s="304"/>
      <c r="C41" s="305"/>
      <c r="D41" s="1067"/>
      <c r="E41" s="306"/>
      <c r="F41" s="307"/>
      <c r="G41" s="308"/>
      <c r="H41" s="297" t="s">
        <v>42</v>
      </c>
      <c r="I41" s="151">
        <f>J41+L41</f>
        <v>115</v>
      </c>
      <c r="J41" s="22">
        <f>114.2+0.8</f>
        <v>115</v>
      </c>
      <c r="K41" s="82">
        <v>19</v>
      </c>
      <c r="L41" s="153"/>
      <c r="M41" s="167">
        <f>N41+P41</f>
        <v>112.2</v>
      </c>
      <c r="N41" s="23">
        <v>112.2</v>
      </c>
      <c r="O41" s="23">
        <v>16.4</v>
      </c>
      <c r="P41" s="198"/>
      <c r="Q41" s="24">
        <f aca="true" t="shared" si="7" ref="Q41:Q47">R41+T41</f>
        <v>113.8</v>
      </c>
      <c r="R41" s="25">
        <v>113.8</v>
      </c>
      <c r="S41" s="25">
        <v>16.4</v>
      </c>
      <c r="T41" s="126"/>
      <c r="U41" s="166">
        <v>115</v>
      </c>
      <c r="V41" s="154">
        <v>115</v>
      </c>
    </row>
    <row r="42" spans="1:22" ht="13.5" customHeight="1" thickBot="1">
      <c r="A42" s="309"/>
      <c r="B42" s="310"/>
      <c r="C42" s="311"/>
      <c r="D42" s="1068"/>
      <c r="E42" s="312"/>
      <c r="F42" s="313"/>
      <c r="G42" s="314"/>
      <c r="H42" s="140" t="s">
        <v>28</v>
      </c>
      <c r="I42" s="98">
        <f>SUM(I39:I41)</f>
        <v>1423.3</v>
      </c>
      <c r="J42" s="79">
        <f>SUM(J39:J41)</f>
        <v>1423.3</v>
      </c>
      <c r="K42" s="116">
        <f>SUM(K39:K41)</f>
        <v>958.2</v>
      </c>
      <c r="L42" s="92"/>
      <c r="M42" s="65">
        <f>SUM(M39:M41)</f>
        <v>1413.8000000000002</v>
      </c>
      <c r="N42" s="64">
        <f>SUM(N39:N41)</f>
        <v>1413.8000000000002</v>
      </c>
      <c r="O42" s="79">
        <f>SUM(O39:O41)</f>
        <v>944.9</v>
      </c>
      <c r="P42" s="80"/>
      <c r="Q42" s="98">
        <f>R42+T42</f>
        <v>1359.8</v>
      </c>
      <c r="R42" s="79">
        <f>SUM(R39:R41)</f>
        <v>1359.8</v>
      </c>
      <c r="S42" s="116">
        <f>SUM(S39:S41)</f>
        <v>913.0999999999999</v>
      </c>
      <c r="T42" s="92"/>
      <c r="U42" s="81">
        <f>SUM(U39:U41)</f>
        <v>1440</v>
      </c>
      <c r="V42" s="86">
        <f>SUM(V39:V41)</f>
        <v>1440</v>
      </c>
    </row>
    <row r="43" spans="1:22" ht="15" customHeight="1">
      <c r="A43" s="1078" t="s">
        <v>25</v>
      </c>
      <c r="B43" s="959" t="s">
        <v>29</v>
      </c>
      <c r="C43" s="1081" t="s">
        <v>31</v>
      </c>
      <c r="D43" s="1089" t="s">
        <v>139</v>
      </c>
      <c r="E43" s="957" t="s">
        <v>84</v>
      </c>
      <c r="F43" s="1092" t="s">
        <v>26</v>
      </c>
      <c r="G43" s="1116">
        <v>2</v>
      </c>
      <c r="H43" s="121" t="s">
        <v>27</v>
      </c>
      <c r="I43" s="8">
        <f>J43+L43</f>
        <v>380.8</v>
      </c>
      <c r="J43" s="9">
        <f>380.8</f>
        <v>380.8</v>
      </c>
      <c r="K43" s="9">
        <v>270.8</v>
      </c>
      <c r="L43" s="15"/>
      <c r="M43" s="18">
        <f>N43+P43</f>
        <v>388.3</v>
      </c>
      <c r="N43" s="19">
        <v>388.3</v>
      </c>
      <c r="O43" s="19">
        <v>270.9</v>
      </c>
      <c r="P43" s="224"/>
      <c r="Q43" s="13">
        <f t="shared" si="7"/>
        <v>361.5</v>
      </c>
      <c r="R43" s="14">
        <v>361.5</v>
      </c>
      <c r="S43" s="14">
        <v>257.4</v>
      </c>
      <c r="T43" s="348"/>
      <c r="U43" s="88">
        <v>388</v>
      </c>
      <c r="V43" s="88">
        <v>386.6</v>
      </c>
    </row>
    <row r="44" spans="1:22" ht="15" customHeight="1">
      <c r="A44" s="1079"/>
      <c r="B44" s="960"/>
      <c r="C44" s="1019"/>
      <c r="D44" s="1090"/>
      <c r="E44" s="1094"/>
      <c r="F44" s="1093"/>
      <c r="G44" s="1116"/>
      <c r="H44" s="122" t="s">
        <v>42</v>
      </c>
      <c r="I44" s="27">
        <f>J44+L44</f>
        <v>170</v>
      </c>
      <c r="J44" s="28">
        <v>170</v>
      </c>
      <c r="K44" s="28">
        <v>20</v>
      </c>
      <c r="L44" s="32"/>
      <c r="M44" s="49">
        <f>N44+P44</f>
        <v>230</v>
      </c>
      <c r="N44" s="50">
        <v>230</v>
      </c>
      <c r="O44" s="50">
        <v>20.5</v>
      </c>
      <c r="P44" s="48"/>
      <c r="Q44" s="488">
        <f>R44+T44</f>
        <v>230</v>
      </c>
      <c r="R44" s="354">
        <v>226</v>
      </c>
      <c r="S44" s="354">
        <v>20.5</v>
      </c>
      <c r="T44" s="355">
        <v>4</v>
      </c>
      <c r="U44" s="332">
        <v>230</v>
      </c>
      <c r="V44" s="332">
        <v>230</v>
      </c>
    </row>
    <row r="45" spans="1:25" ht="15" customHeight="1" thickBot="1">
      <c r="A45" s="1080"/>
      <c r="B45" s="961"/>
      <c r="C45" s="1082"/>
      <c r="D45" s="1091"/>
      <c r="E45" s="958"/>
      <c r="F45" s="999"/>
      <c r="G45" s="1117"/>
      <c r="H45" s="114" t="s">
        <v>28</v>
      </c>
      <c r="I45" s="65">
        <f>L45+J45</f>
        <v>550.8</v>
      </c>
      <c r="J45" s="79">
        <f>SUM(J43:J44)</f>
        <v>550.8</v>
      </c>
      <c r="K45" s="79">
        <f>SUM(K43:K44)</f>
        <v>290.8</v>
      </c>
      <c r="L45" s="92"/>
      <c r="M45" s="65">
        <f>SUM(M43:M44)</f>
        <v>618.3</v>
      </c>
      <c r="N45" s="79">
        <f>SUM(N43:N44)</f>
        <v>618.3</v>
      </c>
      <c r="O45" s="79">
        <f>SUM(O43:O44)</f>
        <v>291.4</v>
      </c>
      <c r="P45" s="80"/>
      <c r="Q45" s="65">
        <f>R45+T45</f>
        <v>591.5</v>
      </c>
      <c r="R45" s="79">
        <f>SUM(R43:R44)</f>
        <v>587.5</v>
      </c>
      <c r="S45" s="79">
        <f>SUM(S43:S44)</f>
        <v>277.9</v>
      </c>
      <c r="T45" s="92">
        <f>SUM(T43:T44)</f>
        <v>4</v>
      </c>
      <c r="U45" s="81">
        <f>SUM(U43:U44)</f>
        <v>618</v>
      </c>
      <c r="V45" s="81">
        <f>SUM(V43:V44)</f>
        <v>616.6</v>
      </c>
      <c r="X45" s="263"/>
      <c r="Y45" s="263"/>
    </row>
    <row r="46" spans="1:22" ht="22.5" customHeight="1">
      <c r="A46" s="238" t="s">
        <v>25</v>
      </c>
      <c r="B46" s="1029" t="s">
        <v>29</v>
      </c>
      <c r="C46" s="1069" t="s">
        <v>33</v>
      </c>
      <c r="D46" s="1118" t="s">
        <v>113</v>
      </c>
      <c r="E46" s="142"/>
      <c r="F46" s="227" t="s">
        <v>26</v>
      </c>
      <c r="G46" s="273">
        <v>2</v>
      </c>
      <c r="H46" s="228" t="s">
        <v>27</v>
      </c>
      <c r="I46" s="149">
        <f>J46+L46</f>
        <v>72.7</v>
      </c>
      <c r="J46" s="73">
        <f>20+52.7</f>
        <v>72.7</v>
      </c>
      <c r="K46" s="73"/>
      <c r="L46" s="74"/>
      <c r="M46" s="193">
        <f>N46+P46</f>
        <v>84.6</v>
      </c>
      <c r="N46" s="194">
        <f>27+57.6</f>
        <v>84.6</v>
      </c>
      <c r="O46" s="194"/>
      <c r="P46" s="229"/>
      <c r="Q46" s="401">
        <f t="shared" si="7"/>
        <v>65.4</v>
      </c>
      <c r="R46" s="387">
        <v>65.4</v>
      </c>
      <c r="S46" s="387"/>
      <c r="T46" s="389"/>
      <c r="U46" s="115">
        <f>25+58</f>
        <v>83</v>
      </c>
      <c r="V46" s="115">
        <f>25+58</f>
        <v>83</v>
      </c>
    </row>
    <row r="47" spans="1:22" ht="20.25" customHeight="1" thickBot="1">
      <c r="A47" s="246"/>
      <c r="B47" s="1095"/>
      <c r="C47" s="1070"/>
      <c r="D47" s="1119"/>
      <c r="E47" s="143"/>
      <c r="F47" s="230"/>
      <c r="G47" s="274"/>
      <c r="H47" s="135" t="s">
        <v>28</v>
      </c>
      <c r="I47" s="98">
        <f>SUM(I46:I46)</f>
        <v>72.7</v>
      </c>
      <c r="J47" s="79">
        <f>SUM(J46:J46)</f>
        <v>72.7</v>
      </c>
      <c r="K47" s="116"/>
      <c r="L47" s="92"/>
      <c r="M47" s="95">
        <f>SUM(M46:M46)</f>
        <v>84.6</v>
      </c>
      <c r="N47" s="132">
        <f>SUM(N46:N46)</f>
        <v>84.6</v>
      </c>
      <c r="O47" s="129"/>
      <c r="P47" s="128"/>
      <c r="Q47" s="96">
        <f t="shared" si="7"/>
        <v>65.4</v>
      </c>
      <c r="R47" s="129">
        <f>SUM(R46)</f>
        <v>65.4</v>
      </c>
      <c r="S47" s="132"/>
      <c r="T47" s="131"/>
      <c r="U47" s="95">
        <f>SUM(U46:U46)</f>
        <v>83</v>
      </c>
      <c r="V47" s="97">
        <f>SUM(V46:V46)</f>
        <v>83</v>
      </c>
    </row>
    <row r="48" spans="1:22" ht="18" customHeight="1">
      <c r="A48" s="1027" t="s">
        <v>25</v>
      </c>
      <c r="B48" s="1029" t="s">
        <v>29</v>
      </c>
      <c r="C48" s="1086" t="s">
        <v>34</v>
      </c>
      <c r="D48" s="1087" t="s">
        <v>98</v>
      </c>
      <c r="E48" s="1100"/>
      <c r="F48" s="998" t="s">
        <v>26</v>
      </c>
      <c r="G48" s="967">
        <v>2</v>
      </c>
      <c r="H48" s="40" t="s">
        <v>30</v>
      </c>
      <c r="I48" s="104">
        <f>J48+L48</f>
        <v>197.1</v>
      </c>
      <c r="J48" s="45">
        <f>78+119.1</f>
        <v>197.1</v>
      </c>
      <c r="K48" s="90"/>
      <c r="L48" s="63"/>
      <c r="M48" s="41">
        <f>N48+P48</f>
        <v>186.6</v>
      </c>
      <c r="N48" s="42">
        <v>186.6</v>
      </c>
      <c r="O48" s="50"/>
      <c r="P48" s="42"/>
      <c r="Q48" s="91">
        <f>R48+T48</f>
        <v>149.7</v>
      </c>
      <c r="R48" s="51">
        <v>149.7</v>
      </c>
      <c r="S48" s="386"/>
      <c r="T48" s="352"/>
      <c r="U48" s="47">
        <v>190</v>
      </c>
      <c r="V48" s="115">
        <v>190</v>
      </c>
    </row>
    <row r="49" spans="1:22" ht="16.5" customHeight="1" thickBot="1">
      <c r="A49" s="1076"/>
      <c r="B49" s="1095"/>
      <c r="C49" s="1082"/>
      <c r="D49" s="1088"/>
      <c r="E49" s="1101"/>
      <c r="F49" s="999"/>
      <c r="G49" s="968"/>
      <c r="H49" s="83" t="s">
        <v>28</v>
      </c>
      <c r="I49" s="80">
        <f>SUM(I48:I48)</f>
        <v>197.1</v>
      </c>
      <c r="J49" s="79">
        <f>SUM(J48:J48)</f>
        <v>197.1</v>
      </c>
      <c r="K49" s="116"/>
      <c r="L49" s="92"/>
      <c r="M49" s="79">
        <f>SUM(M48:M48)</f>
        <v>186.6</v>
      </c>
      <c r="N49" s="116">
        <f>SUM(N48:N48)</f>
        <v>186.6</v>
      </c>
      <c r="O49" s="79"/>
      <c r="P49" s="86"/>
      <c r="Q49" s="80">
        <f>SUM(R49+T49)</f>
        <v>149.7</v>
      </c>
      <c r="R49" s="79">
        <f>SUM(R48)</f>
        <v>149.7</v>
      </c>
      <c r="S49" s="116"/>
      <c r="T49" s="92"/>
      <c r="U49" s="81">
        <f>SUM(U48:U48)</f>
        <v>190</v>
      </c>
      <c r="V49" s="81">
        <f>SUM(V48:V48)</f>
        <v>190</v>
      </c>
    </row>
    <row r="50" spans="1:22" ht="30" customHeight="1">
      <c r="A50" s="951" t="s">
        <v>25</v>
      </c>
      <c r="B50" s="250" t="s">
        <v>29</v>
      </c>
      <c r="C50" s="260" t="s">
        <v>35</v>
      </c>
      <c r="D50" s="1109" t="s">
        <v>110</v>
      </c>
      <c r="E50" s="1104" t="s">
        <v>0</v>
      </c>
      <c r="F50" s="975" t="s">
        <v>26</v>
      </c>
      <c r="G50" s="1106">
        <v>2</v>
      </c>
      <c r="H50" s="53" t="s">
        <v>27</v>
      </c>
      <c r="I50" s="8">
        <f>J50+L50</f>
        <v>151.9</v>
      </c>
      <c r="J50" s="9">
        <v>151.9</v>
      </c>
      <c r="K50" s="9"/>
      <c r="L50" s="15"/>
      <c r="M50" s="11">
        <f>N50+P50</f>
        <v>330</v>
      </c>
      <c r="N50" s="12">
        <f>97+133+100</f>
        <v>330</v>
      </c>
      <c r="O50" s="12"/>
      <c r="P50" s="10"/>
      <c r="Q50" s="347">
        <f>R50+T50</f>
        <v>136.7</v>
      </c>
      <c r="R50" s="14">
        <v>136.7</v>
      </c>
      <c r="S50" s="14"/>
      <c r="T50" s="55"/>
      <c r="U50" s="16">
        <f>90+70+100</f>
        <v>260</v>
      </c>
      <c r="V50" s="16">
        <f>90+70+100</f>
        <v>260</v>
      </c>
    </row>
    <row r="51" spans="1:22" ht="14.25" customHeight="1" thickBot="1">
      <c r="A51" s="952"/>
      <c r="B51" s="253"/>
      <c r="C51" s="261"/>
      <c r="D51" s="1110"/>
      <c r="E51" s="1105"/>
      <c r="F51" s="976"/>
      <c r="G51" s="1107"/>
      <c r="H51" s="287" t="s">
        <v>28</v>
      </c>
      <c r="I51" s="98">
        <f>SUM(I50:I50)</f>
        <v>151.9</v>
      </c>
      <c r="J51" s="79">
        <f>SUM(J50:J50)</f>
        <v>151.9</v>
      </c>
      <c r="K51" s="116"/>
      <c r="L51" s="92"/>
      <c r="M51" s="65">
        <f>SUM(M50:M50)</f>
        <v>330</v>
      </c>
      <c r="N51" s="79">
        <f>SUM(N50:N50)</f>
        <v>330</v>
      </c>
      <c r="O51" s="79"/>
      <c r="P51" s="92"/>
      <c r="Q51" s="116">
        <f>R51+T51</f>
        <v>136.7</v>
      </c>
      <c r="R51" s="79">
        <f>SUM(R50)</f>
        <v>136.7</v>
      </c>
      <c r="S51" s="116"/>
      <c r="T51" s="80"/>
      <c r="U51" s="81">
        <f>SUM(U50:U50)</f>
        <v>260</v>
      </c>
      <c r="V51" s="81">
        <f>SUM(V50:V50)</f>
        <v>260</v>
      </c>
    </row>
    <row r="52" spans="1:22" ht="15" customHeight="1" thickBot="1">
      <c r="A52" s="255" t="s">
        <v>25</v>
      </c>
      <c r="B52" s="239" t="s">
        <v>29</v>
      </c>
      <c r="C52" s="1108" t="s">
        <v>32</v>
      </c>
      <c r="D52" s="1108"/>
      <c r="E52" s="1108"/>
      <c r="F52" s="1108"/>
      <c r="G52" s="1108"/>
      <c r="H52" s="1108"/>
      <c r="I52" s="34">
        <f aca="true" t="shared" si="8" ref="I52:O52">I51+I49+I47+I45+I42+I38</f>
        <v>3625.7</v>
      </c>
      <c r="J52" s="112">
        <f t="shared" si="8"/>
        <v>3625.7</v>
      </c>
      <c r="K52" s="112">
        <f t="shared" si="8"/>
        <v>2163.3</v>
      </c>
      <c r="L52" s="105"/>
      <c r="M52" s="34">
        <f t="shared" si="8"/>
        <v>3864.1000000000004</v>
      </c>
      <c r="N52" s="112">
        <f t="shared" si="8"/>
        <v>3864.1000000000004</v>
      </c>
      <c r="O52" s="112">
        <f t="shared" si="8"/>
        <v>2149.8</v>
      </c>
      <c r="P52" s="105"/>
      <c r="Q52" s="34">
        <f>R52+T52</f>
        <v>3500.8999999999996</v>
      </c>
      <c r="R52" s="112">
        <f>R51+R49+R47+R45+R42+R38</f>
        <v>3496.8999999999996</v>
      </c>
      <c r="S52" s="112">
        <f>S51+S49+S47+S45+S42+S38</f>
        <v>2082.3</v>
      </c>
      <c r="T52" s="105">
        <f>T51+T49+T47+T45+T42+T38</f>
        <v>4</v>
      </c>
      <c r="U52" s="72">
        <f>U51+U49+U47+U45+U42+U38</f>
        <v>3820</v>
      </c>
      <c r="V52" s="85">
        <f>V51+V49+V47+V45+V42+V38</f>
        <v>3818.6</v>
      </c>
    </row>
    <row r="53" spans="1:22" ht="14.25" customHeight="1" thickBot="1">
      <c r="A53" s="236" t="s">
        <v>25</v>
      </c>
      <c r="B53" s="1102" t="s">
        <v>14</v>
      </c>
      <c r="C53" s="1103"/>
      <c r="D53" s="1103"/>
      <c r="E53" s="1103"/>
      <c r="F53" s="1103"/>
      <c r="G53" s="1103"/>
      <c r="H53" s="1103"/>
      <c r="I53" s="268">
        <f aca="true" t="shared" si="9" ref="I53:P53">I52+I33</f>
        <v>195531.2</v>
      </c>
      <c r="J53" s="703">
        <f t="shared" si="9"/>
        <v>195328.30000000002</v>
      </c>
      <c r="K53" s="703">
        <f t="shared" si="9"/>
        <v>129940.9</v>
      </c>
      <c r="L53" s="702">
        <f t="shared" si="9"/>
        <v>202.89999999999998</v>
      </c>
      <c r="M53" s="268">
        <f t="shared" si="9"/>
        <v>192781.90000000002</v>
      </c>
      <c r="N53" s="703">
        <f t="shared" si="9"/>
        <v>192543.9</v>
      </c>
      <c r="O53" s="703">
        <f t="shared" si="9"/>
        <v>127800.90000000002</v>
      </c>
      <c r="P53" s="702">
        <f t="shared" si="9"/>
        <v>238</v>
      </c>
      <c r="Q53" s="268">
        <f>R53+T53</f>
        <v>186886.4</v>
      </c>
      <c r="R53" s="703">
        <f>R52+R33</f>
        <v>186655.19999999998</v>
      </c>
      <c r="S53" s="703">
        <f>S52+S33</f>
        <v>124776.2</v>
      </c>
      <c r="T53" s="702">
        <f>T52+T33</f>
        <v>231.2</v>
      </c>
      <c r="U53" s="268">
        <f>U52+U33</f>
        <v>192765</v>
      </c>
      <c r="V53" s="402">
        <f>V52+V33</f>
        <v>192763.6</v>
      </c>
    </row>
    <row r="54" spans="1:22" ht="15.75" customHeight="1" thickBot="1">
      <c r="A54" s="337" t="s">
        <v>29</v>
      </c>
      <c r="B54" s="1083" t="s">
        <v>186</v>
      </c>
      <c r="C54" s="1084"/>
      <c r="D54" s="1084"/>
      <c r="E54" s="1084"/>
      <c r="F54" s="1084"/>
      <c r="G54" s="1084"/>
      <c r="H54" s="1084"/>
      <c r="I54" s="1084"/>
      <c r="J54" s="1084"/>
      <c r="K54" s="1084"/>
      <c r="L54" s="1084"/>
      <c r="M54" s="1084"/>
      <c r="N54" s="1084"/>
      <c r="O54" s="1084"/>
      <c r="P54" s="1084"/>
      <c r="Q54" s="1084"/>
      <c r="R54" s="1084"/>
      <c r="S54" s="1084"/>
      <c r="T54" s="1084"/>
      <c r="U54" s="1084"/>
      <c r="V54" s="1085"/>
    </row>
    <row r="55" spans="1:22" ht="17.25" customHeight="1" thickBot="1">
      <c r="A55" s="340" t="s">
        <v>29</v>
      </c>
      <c r="B55" s="239" t="s">
        <v>25</v>
      </c>
      <c r="C55" s="1038" t="s">
        <v>128</v>
      </c>
      <c r="D55" s="1125"/>
      <c r="E55" s="1038"/>
      <c r="F55" s="1038"/>
      <c r="G55" s="1038"/>
      <c r="H55" s="1125"/>
      <c r="I55" s="1125"/>
      <c r="J55" s="1125"/>
      <c r="K55" s="1125"/>
      <c r="L55" s="1125"/>
      <c r="M55" s="1125"/>
      <c r="N55" s="1125"/>
      <c r="O55" s="1125"/>
      <c r="P55" s="1125"/>
      <c r="Q55" s="1125"/>
      <c r="R55" s="1125"/>
      <c r="S55" s="1125"/>
      <c r="T55" s="1125"/>
      <c r="U55" s="1125"/>
      <c r="V55" s="1126"/>
    </row>
    <row r="56" spans="1:22" ht="26.25" customHeight="1">
      <c r="A56" s="237" t="s">
        <v>29</v>
      </c>
      <c r="B56" s="250" t="s">
        <v>25</v>
      </c>
      <c r="C56" s="417" t="s">
        <v>25</v>
      </c>
      <c r="D56" s="494" t="s">
        <v>188</v>
      </c>
      <c r="E56" s="596"/>
      <c r="F56" s="413" t="s">
        <v>26</v>
      </c>
      <c r="G56" s="280">
        <v>5</v>
      </c>
      <c r="H56" s="222" t="s">
        <v>27</v>
      </c>
      <c r="I56" s="169">
        <v>35</v>
      </c>
      <c r="J56" s="3">
        <v>35</v>
      </c>
      <c r="K56" s="3"/>
      <c r="L56" s="93"/>
      <c r="M56" s="325"/>
      <c r="N56" s="326"/>
      <c r="O56" s="326"/>
      <c r="P56" s="433"/>
      <c r="Q56" s="378"/>
      <c r="R56" s="356"/>
      <c r="S56" s="356"/>
      <c r="T56" s="379"/>
      <c r="U56" s="936">
        <v>576.8</v>
      </c>
      <c r="V56" s="221"/>
    </row>
    <row r="57" spans="1:22" ht="28.5" customHeight="1">
      <c r="A57" s="251"/>
      <c r="B57" s="252"/>
      <c r="C57" s="412"/>
      <c r="D57" s="495" t="s">
        <v>219</v>
      </c>
      <c r="E57" s="398"/>
      <c r="F57" s="414"/>
      <c r="G57" s="399"/>
      <c r="H57" s="192" t="s">
        <v>161</v>
      </c>
      <c r="I57" s="5">
        <f>J57+L57</f>
        <v>1882.3</v>
      </c>
      <c r="J57" s="4"/>
      <c r="K57" s="4"/>
      <c r="L57" s="58">
        <v>1882.3</v>
      </c>
      <c r="M57" s="579">
        <f>N57+P57</f>
        <v>2067.2</v>
      </c>
      <c r="N57" s="199"/>
      <c r="O57" s="199"/>
      <c r="P57" s="440">
        <v>2067.2</v>
      </c>
      <c r="Q57" s="59">
        <f>R57+T57</f>
        <v>1720.2</v>
      </c>
      <c r="R57" s="60"/>
      <c r="S57" s="60"/>
      <c r="T57" s="368">
        <v>1720.2</v>
      </c>
      <c r="U57" s="459">
        <v>25</v>
      </c>
      <c r="V57" s="434"/>
    </row>
    <row r="58" spans="1:22" ht="55.5" customHeight="1">
      <c r="A58" s="251"/>
      <c r="B58" s="252"/>
      <c r="C58" s="412"/>
      <c r="D58" s="495" t="s">
        <v>222</v>
      </c>
      <c r="E58" s="598" t="s">
        <v>194</v>
      </c>
      <c r="F58" s="414"/>
      <c r="G58" s="399"/>
      <c r="H58" s="192" t="s">
        <v>8</v>
      </c>
      <c r="I58" s="5">
        <f>J58+L58</f>
        <v>11833.5</v>
      </c>
      <c r="J58" s="4"/>
      <c r="K58" s="4"/>
      <c r="L58" s="58">
        <f>1651.3+1431.2+3100+3000+1394.2+1256.8</f>
        <v>11833.5</v>
      </c>
      <c r="M58" s="580">
        <f>N58+P58</f>
        <v>9889.7</v>
      </c>
      <c r="N58" s="581"/>
      <c r="O58" s="581"/>
      <c r="P58" s="582">
        <v>9889.7</v>
      </c>
      <c r="Q58" s="59">
        <f>R58+T58</f>
        <v>9889.7</v>
      </c>
      <c r="R58" s="60"/>
      <c r="S58" s="60"/>
      <c r="T58" s="368">
        <v>9889.7</v>
      </c>
      <c r="U58" s="938">
        <f>24.5+414</f>
        <v>438.5</v>
      </c>
      <c r="V58" s="434"/>
    </row>
    <row r="59" spans="1:22" ht="42" customHeight="1">
      <c r="A59" s="251"/>
      <c r="B59" s="252"/>
      <c r="C59" s="397"/>
      <c r="D59" s="713" t="s">
        <v>265</v>
      </c>
      <c r="E59" s="599"/>
      <c r="F59" s="109"/>
      <c r="G59" s="427"/>
      <c r="H59" s="107" t="s">
        <v>7</v>
      </c>
      <c r="I59" s="67">
        <f>L59+J59</f>
        <v>544</v>
      </c>
      <c r="J59" s="68"/>
      <c r="K59" s="68"/>
      <c r="L59" s="69">
        <f>291.4+252.6</f>
        <v>544</v>
      </c>
      <c r="M59" s="579">
        <f>N59+P59</f>
        <v>727.9</v>
      </c>
      <c r="N59" s="199"/>
      <c r="O59" s="199"/>
      <c r="P59" s="440">
        <v>727.9</v>
      </c>
      <c r="Q59" s="377">
        <f>R59+T59</f>
        <v>727.9</v>
      </c>
      <c r="R59" s="362"/>
      <c r="S59" s="362"/>
      <c r="T59" s="380">
        <v>727.9</v>
      </c>
      <c r="U59" s="937">
        <f>1500+6000</f>
        <v>7500</v>
      </c>
      <c r="V59" s="505">
        <v>1618</v>
      </c>
    </row>
    <row r="60" spans="1:22" s="89" customFormat="1" ht="27" customHeight="1">
      <c r="A60" s="251"/>
      <c r="B60" s="252"/>
      <c r="C60" s="425"/>
      <c r="D60" s="496" t="s">
        <v>223</v>
      </c>
      <c r="E60" s="398"/>
      <c r="F60" s="419"/>
      <c r="G60" s="399"/>
      <c r="H60" s="212"/>
      <c r="I60" s="179"/>
      <c r="J60" s="187"/>
      <c r="K60" s="187"/>
      <c r="L60" s="186"/>
      <c r="M60" s="179"/>
      <c r="N60" s="187"/>
      <c r="O60" s="187"/>
      <c r="P60" s="46"/>
      <c r="Q60" s="375"/>
      <c r="R60" s="364"/>
      <c r="S60" s="364"/>
      <c r="T60" s="369"/>
      <c r="U60" s="460"/>
      <c r="V60" s="84"/>
    </row>
    <row r="61" spans="1:22" s="89" customFormat="1" ht="30" customHeight="1">
      <c r="A61" s="251"/>
      <c r="B61" s="252"/>
      <c r="C61" s="425"/>
      <c r="D61" s="496" t="s">
        <v>220</v>
      </c>
      <c r="E61" s="398"/>
      <c r="F61" s="419"/>
      <c r="G61" s="399"/>
      <c r="H61" s="212"/>
      <c r="I61" s="179"/>
      <c r="J61" s="187"/>
      <c r="K61" s="187"/>
      <c r="L61" s="186"/>
      <c r="M61" s="179"/>
      <c r="N61" s="187"/>
      <c r="O61" s="187"/>
      <c r="P61" s="46"/>
      <c r="Q61" s="375"/>
      <c r="R61" s="364"/>
      <c r="S61" s="364"/>
      <c r="T61" s="369"/>
      <c r="U61" s="460"/>
      <c r="V61" s="84"/>
    </row>
    <row r="62" spans="1:22" s="89" customFormat="1" ht="52.5" customHeight="1">
      <c r="A62" s="251"/>
      <c r="B62" s="252"/>
      <c r="C62" s="425"/>
      <c r="D62" s="713" t="s">
        <v>266</v>
      </c>
      <c r="E62" s="398"/>
      <c r="F62" s="419"/>
      <c r="G62" s="399"/>
      <c r="H62" s="212"/>
      <c r="I62" s="179"/>
      <c r="J62" s="187"/>
      <c r="K62" s="187"/>
      <c r="L62" s="186"/>
      <c r="M62" s="179"/>
      <c r="N62" s="187"/>
      <c r="O62" s="187"/>
      <c r="P62" s="46"/>
      <c r="Q62" s="375"/>
      <c r="R62" s="364"/>
      <c r="S62" s="364"/>
      <c r="T62" s="369"/>
      <c r="U62" s="460"/>
      <c r="V62" s="84"/>
    </row>
    <row r="63" spans="1:22" s="89" customFormat="1" ht="30" customHeight="1">
      <c r="A63" s="251"/>
      <c r="B63" s="252"/>
      <c r="C63" s="425"/>
      <c r="D63" s="713" t="s">
        <v>253</v>
      </c>
      <c r="E63" s="398"/>
      <c r="F63" s="419"/>
      <c r="G63" s="399"/>
      <c r="H63" s="212"/>
      <c r="I63" s="179"/>
      <c r="J63" s="187"/>
      <c r="K63" s="187"/>
      <c r="L63" s="186"/>
      <c r="M63" s="179"/>
      <c r="N63" s="187"/>
      <c r="O63" s="187"/>
      <c r="P63" s="46"/>
      <c r="Q63" s="375"/>
      <c r="R63" s="364"/>
      <c r="S63" s="364"/>
      <c r="T63" s="369"/>
      <c r="U63" s="460"/>
      <c r="V63" s="84"/>
    </row>
    <row r="64" spans="1:22" s="89" customFormat="1" ht="27" customHeight="1">
      <c r="A64" s="251"/>
      <c r="B64" s="252"/>
      <c r="C64" s="425"/>
      <c r="D64" s="705" t="s">
        <v>221</v>
      </c>
      <c r="E64" s="600"/>
      <c r="F64" s="420"/>
      <c r="G64" s="427"/>
      <c r="H64" s="124"/>
      <c r="I64" s="179"/>
      <c r="J64" s="187"/>
      <c r="K64" s="187"/>
      <c r="L64" s="186"/>
      <c r="M64" s="179"/>
      <c r="N64" s="187"/>
      <c r="O64" s="187"/>
      <c r="P64" s="46"/>
      <c r="Q64" s="375"/>
      <c r="R64" s="364"/>
      <c r="S64" s="364"/>
      <c r="T64" s="369"/>
      <c r="U64" s="460"/>
      <c r="V64" s="84"/>
    </row>
    <row r="65" spans="1:22" ht="29.25" customHeight="1" thickBot="1">
      <c r="A65" s="254"/>
      <c r="B65" s="253"/>
      <c r="C65" s="435"/>
      <c r="D65" s="704" t="s">
        <v>224</v>
      </c>
      <c r="E65" s="597"/>
      <c r="F65" s="515"/>
      <c r="G65" s="279"/>
      <c r="H65" s="135" t="s">
        <v>28</v>
      </c>
      <c r="I65" s="132">
        <f aca="true" t="shared" si="10" ref="I65:I71">J65+L65</f>
        <v>14294.8</v>
      </c>
      <c r="J65" s="129">
        <f>SUM(J56:J64)</f>
        <v>35</v>
      </c>
      <c r="K65" s="128"/>
      <c r="L65" s="131">
        <f>SUM(L56:L64)</f>
        <v>14259.8</v>
      </c>
      <c r="M65" s="128">
        <f aca="true" t="shared" si="11" ref="M65:M70">N65+P65</f>
        <v>12684.800000000001</v>
      </c>
      <c r="N65" s="129"/>
      <c r="O65" s="129"/>
      <c r="P65" s="80">
        <f>SUM(P56:P64)</f>
        <v>12684.800000000001</v>
      </c>
      <c r="Q65" s="65">
        <f aca="true" t="shared" si="12" ref="Q65:Q70">R65+T65</f>
        <v>12337.800000000001</v>
      </c>
      <c r="R65" s="79"/>
      <c r="S65" s="79"/>
      <c r="T65" s="92">
        <f>SUM(T56:T64)</f>
        <v>12337.800000000001</v>
      </c>
      <c r="U65" s="98">
        <f>SUM(U56:U64)</f>
        <v>8540.3</v>
      </c>
      <c r="V65" s="98">
        <f>SUM(V56:V64)</f>
        <v>1618</v>
      </c>
    </row>
    <row r="66" spans="1:22" ht="27.75" customHeight="1">
      <c r="A66" s="237" t="s">
        <v>29</v>
      </c>
      <c r="B66" s="250" t="s">
        <v>25</v>
      </c>
      <c r="C66" s="417" t="s">
        <v>29</v>
      </c>
      <c r="D66" s="497" t="s">
        <v>163</v>
      </c>
      <c r="E66" s="965" t="s">
        <v>194</v>
      </c>
      <c r="F66" s="413" t="s">
        <v>26</v>
      </c>
      <c r="G66" s="280">
        <v>5</v>
      </c>
      <c r="H66" s="192" t="s">
        <v>161</v>
      </c>
      <c r="I66" s="57">
        <f t="shared" si="10"/>
        <v>27</v>
      </c>
      <c r="J66" s="4"/>
      <c r="K66" s="4"/>
      <c r="L66" s="6">
        <v>27</v>
      </c>
      <c r="M66" s="583">
        <f t="shared" si="11"/>
        <v>232.1</v>
      </c>
      <c r="N66" s="581"/>
      <c r="O66" s="581"/>
      <c r="P66" s="582">
        <v>232.1</v>
      </c>
      <c r="Q66" s="373">
        <f t="shared" si="12"/>
        <v>232.1</v>
      </c>
      <c r="R66" s="358"/>
      <c r="S66" s="358"/>
      <c r="T66" s="441">
        <v>232.1</v>
      </c>
      <c r="U66" s="442"/>
      <c r="V66" s="442"/>
    </row>
    <row r="67" spans="1:22" ht="17.25" customHeight="1">
      <c r="A67" s="251"/>
      <c r="B67" s="252"/>
      <c r="C67" s="412"/>
      <c r="D67" s="1098" t="s">
        <v>218</v>
      </c>
      <c r="E67" s="966"/>
      <c r="F67" s="414"/>
      <c r="G67" s="399"/>
      <c r="H67" s="163" t="s">
        <v>8</v>
      </c>
      <c r="I67" s="94">
        <f t="shared" si="10"/>
        <v>559</v>
      </c>
      <c r="J67" s="68"/>
      <c r="K67" s="68"/>
      <c r="L67" s="61">
        <v>559</v>
      </c>
      <c r="M67" s="134">
        <f t="shared" si="11"/>
        <v>1418.7</v>
      </c>
      <c r="N67" s="199"/>
      <c r="O67" s="199"/>
      <c r="P67" s="440">
        <v>1418.7</v>
      </c>
      <c r="Q67" s="59">
        <f t="shared" si="12"/>
        <v>1418.7</v>
      </c>
      <c r="R67" s="60"/>
      <c r="S67" s="60"/>
      <c r="T67" s="368">
        <v>1418.7</v>
      </c>
      <c r="U67" s="434"/>
      <c r="V67" s="434"/>
    </row>
    <row r="68" spans="1:22" ht="13.5" customHeight="1" thickBot="1">
      <c r="A68" s="254"/>
      <c r="B68" s="253"/>
      <c r="C68" s="435"/>
      <c r="D68" s="1099"/>
      <c r="E68" s="1062"/>
      <c r="F68" s="515"/>
      <c r="G68" s="406"/>
      <c r="H68" s="135" t="s">
        <v>28</v>
      </c>
      <c r="I68" s="132">
        <f t="shared" si="10"/>
        <v>586</v>
      </c>
      <c r="J68" s="129"/>
      <c r="K68" s="128"/>
      <c r="L68" s="130">
        <f>SUM(L66:L67)</f>
        <v>586</v>
      </c>
      <c r="M68" s="95">
        <f t="shared" si="11"/>
        <v>1650.8</v>
      </c>
      <c r="N68" s="129"/>
      <c r="O68" s="129"/>
      <c r="P68" s="80">
        <f>SUM(P66:P67)</f>
        <v>1650.8</v>
      </c>
      <c r="Q68" s="98">
        <f t="shared" si="12"/>
        <v>1650.8</v>
      </c>
      <c r="R68" s="79"/>
      <c r="S68" s="79"/>
      <c r="T68" s="92">
        <f>SUM(T66:T67)</f>
        <v>1650.8</v>
      </c>
      <c r="U68" s="81"/>
      <c r="V68" s="81"/>
    </row>
    <row r="69" spans="1:22" ht="27.75" customHeight="1">
      <c r="A69" s="237" t="s">
        <v>29</v>
      </c>
      <c r="B69" s="250" t="s">
        <v>25</v>
      </c>
      <c r="C69" s="417" t="s">
        <v>31</v>
      </c>
      <c r="D69" s="494" t="s">
        <v>122</v>
      </c>
      <c r="E69" s="1233" t="s">
        <v>194</v>
      </c>
      <c r="F69" s="413" t="s">
        <v>26</v>
      </c>
      <c r="G69" s="280">
        <v>5</v>
      </c>
      <c r="H69" s="222" t="s">
        <v>161</v>
      </c>
      <c r="I69" s="5">
        <f t="shared" si="10"/>
        <v>776</v>
      </c>
      <c r="J69" s="4"/>
      <c r="K69" s="4"/>
      <c r="L69" s="6">
        <v>776</v>
      </c>
      <c r="M69" s="324">
        <f t="shared" si="11"/>
        <v>282</v>
      </c>
      <c r="N69" s="326"/>
      <c r="O69" s="326"/>
      <c r="P69" s="327">
        <v>282</v>
      </c>
      <c r="Q69" s="584">
        <f t="shared" si="12"/>
        <v>282</v>
      </c>
      <c r="R69" s="60"/>
      <c r="S69" s="60"/>
      <c r="T69" s="585">
        <v>282</v>
      </c>
      <c r="U69" s="221">
        <v>1588.5</v>
      </c>
      <c r="V69" s="221">
        <v>2245.2</v>
      </c>
    </row>
    <row r="70" spans="1:22" ht="27" customHeight="1">
      <c r="A70" s="251"/>
      <c r="B70" s="252"/>
      <c r="C70" s="412"/>
      <c r="D70" s="495" t="s">
        <v>225</v>
      </c>
      <c r="E70" s="1234"/>
      <c r="F70" s="414"/>
      <c r="G70" s="399"/>
      <c r="H70" s="192" t="s">
        <v>8</v>
      </c>
      <c r="I70" s="5">
        <f t="shared" si="10"/>
        <v>522.3</v>
      </c>
      <c r="J70" s="4"/>
      <c r="K70" s="4"/>
      <c r="L70" s="6">
        <v>522.3</v>
      </c>
      <c r="M70" s="583">
        <f t="shared" si="11"/>
        <v>1053</v>
      </c>
      <c r="N70" s="581"/>
      <c r="O70" s="581"/>
      <c r="P70" s="586">
        <v>1053</v>
      </c>
      <c r="Q70" s="584">
        <f t="shared" si="12"/>
        <v>1053</v>
      </c>
      <c r="R70" s="60"/>
      <c r="S70" s="60"/>
      <c r="T70" s="585">
        <v>1053</v>
      </c>
      <c r="U70" s="434">
        <v>1117.6</v>
      </c>
      <c r="V70" s="434">
        <v>2270.6</v>
      </c>
    </row>
    <row r="71" spans="1:22" ht="28.5" customHeight="1">
      <c r="A71" s="251"/>
      <c r="B71" s="252"/>
      <c r="C71" s="412"/>
      <c r="D71" s="495" t="s">
        <v>226</v>
      </c>
      <c r="E71" s="1234"/>
      <c r="F71" s="414"/>
      <c r="G71" s="399"/>
      <c r="H71" s="163" t="s">
        <v>7</v>
      </c>
      <c r="I71" s="67">
        <f t="shared" si="10"/>
        <v>92.2</v>
      </c>
      <c r="J71" s="68"/>
      <c r="K71" s="68"/>
      <c r="L71" s="61">
        <v>92.2</v>
      </c>
      <c r="M71" s="134"/>
      <c r="N71" s="199"/>
      <c r="O71" s="199"/>
      <c r="P71" s="329"/>
      <c r="Q71" s="365"/>
      <c r="R71" s="362"/>
      <c r="S71" s="362"/>
      <c r="T71" s="366"/>
      <c r="U71" s="444"/>
      <c r="V71" s="444">
        <v>379.1</v>
      </c>
    </row>
    <row r="72" spans="1:22" ht="15" customHeight="1">
      <c r="A72" s="251"/>
      <c r="B72" s="252"/>
      <c r="C72" s="412"/>
      <c r="D72" s="495"/>
      <c r="E72" s="1234"/>
      <c r="F72" s="414"/>
      <c r="G72" s="399"/>
      <c r="H72" s="21" t="s">
        <v>86</v>
      </c>
      <c r="I72" s="490"/>
      <c r="J72" s="485"/>
      <c r="K72" s="485"/>
      <c r="L72" s="491"/>
      <c r="M72" s="587"/>
      <c r="N72" s="588"/>
      <c r="O72" s="588"/>
      <c r="P72" s="589"/>
      <c r="Q72" s="590"/>
      <c r="R72" s="591"/>
      <c r="S72" s="591"/>
      <c r="T72" s="592"/>
      <c r="U72" s="154">
        <v>100</v>
      </c>
      <c r="V72" s="687"/>
    </row>
    <row r="73" spans="1:22" ht="14.25" customHeight="1" thickBot="1">
      <c r="A73" s="254"/>
      <c r="B73" s="253"/>
      <c r="C73" s="435"/>
      <c r="D73" s="493"/>
      <c r="E73" s="1235"/>
      <c r="F73" s="515"/>
      <c r="G73" s="279"/>
      <c r="H73" s="135" t="s">
        <v>28</v>
      </c>
      <c r="I73" s="132">
        <f>J73+L73</f>
        <v>1390.5</v>
      </c>
      <c r="J73" s="129"/>
      <c r="K73" s="128"/>
      <c r="L73" s="130">
        <f>SUM(L69:L72)</f>
        <v>1390.5</v>
      </c>
      <c r="M73" s="95">
        <f>SUM(M69:M71)</f>
        <v>1335</v>
      </c>
      <c r="N73" s="129"/>
      <c r="O73" s="129"/>
      <c r="P73" s="92">
        <f>SUM(P69:P72)</f>
        <v>1335</v>
      </c>
      <c r="Q73" s="116">
        <f aca="true" t="shared" si="13" ref="Q73:Q78">R73+T73</f>
        <v>1335</v>
      </c>
      <c r="R73" s="79"/>
      <c r="S73" s="79"/>
      <c r="T73" s="80">
        <f>SUM(T69:T72)</f>
        <v>1335</v>
      </c>
      <c r="U73" s="81">
        <f>SUM(U69:U72)</f>
        <v>2806.1</v>
      </c>
      <c r="V73" s="81">
        <f>SUM(V69:V72)</f>
        <v>4894.9</v>
      </c>
    </row>
    <row r="74" spans="1:22" ht="15" customHeight="1">
      <c r="A74" s="1016" t="s">
        <v>29</v>
      </c>
      <c r="B74" s="1133" t="s">
        <v>25</v>
      </c>
      <c r="C74" s="995" t="s">
        <v>33</v>
      </c>
      <c r="D74" s="1128" t="s">
        <v>88</v>
      </c>
      <c r="E74" s="170" t="s">
        <v>6</v>
      </c>
      <c r="F74" s="284" t="s">
        <v>26</v>
      </c>
      <c r="G74" s="270">
        <v>5</v>
      </c>
      <c r="H74" s="333" t="s">
        <v>9</v>
      </c>
      <c r="I74" s="189">
        <f>J74+L74</f>
        <v>154</v>
      </c>
      <c r="J74" s="183"/>
      <c r="K74" s="172"/>
      <c r="L74" s="289">
        <v>154</v>
      </c>
      <c r="M74" s="189">
        <f>N74+P74</f>
        <v>164</v>
      </c>
      <c r="N74" s="183"/>
      <c r="O74" s="172"/>
      <c r="P74" s="289">
        <v>164</v>
      </c>
      <c r="Q74" s="373">
        <f t="shared" si="13"/>
        <v>164</v>
      </c>
      <c r="R74" s="357"/>
      <c r="S74" s="358"/>
      <c r="T74" s="374">
        <v>164</v>
      </c>
      <c r="U74" s="165"/>
      <c r="V74" s="88"/>
    </row>
    <row r="75" spans="1:22" ht="15" customHeight="1" thickBot="1">
      <c r="A75" s="1031"/>
      <c r="B75" s="1134"/>
      <c r="C75" s="1127"/>
      <c r="D75" s="1129"/>
      <c r="E75" s="528"/>
      <c r="F75" s="285"/>
      <c r="G75" s="271"/>
      <c r="H75" s="135" t="s">
        <v>28</v>
      </c>
      <c r="I75" s="95">
        <f>SUM(I74:I74)</f>
        <v>154</v>
      </c>
      <c r="J75" s="132"/>
      <c r="K75" s="129"/>
      <c r="L75" s="128">
        <f>SUM(L74:L74)</f>
        <v>154</v>
      </c>
      <c r="M75" s="95">
        <f>N75+P75</f>
        <v>164</v>
      </c>
      <c r="N75" s="132"/>
      <c r="O75" s="129"/>
      <c r="P75" s="128">
        <f>SUM(P74)</f>
        <v>164</v>
      </c>
      <c r="Q75" s="95">
        <f t="shared" si="13"/>
        <v>164</v>
      </c>
      <c r="R75" s="132"/>
      <c r="S75" s="129"/>
      <c r="T75" s="128">
        <f>SUM(T74)</f>
        <v>164</v>
      </c>
      <c r="U75" s="65"/>
      <c r="V75" s="81"/>
    </row>
    <row r="76" spans="1:22" ht="30.75" customHeight="1">
      <c r="A76" s="951" t="s">
        <v>29</v>
      </c>
      <c r="B76" s="962" t="s">
        <v>25</v>
      </c>
      <c r="C76" s="1086" t="s">
        <v>34</v>
      </c>
      <c r="D76" s="1096" t="s">
        <v>227</v>
      </c>
      <c r="E76" s="1123" t="s">
        <v>81</v>
      </c>
      <c r="F76" s="998" t="s">
        <v>26</v>
      </c>
      <c r="G76" s="280">
        <v>2</v>
      </c>
      <c r="H76" s="498" t="s">
        <v>27</v>
      </c>
      <c r="I76" s="324"/>
      <c r="J76" s="519"/>
      <c r="K76" s="520"/>
      <c r="L76" s="521"/>
      <c r="M76" s="8">
        <f>N76+P76</f>
        <v>180</v>
      </c>
      <c r="N76" s="9"/>
      <c r="O76" s="9"/>
      <c r="P76" s="44">
        <v>180</v>
      </c>
      <c r="Q76" s="13">
        <f t="shared" si="13"/>
        <v>0</v>
      </c>
      <c r="R76" s="14"/>
      <c r="S76" s="14"/>
      <c r="T76" s="55">
        <v>0</v>
      </c>
      <c r="U76" s="87"/>
      <c r="V76" s="78"/>
    </row>
    <row r="77" spans="1:22" ht="14.25" customHeight="1" thickBot="1">
      <c r="A77" s="952"/>
      <c r="B77" s="964"/>
      <c r="C77" s="1082"/>
      <c r="D77" s="1097"/>
      <c r="E77" s="1124"/>
      <c r="F77" s="999"/>
      <c r="G77" s="281"/>
      <c r="H77" s="114" t="s">
        <v>28</v>
      </c>
      <c r="I77" s="95"/>
      <c r="J77" s="129"/>
      <c r="K77" s="129"/>
      <c r="L77" s="130"/>
      <c r="M77" s="65">
        <f>SUM(M76:M76)</f>
        <v>180</v>
      </c>
      <c r="N77" s="79"/>
      <c r="O77" s="79"/>
      <c r="P77" s="80">
        <f>SUM(P76:P76)</f>
        <v>180</v>
      </c>
      <c r="Q77" s="65">
        <f t="shared" si="13"/>
        <v>0</v>
      </c>
      <c r="R77" s="79"/>
      <c r="S77" s="79"/>
      <c r="T77" s="80">
        <f>SUM(T76)</f>
        <v>0</v>
      </c>
      <c r="U77" s="81"/>
      <c r="V77" s="81"/>
    </row>
    <row r="78" spans="1:22" ht="29.25" customHeight="1">
      <c r="A78" s="237" t="s">
        <v>29</v>
      </c>
      <c r="B78" s="250" t="s">
        <v>25</v>
      </c>
      <c r="C78" s="417" t="s">
        <v>35</v>
      </c>
      <c r="D78" s="494" t="s">
        <v>160</v>
      </c>
      <c r="E78" s="596"/>
      <c r="F78" s="413" t="s">
        <v>26</v>
      </c>
      <c r="G78" s="269">
        <v>2</v>
      </c>
      <c r="H78" s="222" t="s">
        <v>27</v>
      </c>
      <c r="I78" s="168"/>
      <c r="J78" s="3"/>
      <c r="K78" s="3"/>
      <c r="L78" s="93"/>
      <c r="M78" s="324">
        <f>N78+P78</f>
        <v>183.20000000000002</v>
      </c>
      <c r="N78" s="326">
        <v>168.8</v>
      </c>
      <c r="O78" s="326"/>
      <c r="P78" s="327">
        <v>14.4</v>
      </c>
      <c r="Q78" s="13">
        <f t="shared" si="13"/>
        <v>20</v>
      </c>
      <c r="R78" s="14">
        <v>20</v>
      </c>
      <c r="S78" s="14"/>
      <c r="T78" s="348"/>
      <c r="U78" s="221"/>
      <c r="V78" s="221"/>
    </row>
    <row r="79" spans="1:22" ht="26.25" customHeight="1">
      <c r="A79" s="251"/>
      <c r="B79" s="252"/>
      <c r="C79" s="412"/>
      <c r="D79" s="495" t="s">
        <v>228</v>
      </c>
      <c r="E79" s="598"/>
      <c r="F79" s="414"/>
      <c r="G79" s="270"/>
      <c r="H79" s="163" t="s">
        <v>161</v>
      </c>
      <c r="I79" s="94">
        <f>J79+L79</f>
        <v>84.4</v>
      </c>
      <c r="J79" s="68"/>
      <c r="K79" s="68"/>
      <c r="L79" s="69">
        <v>84.4</v>
      </c>
      <c r="M79" s="134"/>
      <c r="N79" s="199"/>
      <c r="O79" s="199"/>
      <c r="P79" s="329"/>
      <c r="Q79" s="488"/>
      <c r="R79" s="354"/>
      <c r="S79" s="354"/>
      <c r="T79" s="355"/>
      <c r="U79" s="444"/>
      <c r="V79" s="444"/>
    </row>
    <row r="80" spans="1:22" ht="30" customHeight="1">
      <c r="A80" s="251"/>
      <c r="B80" s="252"/>
      <c r="C80" s="412"/>
      <c r="D80" s="495" t="s">
        <v>229</v>
      </c>
      <c r="E80" s="598" t="s">
        <v>80</v>
      </c>
      <c r="F80" s="414"/>
      <c r="G80" s="270"/>
      <c r="H80" s="163" t="s">
        <v>86</v>
      </c>
      <c r="I80" s="233">
        <f>J80+L80</f>
        <v>176</v>
      </c>
      <c r="J80" s="61"/>
      <c r="K80" s="61"/>
      <c r="L80" s="69">
        <v>176</v>
      </c>
      <c r="M80" s="294"/>
      <c r="N80" s="440"/>
      <c r="O80" s="440"/>
      <c r="P80" s="329"/>
      <c r="Q80" s="488"/>
      <c r="R80" s="371"/>
      <c r="S80" s="371"/>
      <c r="T80" s="355"/>
      <c r="U80" s="444"/>
      <c r="V80" s="444"/>
    </row>
    <row r="81" spans="1:22" ht="18.75" customHeight="1">
      <c r="A81" s="251"/>
      <c r="B81" s="252"/>
      <c r="C81" s="397"/>
      <c r="D81" s="1098" t="s">
        <v>230</v>
      </c>
      <c r="E81" s="598"/>
      <c r="F81" s="109"/>
      <c r="G81" s="270"/>
      <c r="H81" s="36"/>
      <c r="I81" s="184"/>
      <c r="J81" s="187"/>
      <c r="K81" s="187"/>
      <c r="L81" s="186"/>
      <c r="M81" s="411"/>
      <c r="N81" s="48"/>
      <c r="O81" s="48"/>
      <c r="P81" s="62"/>
      <c r="Q81" s="370"/>
      <c r="R81" s="593"/>
      <c r="S81" s="593"/>
      <c r="T81" s="352"/>
      <c r="U81" s="217"/>
      <c r="V81" s="217"/>
    </row>
    <row r="82" spans="1:22" ht="13.5" customHeight="1" thickBot="1">
      <c r="A82" s="254"/>
      <c r="B82" s="253"/>
      <c r="C82" s="435"/>
      <c r="D82" s="1099"/>
      <c r="E82" s="597"/>
      <c r="F82" s="515"/>
      <c r="G82" s="271"/>
      <c r="H82" s="135" t="s">
        <v>28</v>
      </c>
      <c r="I82" s="96">
        <f>J82+L82</f>
        <v>260.4</v>
      </c>
      <c r="J82" s="129"/>
      <c r="K82" s="128"/>
      <c r="L82" s="131">
        <f>SUM(L78:L81)</f>
        <v>260.4</v>
      </c>
      <c r="M82" s="65">
        <f>N82+P82</f>
        <v>183.20000000000002</v>
      </c>
      <c r="N82" s="79">
        <f>SUM(N78:N81)</f>
        <v>168.8</v>
      </c>
      <c r="O82" s="79"/>
      <c r="P82" s="92">
        <f>SUM(P78:P81)</f>
        <v>14.4</v>
      </c>
      <c r="Q82" s="65">
        <f>R82+T82</f>
        <v>20</v>
      </c>
      <c r="R82" s="79">
        <f>SUM(R78:R81)</f>
        <v>20</v>
      </c>
      <c r="S82" s="79"/>
      <c r="T82" s="92"/>
      <c r="U82" s="81"/>
      <c r="V82" s="81"/>
    </row>
    <row r="83" spans="1:22" ht="31.5" customHeight="1">
      <c r="A83" s="237" t="s">
        <v>29</v>
      </c>
      <c r="B83" s="250" t="s">
        <v>25</v>
      </c>
      <c r="C83" s="417" t="s">
        <v>184</v>
      </c>
      <c r="D83" s="497" t="s">
        <v>125</v>
      </c>
      <c r="E83" s="1216" t="s">
        <v>124</v>
      </c>
      <c r="F83" s="413" t="s">
        <v>26</v>
      </c>
      <c r="G83" s="269">
        <v>2</v>
      </c>
      <c r="H83" s="222" t="s">
        <v>27</v>
      </c>
      <c r="I83" s="168">
        <f>J83+L83</f>
        <v>100</v>
      </c>
      <c r="J83" s="3">
        <v>100</v>
      </c>
      <c r="K83" s="3"/>
      <c r="L83" s="93"/>
      <c r="M83" s="324">
        <f>N83+P83</f>
        <v>15</v>
      </c>
      <c r="N83" s="326">
        <v>15</v>
      </c>
      <c r="O83" s="326"/>
      <c r="P83" s="433"/>
      <c r="Q83" s="13">
        <f>R83+T83</f>
        <v>10</v>
      </c>
      <c r="R83" s="14">
        <v>10</v>
      </c>
      <c r="S83" s="14"/>
      <c r="T83" s="348"/>
      <c r="U83" s="221"/>
      <c r="V83" s="221"/>
    </row>
    <row r="84" spans="1:22" ht="19.5" customHeight="1">
      <c r="A84" s="251"/>
      <c r="B84" s="252"/>
      <c r="C84" s="412"/>
      <c r="D84" s="495" t="s">
        <v>126</v>
      </c>
      <c r="E84" s="1217"/>
      <c r="F84" s="414"/>
      <c r="G84" s="270"/>
      <c r="H84" s="163" t="s">
        <v>86</v>
      </c>
      <c r="I84" s="233">
        <f>J84+L84</f>
        <v>50</v>
      </c>
      <c r="J84" s="61">
        <v>50</v>
      </c>
      <c r="K84" s="61"/>
      <c r="L84" s="69"/>
      <c r="M84" s="294"/>
      <c r="N84" s="440"/>
      <c r="O84" s="440"/>
      <c r="P84" s="440"/>
      <c r="Q84" s="488"/>
      <c r="R84" s="371"/>
      <c r="S84" s="371"/>
      <c r="T84" s="355"/>
      <c r="U84" s="444">
        <v>300</v>
      </c>
      <c r="V84" s="444"/>
    </row>
    <row r="85" spans="1:22" ht="14.25" customHeight="1">
      <c r="A85" s="251"/>
      <c r="B85" s="252"/>
      <c r="C85" s="397"/>
      <c r="D85" s="1098" t="s">
        <v>127</v>
      </c>
      <c r="E85" s="1217"/>
      <c r="F85" s="109"/>
      <c r="G85" s="601"/>
      <c r="H85" s="36"/>
      <c r="I85" s="184"/>
      <c r="J85" s="187"/>
      <c r="K85" s="187"/>
      <c r="L85" s="186"/>
      <c r="M85" s="411"/>
      <c r="N85" s="48"/>
      <c r="O85" s="48"/>
      <c r="P85" s="48"/>
      <c r="Q85" s="370"/>
      <c r="R85" s="593"/>
      <c r="S85" s="593"/>
      <c r="T85" s="352"/>
      <c r="U85" s="217"/>
      <c r="V85" s="217"/>
    </row>
    <row r="86" spans="1:22" ht="15" customHeight="1" thickBot="1">
      <c r="A86" s="254"/>
      <c r="B86" s="253"/>
      <c r="C86" s="435"/>
      <c r="D86" s="1099"/>
      <c r="E86" s="1218"/>
      <c r="F86" s="515"/>
      <c r="G86" s="271"/>
      <c r="H86" s="135" t="s">
        <v>28</v>
      </c>
      <c r="I86" s="96">
        <f>J86+L86</f>
        <v>150</v>
      </c>
      <c r="J86" s="129">
        <f>SUM(J83:J85)</f>
        <v>150</v>
      </c>
      <c r="K86" s="128"/>
      <c r="L86" s="131"/>
      <c r="M86" s="65">
        <f>N86+P86</f>
        <v>15</v>
      </c>
      <c r="N86" s="79">
        <f>SUM(N83:N85)</f>
        <v>15</v>
      </c>
      <c r="O86" s="79"/>
      <c r="P86" s="80"/>
      <c r="Q86" s="65">
        <f>R86+T86</f>
        <v>10</v>
      </c>
      <c r="R86" s="79">
        <f>SUM(R83:R85)</f>
        <v>10</v>
      </c>
      <c r="S86" s="79"/>
      <c r="T86" s="92"/>
      <c r="U86" s="81">
        <f>SUM(U84:U85)</f>
        <v>300</v>
      </c>
      <c r="V86" s="81"/>
    </row>
    <row r="87" spans="1:22" ht="65.25" customHeight="1">
      <c r="A87" s="245" t="s">
        <v>29</v>
      </c>
      <c r="B87" s="244" t="s">
        <v>25</v>
      </c>
      <c r="C87" s="1236" t="s">
        <v>10</v>
      </c>
      <c r="D87" s="1135" t="s">
        <v>248</v>
      </c>
      <c r="E87" s="170" t="s">
        <v>194</v>
      </c>
      <c r="F87" s="284" t="s">
        <v>26</v>
      </c>
      <c r="G87" s="272">
        <v>6</v>
      </c>
      <c r="H87" s="334" t="s">
        <v>27</v>
      </c>
      <c r="I87" s="191">
        <f>J87+L87</f>
        <v>1500</v>
      </c>
      <c r="J87" s="179">
        <v>1500</v>
      </c>
      <c r="K87" s="185"/>
      <c r="L87" s="178"/>
      <c r="M87" s="177">
        <f>N87+P87</f>
        <v>1280</v>
      </c>
      <c r="N87" s="185">
        <f>1500-220</f>
        <v>1280</v>
      </c>
      <c r="O87" s="187"/>
      <c r="P87" s="187"/>
      <c r="Q87" s="708">
        <f>R87+T87</f>
        <v>600</v>
      </c>
      <c r="R87" s="709">
        <v>600</v>
      </c>
      <c r="S87" s="51"/>
      <c r="T87" s="43"/>
      <c r="U87" s="188">
        <v>640</v>
      </c>
      <c r="V87" s="181">
        <v>640</v>
      </c>
    </row>
    <row r="88" spans="1:22" ht="18" customHeight="1" thickBot="1">
      <c r="A88" s="249"/>
      <c r="B88" s="244"/>
      <c r="C88" s="1236"/>
      <c r="D88" s="1135"/>
      <c r="E88" s="170"/>
      <c r="F88" s="284"/>
      <c r="G88" s="272"/>
      <c r="H88" s="322" t="s">
        <v>28</v>
      </c>
      <c r="I88" s="95">
        <f>SUM(I87)</f>
        <v>1500</v>
      </c>
      <c r="J88" s="132">
        <f>SUM(J87)</f>
        <v>1500</v>
      </c>
      <c r="K88" s="129"/>
      <c r="L88" s="133"/>
      <c r="M88" s="95">
        <f>SUM(M87)</f>
        <v>1280</v>
      </c>
      <c r="N88" s="129">
        <f>SUM(N87)</f>
        <v>1280</v>
      </c>
      <c r="O88" s="130"/>
      <c r="P88" s="130"/>
      <c r="Q88" s="65">
        <f>R88+T88</f>
        <v>600</v>
      </c>
      <c r="R88" s="116">
        <f>SUM(R87)</f>
        <v>600</v>
      </c>
      <c r="S88" s="79"/>
      <c r="T88" s="86"/>
      <c r="U88" s="97">
        <f>SUM(U87:U87)</f>
        <v>640</v>
      </c>
      <c r="V88" s="97">
        <f>SUM(V87)</f>
        <v>640</v>
      </c>
    </row>
    <row r="89" spans="1:22" ht="22.5" customHeight="1">
      <c r="A89" s="951" t="s">
        <v>29</v>
      </c>
      <c r="B89" s="962" t="s">
        <v>25</v>
      </c>
      <c r="C89" s="1018" t="s">
        <v>26</v>
      </c>
      <c r="D89" s="1111" t="s">
        <v>247</v>
      </c>
      <c r="E89" s="1120" t="s">
        <v>89</v>
      </c>
      <c r="F89" s="1136" t="s">
        <v>26</v>
      </c>
      <c r="G89" s="707" t="s">
        <v>246</v>
      </c>
      <c r="H89" s="117" t="s">
        <v>8</v>
      </c>
      <c r="I89" s="193"/>
      <c r="J89" s="194"/>
      <c r="K89" s="194"/>
      <c r="L89" s="195"/>
      <c r="M89" s="149">
        <f>P89+N89</f>
        <v>768.341</v>
      </c>
      <c r="N89" s="73"/>
      <c r="O89" s="73"/>
      <c r="P89" s="74">
        <v>768.341</v>
      </c>
      <c r="Q89" s="216"/>
      <c r="R89" s="76"/>
      <c r="S89" s="76"/>
      <c r="T89" s="77"/>
      <c r="U89" s="78"/>
      <c r="V89" s="266"/>
    </row>
    <row r="90" spans="1:22" ht="22.5" customHeight="1">
      <c r="A90" s="1077"/>
      <c r="B90" s="963"/>
      <c r="C90" s="1114"/>
      <c r="D90" s="1112"/>
      <c r="E90" s="1121"/>
      <c r="F90" s="1137"/>
      <c r="G90" s="275"/>
      <c r="H90" s="26" t="s">
        <v>9</v>
      </c>
      <c r="I90" s="94">
        <f>J90+L90</f>
        <v>280.4</v>
      </c>
      <c r="J90" s="68"/>
      <c r="K90" s="68"/>
      <c r="L90" s="69">
        <v>280.4</v>
      </c>
      <c r="M90" s="27">
        <f>N90+P90</f>
        <v>280.4</v>
      </c>
      <c r="N90" s="28"/>
      <c r="O90" s="28"/>
      <c r="P90" s="32">
        <v>280.4</v>
      </c>
      <c r="Q90" s="353">
        <f>R90+T90</f>
        <v>280.4</v>
      </c>
      <c r="R90" s="354"/>
      <c r="S90" s="354"/>
      <c r="T90" s="371">
        <v>280.4</v>
      </c>
      <c r="U90" s="33"/>
      <c r="V90" s="315"/>
    </row>
    <row r="91" spans="1:22" ht="19.5" customHeight="1" thickBot="1">
      <c r="A91" s="952"/>
      <c r="B91" s="964"/>
      <c r="C91" s="1115"/>
      <c r="D91" s="1113"/>
      <c r="E91" s="1122"/>
      <c r="F91" s="1138"/>
      <c r="G91" s="276"/>
      <c r="H91" s="114" t="s">
        <v>28</v>
      </c>
      <c r="I91" s="95">
        <f>SUM(I89:I90)</f>
        <v>280.4</v>
      </c>
      <c r="J91" s="132"/>
      <c r="K91" s="129"/>
      <c r="L91" s="133">
        <f>SUM(L89:L90)</f>
        <v>280.4</v>
      </c>
      <c r="M91" s="80">
        <f>SUM(M89:M90)</f>
        <v>1048.741</v>
      </c>
      <c r="N91" s="79"/>
      <c r="O91" s="116"/>
      <c r="P91" s="92">
        <f>SUM(P89:P90)</f>
        <v>1048.741</v>
      </c>
      <c r="Q91" s="79">
        <f>R91+T91</f>
        <v>280.4</v>
      </c>
      <c r="R91" s="116"/>
      <c r="S91" s="79"/>
      <c r="T91" s="116">
        <f>SUM(T90)</f>
        <v>280.4</v>
      </c>
      <c r="U91" s="81"/>
      <c r="V91" s="86"/>
    </row>
    <row r="92" spans="1:22" ht="25.5" customHeight="1">
      <c r="A92" s="337" t="s">
        <v>29</v>
      </c>
      <c r="B92" s="250" t="s">
        <v>25</v>
      </c>
      <c r="C92" s="994" t="s">
        <v>12</v>
      </c>
      <c r="D92" s="1074" t="s">
        <v>111</v>
      </c>
      <c r="E92" s="510"/>
      <c r="F92" s="595"/>
      <c r="G92" s="500"/>
      <c r="H92" s="418" t="s">
        <v>99</v>
      </c>
      <c r="I92" s="522"/>
      <c r="J92" s="523"/>
      <c r="K92" s="524"/>
      <c r="L92" s="523"/>
      <c r="M92" s="223">
        <f>N92+P92</f>
        <v>75</v>
      </c>
      <c r="N92" s="194">
        <v>75</v>
      </c>
      <c r="O92" s="267"/>
      <c r="P92" s="195"/>
      <c r="Q92" s="388">
        <f>R92+T92</f>
        <v>75</v>
      </c>
      <c r="R92" s="403">
        <v>75</v>
      </c>
      <c r="S92" s="512"/>
      <c r="T92" s="511"/>
      <c r="U92" s="513"/>
      <c r="V92" s="514"/>
    </row>
    <row r="93" spans="1:22" ht="17.25" customHeight="1" thickBot="1">
      <c r="A93" s="236"/>
      <c r="B93" s="253"/>
      <c r="C93" s="1127"/>
      <c r="D93" s="1237"/>
      <c r="E93" s="499"/>
      <c r="F93" s="594"/>
      <c r="G93" s="501"/>
      <c r="H93" s="114" t="s">
        <v>28</v>
      </c>
      <c r="I93" s="95"/>
      <c r="J93" s="132"/>
      <c r="K93" s="129"/>
      <c r="L93" s="132"/>
      <c r="M93" s="98">
        <f>SUM(M92:M92)</f>
        <v>75</v>
      </c>
      <c r="N93" s="79">
        <f>SUM(N92:N92)</f>
        <v>75</v>
      </c>
      <c r="O93" s="116"/>
      <c r="P93" s="92"/>
      <c r="Q93" s="64">
        <f>R93+T93</f>
        <v>75</v>
      </c>
      <c r="R93" s="116">
        <f>SUM(R92)</f>
        <v>75</v>
      </c>
      <c r="S93" s="79"/>
      <c r="T93" s="116"/>
      <c r="U93" s="81"/>
      <c r="V93" s="86"/>
    </row>
    <row r="94" spans="1:22" ht="14.25" customHeight="1">
      <c r="A94" s="1077" t="s">
        <v>29</v>
      </c>
      <c r="B94" s="963" t="s">
        <v>25</v>
      </c>
      <c r="C94" s="1219" t="s">
        <v>13</v>
      </c>
      <c r="D94" s="1067" t="s">
        <v>231</v>
      </c>
      <c r="E94" s="1064" t="s">
        <v>82</v>
      </c>
      <c r="F94" s="109" t="s">
        <v>26</v>
      </c>
      <c r="G94" s="275">
        <v>5</v>
      </c>
      <c r="H94" s="206" t="s">
        <v>27</v>
      </c>
      <c r="I94" s="182">
        <f>J94+L94</f>
        <v>251.1</v>
      </c>
      <c r="J94" s="172">
        <v>158.5</v>
      </c>
      <c r="K94" s="183"/>
      <c r="L94" s="173">
        <v>92.6</v>
      </c>
      <c r="M94" s="155"/>
      <c r="N94" s="17"/>
      <c r="O94" s="156"/>
      <c r="P94" s="157"/>
      <c r="Q94" s="158"/>
      <c r="R94" s="20"/>
      <c r="S94" s="385"/>
      <c r="T94" s="350"/>
      <c r="U94" s="207"/>
      <c r="V94" s="208"/>
    </row>
    <row r="95" spans="1:22" ht="14.25" customHeight="1">
      <c r="A95" s="1077"/>
      <c r="B95" s="963"/>
      <c r="C95" s="1219"/>
      <c r="D95" s="1067"/>
      <c r="E95" s="1064"/>
      <c r="F95" s="205"/>
      <c r="G95" s="275"/>
      <c r="H95" s="21" t="s">
        <v>8</v>
      </c>
      <c r="I95" s="182">
        <f>J95+L95</f>
        <v>894.5</v>
      </c>
      <c r="J95" s="172">
        <v>369.2</v>
      </c>
      <c r="K95" s="183"/>
      <c r="L95" s="173">
        <v>525.3</v>
      </c>
      <c r="M95" s="155"/>
      <c r="N95" s="17"/>
      <c r="O95" s="156"/>
      <c r="P95" s="157"/>
      <c r="Q95" s="158"/>
      <c r="R95" s="20"/>
      <c r="S95" s="385"/>
      <c r="T95" s="350"/>
      <c r="U95" s="209"/>
      <c r="V95" s="210"/>
    </row>
    <row r="96" spans="1:22" ht="14.25" customHeight="1">
      <c r="A96" s="1077"/>
      <c r="B96" s="963"/>
      <c r="C96" s="1219"/>
      <c r="D96" s="1067"/>
      <c r="E96" s="1064"/>
      <c r="F96" s="205"/>
      <c r="G96" s="275"/>
      <c r="H96" s="212" t="s">
        <v>9</v>
      </c>
      <c r="I96" s="184"/>
      <c r="J96" s="185"/>
      <c r="K96" s="179"/>
      <c r="L96" s="186"/>
      <c r="M96" s="104"/>
      <c r="N96" s="45"/>
      <c r="O96" s="90"/>
      <c r="P96" s="63"/>
      <c r="Q96" s="91"/>
      <c r="R96" s="51"/>
      <c r="S96" s="386"/>
      <c r="T96" s="352"/>
      <c r="U96" s="574"/>
      <c r="V96" s="575"/>
    </row>
    <row r="97" spans="1:22" ht="14.25" customHeight="1" thickBot="1">
      <c r="A97" s="952"/>
      <c r="B97" s="964"/>
      <c r="C97" s="1163"/>
      <c r="D97" s="1068"/>
      <c r="E97" s="1065"/>
      <c r="F97" s="161"/>
      <c r="G97" s="277"/>
      <c r="H97" s="114" t="s">
        <v>28</v>
      </c>
      <c r="I97" s="96">
        <f>SUM(I94:I96)</f>
        <v>1145.6</v>
      </c>
      <c r="J97" s="129">
        <f>SUM(J94:J96)</f>
        <v>527.7</v>
      </c>
      <c r="K97" s="132"/>
      <c r="L97" s="131">
        <f>SUM(L94:L96)</f>
        <v>617.9</v>
      </c>
      <c r="M97" s="98"/>
      <c r="N97" s="79"/>
      <c r="O97" s="116"/>
      <c r="P97" s="92"/>
      <c r="Q97" s="98"/>
      <c r="R97" s="79"/>
      <c r="S97" s="116"/>
      <c r="T97" s="92"/>
      <c r="U97" s="98"/>
      <c r="V97" s="81"/>
    </row>
    <row r="98" spans="1:22" ht="15" customHeight="1">
      <c r="A98" s="238" t="s">
        <v>29</v>
      </c>
      <c r="B98" s="240" t="s">
        <v>25</v>
      </c>
      <c r="C98" s="994" t="s">
        <v>135</v>
      </c>
      <c r="D98" s="1141" t="s">
        <v>142</v>
      </c>
      <c r="E98" s="150" t="s">
        <v>194</v>
      </c>
      <c r="F98" s="283" t="s">
        <v>26</v>
      </c>
      <c r="G98" s="269">
        <v>5</v>
      </c>
      <c r="H98" s="222" t="s">
        <v>27</v>
      </c>
      <c r="I98" s="168">
        <f>J98+L98</f>
        <v>526.9</v>
      </c>
      <c r="J98" s="3">
        <v>483.5</v>
      </c>
      <c r="K98" s="3"/>
      <c r="L98" s="93">
        <v>43.4</v>
      </c>
      <c r="M98" s="171">
        <f>N98+P98</f>
        <v>348.5</v>
      </c>
      <c r="N98" s="172">
        <f>182.2+130.4</f>
        <v>312.6</v>
      </c>
      <c r="O98" s="172"/>
      <c r="P98" s="174">
        <f>25.7+10.2</f>
        <v>35.9</v>
      </c>
      <c r="Q98" s="378">
        <f>R98+T98</f>
        <v>348.5</v>
      </c>
      <c r="R98" s="356">
        <v>312.6</v>
      </c>
      <c r="S98" s="356"/>
      <c r="T98" s="379">
        <v>35.9</v>
      </c>
      <c r="U98" s="175"/>
      <c r="V98" s="176"/>
    </row>
    <row r="99" spans="1:22" ht="15" customHeight="1">
      <c r="A99" s="245"/>
      <c r="B99" s="244"/>
      <c r="C99" s="995"/>
      <c r="D99" s="1142"/>
      <c r="E99" s="170" t="s">
        <v>6</v>
      </c>
      <c r="F99" s="284"/>
      <c r="G99" s="270"/>
      <c r="H99" s="163" t="s">
        <v>8</v>
      </c>
      <c r="I99" s="191">
        <f>J99+L99</f>
        <v>2141.98</v>
      </c>
      <c r="J99" s="177">
        <v>1826.7</v>
      </c>
      <c r="K99" s="177"/>
      <c r="L99" s="178">
        <v>315.28</v>
      </c>
      <c r="M99" s="177">
        <f>N99+P99</f>
        <v>1976</v>
      </c>
      <c r="N99" s="177">
        <f>1031.7+741.4</f>
        <v>1773.1</v>
      </c>
      <c r="O99" s="177"/>
      <c r="P99" s="179">
        <f>145.4+57.5</f>
        <v>202.9</v>
      </c>
      <c r="Q99" s="375">
        <f>R99+T99</f>
        <v>1976</v>
      </c>
      <c r="R99" s="381">
        <v>1773.1</v>
      </c>
      <c r="S99" s="381"/>
      <c r="T99" s="376">
        <v>202.9</v>
      </c>
      <c r="U99" s="180"/>
      <c r="V99" s="181"/>
    </row>
    <row r="100" spans="1:22" ht="15" customHeight="1" thickBot="1">
      <c r="A100" s="247"/>
      <c r="B100" s="242"/>
      <c r="C100" s="1127"/>
      <c r="D100" s="1143"/>
      <c r="E100" s="528"/>
      <c r="F100" s="285"/>
      <c r="G100" s="271"/>
      <c r="H100" s="135" t="s">
        <v>28</v>
      </c>
      <c r="I100" s="454">
        <f>SUM(I98:I99)</f>
        <v>2668.88</v>
      </c>
      <c r="J100" s="432">
        <f>SUM(J98:J99)</f>
        <v>2310.2</v>
      </c>
      <c r="K100" s="461"/>
      <c r="L100" s="455">
        <f>SUM(L98:L99)</f>
        <v>358.67999999999995</v>
      </c>
      <c r="M100" s="130">
        <f>N100+P100</f>
        <v>2324.5</v>
      </c>
      <c r="N100" s="129">
        <f>SUM(N98:N99)</f>
        <v>2085.7</v>
      </c>
      <c r="O100" s="132"/>
      <c r="P100" s="130">
        <f>SUM(P98:P99)</f>
        <v>238.8</v>
      </c>
      <c r="Q100" s="96">
        <f>R100+T100</f>
        <v>2324.5</v>
      </c>
      <c r="R100" s="129">
        <f>SUM(R98:R99)</f>
        <v>2085.7</v>
      </c>
      <c r="S100" s="132"/>
      <c r="T100" s="131">
        <f>SUM(T98:T99)</f>
        <v>238.8</v>
      </c>
      <c r="U100" s="132"/>
      <c r="V100" s="97"/>
    </row>
    <row r="101" spans="1:22" ht="16.5" customHeight="1" thickBot="1">
      <c r="A101" s="236" t="s">
        <v>29</v>
      </c>
      <c r="B101" s="239" t="s">
        <v>25</v>
      </c>
      <c r="C101" s="1022" t="s">
        <v>32</v>
      </c>
      <c r="D101" s="1108"/>
      <c r="E101" s="1108"/>
      <c r="F101" s="1108"/>
      <c r="G101" s="1108"/>
      <c r="H101" s="1108"/>
      <c r="I101" s="462">
        <f>J101+L101</f>
        <v>22430.58</v>
      </c>
      <c r="J101" s="463">
        <f>J100+J97+J93+J91+J88+J86+J82+J77+J75+J73+J68+J65</f>
        <v>4522.9</v>
      </c>
      <c r="K101" s="463"/>
      <c r="L101" s="464">
        <f>L100+L97+L93+L91+L88+L86+L82+L77+L75+L73+L68+L65</f>
        <v>17907.68</v>
      </c>
      <c r="M101" s="462">
        <f>N101+P101</f>
        <v>20941.041</v>
      </c>
      <c r="N101" s="463">
        <f>N100+N97+N93+N91+N88+N86+N82+N77+N75+N73+N68+N65</f>
        <v>3624.5</v>
      </c>
      <c r="O101" s="463"/>
      <c r="P101" s="464">
        <f>P100+P97+P93+P91+P88+P86+P82+P77+P75+P73+P68+P65</f>
        <v>17316.541</v>
      </c>
      <c r="Q101" s="462">
        <f>R101+T101</f>
        <v>18797.5</v>
      </c>
      <c r="R101" s="463">
        <f>R100+R97+R93+R91+R88+R86+R82+R77+R73+R75+R68+R65</f>
        <v>2790.7</v>
      </c>
      <c r="S101" s="463"/>
      <c r="T101" s="464">
        <f>T100+T97+T93+T91+T88+T86+T82+T77+T75+T73+T68+T65</f>
        <v>16006.800000000001</v>
      </c>
      <c r="U101" s="483">
        <f>U100+U97+U93+U91+U88+U86+U82+U77+U75+U73+U68+U65</f>
        <v>12286.4</v>
      </c>
      <c r="V101" s="484">
        <f>V100+V97+V93+V91+V88+V86+V82+V77+V75+V73+V68+V65</f>
        <v>7152.9</v>
      </c>
    </row>
    <row r="102" spans="1:22" ht="16.5" customHeight="1" thickBot="1">
      <c r="A102" s="336" t="s">
        <v>29</v>
      </c>
      <c r="B102" s="447" t="s">
        <v>29</v>
      </c>
      <c r="C102" s="1144" t="s">
        <v>130</v>
      </c>
      <c r="D102" s="1145"/>
      <c r="E102" s="1145"/>
      <c r="F102" s="1145"/>
      <c r="G102" s="1145"/>
      <c r="H102" s="1145"/>
      <c r="I102" s="1145"/>
      <c r="J102" s="1145"/>
      <c r="K102" s="1145"/>
      <c r="L102" s="1145"/>
      <c r="M102" s="1145"/>
      <c r="N102" s="1145"/>
      <c r="O102" s="1145"/>
      <c r="P102" s="1145"/>
      <c r="Q102" s="1145"/>
      <c r="R102" s="1145"/>
      <c r="S102" s="1145"/>
      <c r="T102" s="1145"/>
      <c r="U102" s="1145"/>
      <c r="V102" s="1146"/>
    </row>
    <row r="103" spans="1:22" ht="41.25" customHeight="1">
      <c r="A103" s="237" t="s">
        <v>29</v>
      </c>
      <c r="B103" s="250" t="s">
        <v>29</v>
      </c>
      <c r="C103" s="412" t="s">
        <v>25</v>
      </c>
      <c r="D103" s="497" t="s">
        <v>123</v>
      </c>
      <c r="E103" s="1151" t="s">
        <v>124</v>
      </c>
      <c r="F103" s="413" t="s">
        <v>26</v>
      </c>
      <c r="G103" s="399">
        <v>2</v>
      </c>
      <c r="H103" s="190" t="s">
        <v>27</v>
      </c>
      <c r="I103" s="179"/>
      <c r="J103" s="187"/>
      <c r="K103" s="187"/>
      <c r="L103" s="186"/>
      <c r="M103" s="179">
        <f>N103+P103</f>
        <v>200</v>
      </c>
      <c r="N103" s="187">
        <v>200</v>
      </c>
      <c r="O103" s="187"/>
      <c r="P103" s="187"/>
      <c r="Q103" s="465"/>
      <c r="R103" s="364"/>
      <c r="S103" s="364"/>
      <c r="T103" s="369"/>
      <c r="U103" s="453">
        <v>200</v>
      </c>
      <c r="V103" s="468">
        <v>200</v>
      </c>
    </row>
    <row r="104" spans="1:22" ht="16.5" customHeight="1">
      <c r="A104" s="251"/>
      <c r="B104" s="252"/>
      <c r="C104" s="412"/>
      <c r="D104" s="495" t="s">
        <v>232</v>
      </c>
      <c r="E104" s="1151"/>
      <c r="F104" s="414"/>
      <c r="G104" s="399"/>
      <c r="H104" s="190"/>
      <c r="I104" s="179"/>
      <c r="J104" s="187"/>
      <c r="K104" s="187"/>
      <c r="L104" s="186"/>
      <c r="M104" s="179"/>
      <c r="N104" s="187"/>
      <c r="O104" s="187"/>
      <c r="P104" s="187"/>
      <c r="Q104" s="465"/>
      <c r="R104" s="364"/>
      <c r="S104" s="364"/>
      <c r="T104" s="369"/>
      <c r="U104" s="453"/>
      <c r="V104" s="466"/>
    </row>
    <row r="105" spans="1:22" ht="15" customHeight="1">
      <c r="A105" s="251"/>
      <c r="B105" s="252"/>
      <c r="C105" s="397"/>
      <c r="D105" s="495" t="s">
        <v>233</v>
      </c>
      <c r="E105" s="1151"/>
      <c r="F105" s="109"/>
      <c r="G105" s="427"/>
      <c r="H105" s="36"/>
      <c r="I105" s="90"/>
      <c r="J105" s="46"/>
      <c r="K105" s="46"/>
      <c r="L105" s="63"/>
      <c r="M105" s="90"/>
      <c r="N105" s="46"/>
      <c r="O105" s="46"/>
      <c r="P105" s="46"/>
      <c r="Q105" s="465"/>
      <c r="R105" s="364"/>
      <c r="S105" s="364"/>
      <c r="T105" s="369"/>
      <c r="U105" s="187"/>
      <c r="V105" s="466"/>
    </row>
    <row r="106" spans="1:22" s="89" customFormat="1" ht="15" customHeight="1">
      <c r="A106" s="251"/>
      <c r="B106" s="252"/>
      <c r="C106" s="425"/>
      <c r="D106" s="496" t="s">
        <v>235</v>
      </c>
      <c r="E106" s="1151"/>
      <c r="F106" s="419"/>
      <c r="G106" s="399"/>
      <c r="H106" s="212"/>
      <c r="I106" s="179"/>
      <c r="J106" s="187"/>
      <c r="K106" s="187"/>
      <c r="L106" s="186"/>
      <c r="M106" s="179"/>
      <c r="N106" s="187"/>
      <c r="O106" s="187"/>
      <c r="P106" s="187"/>
      <c r="Q106" s="465"/>
      <c r="R106" s="364"/>
      <c r="S106" s="364"/>
      <c r="T106" s="369"/>
      <c r="U106" s="407"/>
      <c r="V106" s="467"/>
    </row>
    <row r="107" spans="1:22" s="89" customFormat="1" ht="15.75" customHeight="1">
      <c r="A107" s="251"/>
      <c r="B107" s="252"/>
      <c r="C107" s="425"/>
      <c r="D107" s="496" t="s">
        <v>236</v>
      </c>
      <c r="E107" s="1151"/>
      <c r="F107" s="420"/>
      <c r="G107" s="427"/>
      <c r="H107" s="124"/>
      <c r="I107" s="90"/>
      <c r="J107" s="46"/>
      <c r="K107" s="46"/>
      <c r="L107" s="63"/>
      <c r="M107" s="90"/>
      <c r="N107" s="46"/>
      <c r="O107" s="46"/>
      <c r="P107" s="46"/>
      <c r="Q107" s="465"/>
      <c r="R107" s="364"/>
      <c r="S107" s="364"/>
      <c r="T107" s="369"/>
      <c r="U107" s="407"/>
      <c r="V107" s="467"/>
    </row>
    <row r="108" spans="1:22" ht="14.25" customHeight="1">
      <c r="A108" s="251"/>
      <c r="B108" s="252"/>
      <c r="C108" s="397"/>
      <c r="D108" s="496" t="s">
        <v>237</v>
      </c>
      <c r="E108" s="1151"/>
      <c r="F108" s="419"/>
      <c r="G108" s="428"/>
      <c r="H108" s="190"/>
      <c r="I108" s="183"/>
      <c r="J108" s="174"/>
      <c r="K108" s="174"/>
      <c r="L108" s="173"/>
      <c r="M108" s="183"/>
      <c r="N108" s="174"/>
      <c r="O108" s="174"/>
      <c r="P108" s="174"/>
      <c r="Q108" s="506"/>
      <c r="R108" s="359"/>
      <c r="S108" s="359"/>
      <c r="T108" s="441"/>
      <c r="U108" s="174"/>
      <c r="V108" s="466"/>
    </row>
    <row r="109" spans="1:22" ht="17.25" customHeight="1" thickBot="1">
      <c r="A109" s="254"/>
      <c r="B109" s="253"/>
      <c r="C109" s="435"/>
      <c r="D109" s="493" t="s">
        <v>234</v>
      </c>
      <c r="E109" s="1124"/>
      <c r="F109" s="515"/>
      <c r="G109" s="279"/>
      <c r="H109" s="135" t="s">
        <v>28</v>
      </c>
      <c r="I109" s="436"/>
      <c r="J109" s="235"/>
      <c r="K109" s="235"/>
      <c r="L109" s="439"/>
      <c r="M109" s="436">
        <f>N109+P109</f>
        <v>200</v>
      </c>
      <c r="N109" s="235">
        <f>N103</f>
        <v>200</v>
      </c>
      <c r="O109" s="235"/>
      <c r="P109" s="234"/>
      <c r="Q109" s="456"/>
      <c r="R109" s="457"/>
      <c r="S109" s="457"/>
      <c r="T109" s="487"/>
      <c r="U109" s="446">
        <f>SUM(U103:U108)</f>
        <v>200</v>
      </c>
      <c r="V109" s="469">
        <f>SUM(V103:V108)</f>
        <v>200</v>
      </c>
    </row>
    <row r="110" spans="1:22" ht="27.75" customHeight="1">
      <c r="A110" s="1147" t="s">
        <v>29</v>
      </c>
      <c r="B110" s="240" t="s">
        <v>29</v>
      </c>
      <c r="C110" s="241" t="s">
        <v>29</v>
      </c>
      <c r="D110" s="1130" t="s">
        <v>132</v>
      </c>
      <c r="E110" s="1131" t="s">
        <v>79</v>
      </c>
      <c r="F110" s="975" t="s">
        <v>26</v>
      </c>
      <c r="G110" s="1149" t="s">
        <v>91</v>
      </c>
      <c r="H110" s="71" t="s">
        <v>30</v>
      </c>
      <c r="I110" s="449"/>
      <c r="J110" s="450"/>
      <c r="K110" s="451"/>
      <c r="L110" s="452"/>
      <c r="M110" s="576">
        <f>N110+P110</f>
        <v>20</v>
      </c>
      <c r="N110" s="577"/>
      <c r="O110" s="578"/>
      <c r="P110" s="577">
        <v>20</v>
      </c>
      <c r="Q110" s="383">
        <f>R110+T110</f>
        <v>20</v>
      </c>
      <c r="R110" s="76"/>
      <c r="S110" s="384"/>
      <c r="T110" s="382">
        <v>20</v>
      </c>
      <c r="U110" s="147">
        <v>50</v>
      </c>
      <c r="V110" s="181"/>
    </row>
    <row r="111" spans="1:22" ht="16.5" customHeight="1" thickBot="1">
      <c r="A111" s="1148"/>
      <c r="B111" s="242"/>
      <c r="C111" s="243"/>
      <c r="D111" s="1099"/>
      <c r="E111" s="1132"/>
      <c r="F111" s="976"/>
      <c r="G111" s="1150"/>
      <c r="H111" s="114" t="s">
        <v>28</v>
      </c>
      <c r="I111" s="445"/>
      <c r="J111" s="443"/>
      <c r="K111" s="443"/>
      <c r="L111" s="448"/>
      <c r="M111" s="64">
        <f>M110</f>
        <v>20</v>
      </c>
      <c r="N111" s="116"/>
      <c r="O111" s="79"/>
      <c r="P111" s="116">
        <f>P110</f>
        <v>20</v>
      </c>
      <c r="Q111" s="65">
        <f>R111+T111</f>
        <v>20</v>
      </c>
      <c r="R111" s="79"/>
      <c r="S111" s="79"/>
      <c r="T111" s="92">
        <f>SUM(T110)</f>
        <v>20</v>
      </c>
      <c r="U111" s="92">
        <f>U110</f>
        <v>50</v>
      </c>
      <c r="V111" s="81"/>
    </row>
    <row r="112" spans="1:22" ht="27.75" customHeight="1">
      <c r="A112" s="953" t="s">
        <v>29</v>
      </c>
      <c r="B112" s="962" t="s">
        <v>29</v>
      </c>
      <c r="C112" s="1018" t="s">
        <v>31</v>
      </c>
      <c r="D112" s="1139" t="s">
        <v>238</v>
      </c>
      <c r="E112" s="1131" t="s">
        <v>81</v>
      </c>
      <c r="F112" s="975" t="s">
        <v>26</v>
      </c>
      <c r="G112" s="278">
        <v>2</v>
      </c>
      <c r="H112" s="117" t="s">
        <v>27</v>
      </c>
      <c r="I112" s="75"/>
      <c r="J112" s="214"/>
      <c r="K112" s="215"/>
      <c r="L112" s="202"/>
      <c r="M112" s="99">
        <v>250</v>
      </c>
      <c r="N112" s="73">
        <v>250</v>
      </c>
      <c r="O112" s="73"/>
      <c r="P112" s="74"/>
      <c r="Q112" s="216">
        <f>R112+T112</f>
        <v>125</v>
      </c>
      <c r="R112" s="76">
        <v>125</v>
      </c>
      <c r="S112" s="76"/>
      <c r="T112" s="77"/>
      <c r="U112" s="87">
        <v>160</v>
      </c>
      <c r="V112" s="78">
        <v>170</v>
      </c>
    </row>
    <row r="113" spans="1:22" ht="24.75" customHeight="1" thickBot="1">
      <c r="A113" s="954"/>
      <c r="B113" s="964"/>
      <c r="C113" s="1020"/>
      <c r="D113" s="1140"/>
      <c r="E113" s="1132"/>
      <c r="F113" s="976"/>
      <c r="G113" s="279"/>
      <c r="H113" s="83" t="s">
        <v>28</v>
      </c>
      <c r="I113" s="65"/>
      <c r="J113" s="64"/>
      <c r="K113" s="64"/>
      <c r="L113" s="86"/>
      <c r="M113" s="64">
        <f>SUM(M112:M112)</f>
        <v>250</v>
      </c>
      <c r="N113" s="79">
        <f>SUM(N112)</f>
        <v>250</v>
      </c>
      <c r="O113" s="79"/>
      <c r="P113" s="79"/>
      <c r="Q113" s="98">
        <f>R113+T113</f>
        <v>125</v>
      </c>
      <c r="R113" s="79">
        <f>SUM(R112)</f>
        <v>125</v>
      </c>
      <c r="S113" s="79"/>
      <c r="T113" s="80"/>
      <c r="U113" s="81">
        <f>SUM(U112)</f>
        <v>160</v>
      </c>
      <c r="V113" s="81">
        <f>SUM(V112)</f>
        <v>170</v>
      </c>
    </row>
    <row r="114" spans="1:22" ht="16.5" customHeight="1" thickBot="1">
      <c r="A114" s="255" t="s">
        <v>29</v>
      </c>
      <c r="B114" s="239" t="s">
        <v>29</v>
      </c>
      <c r="C114" s="1022"/>
      <c r="D114" s="1108"/>
      <c r="E114" s="1108"/>
      <c r="F114" s="1108"/>
      <c r="G114" s="1108"/>
      <c r="H114" s="1108"/>
      <c r="I114" s="462"/>
      <c r="J114" s="463"/>
      <c r="K114" s="463"/>
      <c r="L114" s="464"/>
      <c r="M114" s="462">
        <f>N114+P114</f>
        <v>470</v>
      </c>
      <c r="N114" s="463">
        <f>N113+N111+N109</f>
        <v>450</v>
      </c>
      <c r="O114" s="463"/>
      <c r="P114" s="464">
        <f>P113+P111+P109</f>
        <v>20</v>
      </c>
      <c r="Q114" s="462">
        <f>R114+T114</f>
        <v>145</v>
      </c>
      <c r="R114" s="463">
        <f>R113+R111+R109</f>
        <v>125</v>
      </c>
      <c r="S114" s="463"/>
      <c r="T114" s="464">
        <f>T113+T111+T109</f>
        <v>20</v>
      </c>
      <c r="U114" s="462">
        <f>U113+U111+U109</f>
        <v>410</v>
      </c>
      <c r="V114" s="484">
        <f>V113+V111+V109</f>
        <v>370</v>
      </c>
    </row>
    <row r="115" spans="1:22" ht="16.5" customHeight="1" thickBot="1">
      <c r="A115" s="337" t="s">
        <v>29</v>
      </c>
      <c r="B115" s="424" t="s">
        <v>31</v>
      </c>
      <c r="C115" s="1165" t="s">
        <v>129</v>
      </c>
      <c r="D115" s="1165"/>
      <c r="E115" s="1165"/>
      <c r="F115" s="1165"/>
      <c r="G115" s="1165"/>
      <c r="H115" s="1165"/>
      <c r="I115" s="1165"/>
      <c r="J115" s="1165"/>
      <c r="K115" s="1165"/>
      <c r="L115" s="1165"/>
      <c r="M115" s="1165"/>
      <c r="N115" s="1165"/>
      <c r="O115" s="1165"/>
      <c r="P115" s="1165"/>
      <c r="Q115" s="1165"/>
      <c r="R115" s="1165"/>
      <c r="S115" s="1165"/>
      <c r="T115" s="1165"/>
      <c r="U115" s="1165"/>
      <c r="V115" s="1166"/>
    </row>
    <row r="116" spans="1:22" ht="26.25" customHeight="1">
      <c r="A116" s="237" t="s">
        <v>29</v>
      </c>
      <c r="B116" s="250" t="s">
        <v>31</v>
      </c>
      <c r="C116" s="417" t="s">
        <v>25</v>
      </c>
      <c r="D116" s="494" t="s">
        <v>133</v>
      </c>
      <c r="E116" s="415"/>
      <c r="F116" s="413" t="s">
        <v>26</v>
      </c>
      <c r="G116" s="421">
        <v>6</v>
      </c>
      <c r="H116" s="219" t="s">
        <v>27</v>
      </c>
      <c r="I116" s="223">
        <f>J116+L116</f>
        <v>14439.1</v>
      </c>
      <c r="J116" s="194">
        <f>14559.1-120</f>
        <v>14439.1</v>
      </c>
      <c r="K116" s="267"/>
      <c r="L116" s="195"/>
      <c r="M116" s="196">
        <f>N116+P116</f>
        <v>21419.4</v>
      </c>
      <c r="N116" s="507">
        <f>21319.4+100</f>
        <v>21419.4</v>
      </c>
      <c r="O116" s="197"/>
      <c r="P116" s="220"/>
      <c r="Q116" s="403">
        <f>R116+T116</f>
        <v>13623.2</v>
      </c>
      <c r="R116" s="387">
        <v>13623.2</v>
      </c>
      <c r="S116" s="388"/>
      <c r="T116" s="389"/>
      <c r="U116" s="701">
        <v>14572.8</v>
      </c>
      <c r="V116" s="701">
        <v>14577.8</v>
      </c>
    </row>
    <row r="117" spans="1:22" ht="26.25" customHeight="1">
      <c r="A117" s="251"/>
      <c r="B117" s="252"/>
      <c r="C117" s="412"/>
      <c r="D117" s="496" t="s">
        <v>115</v>
      </c>
      <c r="E117" s="416"/>
      <c r="F117" s="414"/>
      <c r="G117" s="422"/>
      <c r="H117" s="335"/>
      <c r="I117" s="184"/>
      <c r="J117" s="185"/>
      <c r="K117" s="179"/>
      <c r="L117" s="186"/>
      <c r="M117" s="295"/>
      <c r="N117" s="203"/>
      <c r="O117" s="232"/>
      <c r="P117" s="328"/>
      <c r="Q117" s="361"/>
      <c r="R117" s="363"/>
      <c r="S117" s="361"/>
      <c r="T117" s="363"/>
      <c r="U117" s="409"/>
      <c r="V117" s="409"/>
    </row>
    <row r="118" spans="1:22" ht="27" customHeight="1">
      <c r="A118" s="251"/>
      <c r="B118" s="252"/>
      <c r="C118" s="397"/>
      <c r="D118" s="496" t="s">
        <v>116</v>
      </c>
      <c r="E118" s="423"/>
      <c r="F118" s="109"/>
      <c r="G118" s="429"/>
      <c r="H118" s="426"/>
      <c r="I118" s="104"/>
      <c r="J118" s="45"/>
      <c r="K118" s="90"/>
      <c r="L118" s="63"/>
      <c r="M118" s="411"/>
      <c r="N118" s="50"/>
      <c r="O118" s="42"/>
      <c r="P118" s="62"/>
      <c r="Q118" s="361"/>
      <c r="R118" s="363"/>
      <c r="S118" s="361"/>
      <c r="T118" s="363"/>
      <c r="U118" s="217"/>
      <c r="V118" s="217"/>
    </row>
    <row r="119" spans="1:22" s="89" customFormat="1" ht="14.25" customHeight="1">
      <c r="A119" s="251"/>
      <c r="B119" s="252"/>
      <c r="C119" s="425"/>
      <c r="D119" s="496" t="s">
        <v>117</v>
      </c>
      <c r="E119" s="416"/>
      <c r="F119" s="419"/>
      <c r="G119" s="422"/>
      <c r="H119" s="437"/>
      <c r="I119" s="184"/>
      <c r="J119" s="185"/>
      <c r="K119" s="179"/>
      <c r="L119" s="186"/>
      <c r="M119" s="184"/>
      <c r="N119" s="185"/>
      <c r="O119" s="90"/>
      <c r="P119" s="63"/>
      <c r="Q119" s="361"/>
      <c r="R119" s="363"/>
      <c r="S119" s="361"/>
      <c r="T119" s="363"/>
      <c r="U119" s="84"/>
      <c r="V119" s="84"/>
    </row>
    <row r="120" spans="1:22" s="89" customFormat="1" ht="14.25" customHeight="1">
      <c r="A120" s="251"/>
      <c r="B120" s="252"/>
      <c r="C120" s="425"/>
      <c r="D120" s="496" t="s">
        <v>131</v>
      </c>
      <c r="E120" s="416"/>
      <c r="F120" s="419"/>
      <c r="G120" s="422"/>
      <c r="H120" s="437"/>
      <c r="I120" s="184"/>
      <c r="J120" s="185"/>
      <c r="K120" s="179"/>
      <c r="L120" s="186"/>
      <c r="M120" s="184"/>
      <c r="N120" s="185"/>
      <c r="O120" s="90"/>
      <c r="P120" s="63"/>
      <c r="Q120" s="361"/>
      <c r="R120" s="363"/>
      <c r="S120" s="361"/>
      <c r="T120" s="363"/>
      <c r="U120" s="84"/>
      <c r="V120" s="84"/>
    </row>
    <row r="121" spans="1:22" s="89" customFormat="1" ht="28.5" customHeight="1">
      <c r="A121" s="251"/>
      <c r="B121" s="252"/>
      <c r="C121" s="425"/>
      <c r="D121" s="496" t="s">
        <v>118</v>
      </c>
      <c r="E121" s="1164" t="s">
        <v>81</v>
      </c>
      <c r="F121" s="420"/>
      <c r="G121" s="429"/>
      <c r="H121" s="438"/>
      <c r="I121" s="104"/>
      <c r="J121" s="45"/>
      <c r="K121" s="90"/>
      <c r="L121" s="63"/>
      <c r="M121" s="104"/>
      <c r="N121" s="45"/>
      <c r="O121" s="90"/>
      <c r="P121" s="63"/>
      <c r="Q121" s="361"/>
      <c r="R121" s="363"/>
      <c r="S121" s="361"/>
      <c r="T121" s="363"/>
      <c r="U121" s="84"/>
      <c r="V121" s="84"/>
    </row>
    <row r="122" spans="1:22" ht="18" customHeight="1">
      <c r="A122" s="251"/>
      <c r="B122" s="252"/>
      <c r="C122" s="397"/>
      <c r="D122" s="496" t="s">
        <v>195</v>
      </c>
      <c r="E122" s="1164"/>
      <c r="F122" s="419"/>
      <c r="G122" s="430"/>
      <c r="H122" s="335"/>
      <c r="I122" s="184"/>
      <c r="J122" s="185"/>
      <c r="K122" s="179"/>
      <c r="L122" s="186"/>
      <c r="M122" s="184"/>
      <c r="N122" s="185"/>
      <c r="O122" s="90"/>
      <c r="P122" s="63"/>
      <c r="Q122" s="361"/>
      <c r="R122" s="363"/>
      <c r="S122" s="361"/>
      <c r="T122" s="363"/>
      <c r="U122" s="217"/>
      <c r="V122" s="217"/>
    </row>
    <row r="123" spans="1:22" ht="16.5" customHeight="1">
      <c r="A123" s="251"/>
      <c r="B123" s="252"/>
      <c r="C123" s="425"/>
      <c r="D123" s="496" t="s">
        <v>119</v>
      </c>
      <c r="E123" s="71"/>
      <c r="F123" s="109"/>
      <c r="G123" s="431"/>
      <c r="H123" s="335"/>
      <c r="I123" s="184"/>
      <c r="J123" s="185"/>
      <c r="K123" s="408"/>
      <c r="L123" s="410"/>
      <c r="M123" s="184"/>
      <c r="N123" s="185"/>
      <c r="O123" s="1"/>
      <c r="P123" s="341"/>
      <c r="Q123" s="361"/>
      <c r="R123" s="363"/>
      <c r="S123" s="508"/>
      <c r="T123" s="509"/>
      <c r="U123" s="217"/>
      <c r="V123" s="217"/>
    </row>
    <row r="124" spans="1:22" ht="27" customHeight="1">
      <c r="A124" s="251"/>
      <c r="B124" s="252"/>
      <c r="C124" s="397"/>
      <c r="D124" s="496" t="s">
        <v>120</v>
      </c>
      <c r="E124" s="423"/>
      <c r="F124" s="109"/>
      <c r="G124" s="429"/>
      <c r="H124" s="438"/>
      <c r="I124" s="104"/>
      <c r="J124" s="45"/>
      <c r="K124" s="90"/>
      <c r="L124" s="63"/>
      <c r="M124" s="104"/>
      <c r="N124" s="45"/>
      <c r="O124" s="90"/>
      <c r="P124" s="63"/>
      <c r="Q124" s="361"/>
      <c r="R124" s="363"/>
      <c r="S124" s="361"/>
      <c r="T124" s="363"/>
      <c r="U124" s="217"/>
      <c r="V124" s="217"/>
    </row>
    <row r="125" spans="1:22" ht="12.75" customHeight="1">
      <c r="A125" s="1079"/>
      <c r="B125" s="963"/>
      <c r="C125" s="1011"/>
      <c r="D125" s="1098" t="s">
        <v>121</v>
      </c>
      <c r="E125" s="529"/>
      <c r="F125" s="307"/>
      <c r="G125" s="405"/>
      <c r="H125" s="437"/>
      <c r="I125" s="184"/>
      <c r="J125" s="185"/>
      <c r="K125" s="179"/>
      <c r="L125" s="186"/>
      <c r="M125" s="104"/>
      <c r="N125" s="45"/>
      <c r="O125" s="90"/>
      <c r="P125" s="63"/>
      <c r="Q125" s="386"/>
      <c r="R125" s="51"/>
      <c r="S125" s="386"/>
      <c r="T125" s="51"/>
      <c r="U125" s="404"/>
      <c r="V125" s="84"/>
    </row>
    <row r="126" spans="1:22" ht="18" customHeight="1" thickBot="1">
      <c r="A126" s="954"/>
      <c r="B126" s="964"/>
      <c r="C126" s="1159"/>
      <c r="D126" s="1099"/>
      <c r="E126" s="531"/>
      <c r="F126" s="313"/>
      <c r="G126" s="406"/>
      <c r="H126" s="286" t="s">
        <v>28</v>
      </c>
      <c r="I126" s="96">
        <f>J126+L126</f>
        <v>14439.1</v>
      </c>
      <c r="J126" s="129">
        <f>J116</f>
        <v>14439.1</v>
      </c>
      <c r="K126" s="128"/>
      <c r="L126" s="131"/>
      <c r="M126" s="65">
        <f>N126+P126</f>
        <v>21419.4</v>
      </c>
      <c r="N126" s="79">
        <f>N116</f>
        <v>21419.4</v>
      </c>
      <c r="O126" s="79"/>
      <c r="P126" s="92"/>
      <c r="Q126" s="116">
        <f>R126+T126</f>
        <v>13623.2</v>
      </c>
      <c r="R126" s="79">
        <f>SUM(R116:R125)</f>
        <v>13623.2</v>
      </c>
      <c r="S126" s="79"/>
      <c r="T126" s="80"/>
      <c r="U126" s="81">
        <f>U116</f>
        <v>14572.8</v>
      </c>
      <c r="V126" s="81">
        <f>V116</f>
        <v>14577.8</v>
      </c>
    </row>
    <row r="127" spans="1:22" ht="18" customHeight="1">
      <c r="A127" s="951" t="s">
        <v>29</v>
      </c>
      <c r="B127" s="1029" t="s">
        <v>31</v>
      </c>
      <c r="C127" s="1160" t="s">
        <v>29</v>
      </c>
      <c r="D127" s="1152" t="s">
        <v>239</v>
      </c>
      <c r="E127" s="1154"/>
      <c r="F127" s="975" t="s">
        <v>26</v>
      </c>
      <c r="G127" s="1106">
        <v>2</v>
      </c>
      <c r="H127" s="320" t="s">
        <v>27</v>
      </c>
      <c r="I127" s="8">
        <f>J127+L127</f>
        <v>120</v>
      </c>
      <c r="J127" s="9">
        <v>120</v>
      </c>
      <c r="K127" s="9"/>
      <c r="L127" s="44"/>
      <c r="M127" s="11">
        <v>180</v>
      </c>
      <c r="N127" s="12">
        <v>180</v>
      </c>
      <c r="O127" s="12"/>
      <c r="P127" s="137"/>
      <c r="Q127" s="13">
        <f>R127+T127</f>
        <v>108</v>
      </c>
      <c r="R127" s="14">
        <v>108</v>
      </c>
      <c r="S127" s="14"/>
      <c r="T127" s="348"/>
      <c r="U127" s="530">
        <v>150</v>
      </c>
      <c r="V127" s="321">
        <v>150</v>
      </c>
    </row>
    <row r="128" spans="1:22" ht="18" customHeight="1" thickBot="1">
      <c r="A128" s="952"/>
      <c r="B128" s="1095"/>
      <c r="C128" s="1161"/>
      <c r="D128" s="1153"/>
      <c r="E128" s="1155"/>
      <c r="F128" s="1177"/>
      <c r="G128" s="1156"/>
      <c r="H128" s="114" t="s">
        <v>28</v>
      </c>
      <c r="I128" s="316">
        <f>SUM(I127:I127)</f>
        <v>120</v>
      </c>
      <c r="J128" s="317">
        <f>SUM(J127:J127)</f>
        <v>120</v>
      </c>
      <c r="K128" s="317"/>
      <c r="L128" s="318"/>
      <c r="M128" s="316">
        <f>SUM(M127:M127)</f>
        <v>180</v>
      </c>
      <c r="N128" s="317">
        <f>SUM(N127:N127)</f>
        <v>180</v>
      </c>
      <c r="O128" s="317"/>
      <c r="P128" s="318"/>
      <c r="Q128" s="316">
        <f>R128+T128</f>
        <v>108</v>
      </c>
      <c r="R128" s="317">
        <f>SUM(R127)</f>
        <v>108</v>
      </c>
      <c r="S128" s="317"/>
      <c r="T128" s="92"/>
      <c r="U128" s="116">
        <f>SUM(U127:U127)</f>
        <v>150</v>
      </c>
      <c r="V128" s="81">
        <f>SUM(V127:V127)</f>
        <v>150</v>
      </c>
    </row>
    <row r="129" spans="1:22" ht="33.75" customHeight="1">
      <c r="A129" s="953" t="s">
        <v>29</v>
      </c>
      <c r="B129" s="962" t="s">
        <v>31</v>
      </c>
      <c r="C129" s="1018" t="s">
        <v>31</v>
      </c>
      <c r="D129" s="1139" t="s">
        <v>143</v>
      </c>
      <c r="E129" s="1157" t="s">
        <v>81</v>
      </c>
      <c r="F129" s="1093" t="s">
        <v>26</v>
      </c>
      <c r="G129" s="1169">
        <v>2</v>
      </c>
      <c r="H129" s="418" t="s">
        <v>27</v>
      </c>
      <c r="I129" s="193"/>
      <c r="J129" s="194"/>
      <c r="K129" s="194"/>
      <c r="L129" s="195"/>
      <c r="M129" s="193">
        <v>50</v>
      </c>
      <c r="N129" s="194"/>
      <c r="O129" s="194"/>
      <c r="P129" s="195">
        <v>50</v>
      </c>
      <c r="Q129" s="216"/>
      <c r="R129" s="76"/>
      <c r="S129" s="76"/>
      <c r="T129" s="77"/>
      <c r="U129" s="339">
        <v>100</v>
      </c>
      <c r="V129" s="339">
        <v>100</v>
      </c>
    </row>
    <row r="130" spans="1:22" ht="17.25" customHeight="1" thickBot="1">
      <c r="A130" s="954"/>
      <c r="B130" s="964"/>
      <c r="C130" s="1020"/>
      <c r="D130" s="1140"/>
      <c r="E130" s="1158"/>
      <c r="F130" s="976"/>
      <c r="G130" s="1170"/>
      <c r="H130" s="114" t="s">
        <v>28</v>
      </c>
      <c r="I130" s="98"/>
      <c r="J130" s="79"/>
      <c r="K130" s="79"/>
      <c r="L130" s="92"/>
      <c r="M130" s="65">
        <f>SUM(M129:M129)</f>
        <v>50</v>
      </c>
      <c r="N130" s="64"/>
      <c r="O130" s="79"/>
      <c r="P130" s="92">
        <f>SUM(P129:P129)</f>
        <v>50</v>
      </c>
      <c r="Q130" s="98"/>
      <c r="R130" s="79"/>
      <c r="S130" s="79"/>
      <c r="T130" s="80"/>
      <c r="U130" s="65">
        <f>SUM(U129:U129)</f>
        <v>100</v>
      </c>
      <c r="V130" s="81">
        <f>SUM(V129:V129)</f>
        <v>100</v>
      </c>
    </row>
    <row r="131" spans="1:22" ht="26.25" customHeight="1">
      <c r="A131" s="953" t="s">
        <v>29</v>
      </c>
      <c r="B131" s="962" t="s">
        <v>31</v>
      </c>
      <c r="C131" s="1018" t="s">
        <v>33</v>
      </c>
      <c r="D131" s="1167" t="s">
        <v>144</v>
      </c>
      <c r="E131" s="957" t="s">
        <v>81</v>
      </c>
      <c r="F131" s="975" t="s">
        <v>26</v>
      </c>
      <c r="G131" s="280">
        <v>6</v>
      </c>
      <c r="H131" s="71" t="s">
        <v>27</v>
      </c>
      <c r="I131" s="213"/>
      <c r="J131" s="73"/>
      <c r="K131" s="119"/>
      <c r="L131" s="74"/>
      <c r="M131" s="149">
        <f>N131+P131</f>
        <v>1353</v>
      </c>
      <c r="N131" s="119">
        <v>1353</v>
      </c>
      <c r="O131" s="73"/>
      <c r="P131" s="218"/>
      <c r="Q131" s="384"/>
      <c r="R131" s="76"/>
      <c r="S131" s="384"/>
      <c r="T131" s="382"/>
      <c r="U131" s="87">
        <v>500</v>
      </c>
      <c r="V131" s="78">
        <v>500</v>
      </c>
    </row>
    <row r="132" spans="1:22" ht="17.25" customHeight="1" thickBot="1">
      <c r="A132" s="954"/>
      <c r="B132" s="964"/>
      <c r="C132" s="1020"/>
      <c r="D132" s="1168"/>
      <c r="E132" s="958"/>
      <c r="F132" s="976"/>
      <c r="G132" s="281"/>
      <c r="H132" s="114" t="s">
        <v>28</v>
      </c>
      <c r="I132" s="98"/>
      <c r="J132" s="79"/>
      <c r="K132" s="116"/>
      <c r="L132" s="92"/>
      <c r="M132" s="65">
        <f>SUM(M131)</f>
        <v>1353</v>
      </c>
      <c r="N132" s="116">
        <f>SUM(N131)</f>
        <v>1353</v>
      </c>
      <c r="O132" s="79"/>
      <c r="P132" s="86"/>
      <c r="Q132" s="98"/>
      <c r="R132" s="79"/>
      <c r="S132" s="116"/>
      <c r="T132" s="92"/>
      <c r="U132" s="81">
        <f>SUM(U131:U131)</f>
        <v>500</v>
      </c>
      <c r="V132" s="81">
        <f>SUM(V131:V131)</f>
        <v>500</v>
      </c>
    </row>
    <row r="133" spans="1:22" ht="23.25" customHeight="1">
      <c r="A133" s="953" t="s">
        <v>29</v>
      </c>
      <c r="B133" s="962" t="s">
        <v>31</v>
      </c>
      <c r="C133" s="1162" t="s">
        <v>34</v>
      </c>
      <c r="D133" s="1167" t="s">
        <v>136</v>
      </c>
      <c r="E133" s="1154"/>
      <c r="F133" s="975" t="s">
        <v>26</v>
      </c>
      <c r="G133" s="1182">
        <v>2</v>
      </c>
      <c r="H133" s="320" t="s">
        <v>27</v>
      </c>
      <c r="I133" s="8"/>
      <c r="J133" s="9"/>
      <c r="K133" s="9"/>
      <c r="L133" s="15"/>
      <c r="M133" s="11">
        <f>N133+P133</f>
        <v>140</v>
      </c>
      <c r="N133" s="12"/>
      <c r="O133" s="12"/>
      <c r="P133" s="10">
        <v>140</v>
      </c>
      <c r="Q133" s="13"/>
      <c r="R133" s="14"/>
      <c r="S133" s="14"/>
      <c r="T133" s="348"/>
      <c r="U133" s="321"/>
      <c r="V133" s="321"/>
    </row>
    <row r="134" spans="1:22" ht="22.5" customHeight="1" thickBot="1">
      <c r="A134" s="954"/>
      <c r="B134" s="964"/>
      <c r="C134" s="1163"/>
      <c r="D134" s="1168"/>
      <c r="E134" s="1220"/>
      <c r="F134" s="976"/>
      <c r="G134" s="1183"/>
      <c r="H134" s="114" t="s">
        <v>28</v>
      </c>
      <c r="I134" s="316"/>
      <c r="J134" s="317"/>
      <c r="K134" s="317"/>
      <c r="L134" s="319"/>
      <c r="M134" s="316">
        <f>SUM(M133:M133)</f>
        <v>140</v>
      </c>
      <c r="N134" s="317"/>
      <c r="O134" s="317"/>
      <c r="P134" s="319">
        <f>SUM(P133)</f>
        <v>140</v>
      </c>
      <c r="Q134" s="316"/>
      <c r="R134" s="317"/>
      <c r="S134" s="317"/>
      <c r="T134" s="319"/>
      <c r="U134" s="395"/>
      <c r="V134" s="395"/>
    </row>
    <row r="135" spans="1:22" ht="15" customHeight="1" thickBot="1">
      <c r="A135" s="492" t="s">
        <v>29</v>
      </c>
      <c r="B135" s="532" t="s">
        <v>31</v>
      </c>
      <c r="C135" s="1022" t="s">
        <v>32</v>
      </c>
      <c r="D135" s="1108"/>
      <c r="E135" s="1108"/>
      <c r="F135" s="1108"/>
      <c r="G135" s="1108"/>
      <c r="H135" s="1181"/>
      <c r="I135" s="34">
        <f>J135+L135</f>
        <v>14559.1</v>
      </c>
      <c r="J135" s="112">
        <f>J134+J132+J130+J126+J128</f>
        <v>14559.1</v>
      </c>
      <c r="K135" s="112"/>
      <c r="L135" s="481"/>
      <c r="M135" s="34">
        <f>N135+P135</f>
        <v>23142.4</v>
      </c>
      <c r="N135" s="112">
        <f>N134+N132+N130+N126+N128</f>
        <v>22952.4</v>
      </c>
      <c r="O135" s="112"/>
      <c r="P135" s="113">
        <f>P134+P132+P130+P126</f>
        <v>190</v>
      </c>
      <c r="Q135" s="478">
        <f>R135+T135</f>
        <v>13731.2</v>
      </c>
      <c r="R135" s="479">
        <f>R134+R132+R130+R128+R126</f>
        <v>13731.2</v>
      </c>
      <c r="S135" s="479"/>
      <c r="T135" s="480"/>
      <c r="U135" s="113">
        <f>U134+U132+U130+U126+U128</f>
        <v>15322.8</v>
      </c>
      <c r="V135" s="113">
        <f>V134+V132+V130+V128+V126</f>
        <v>15327.8</v>
      </c>
    </row>
    <row r="136" spans="1:22" ht="15.75" customHeight="1" thickBot="1">
      <c r="A136" s="492" t="s">
        <v>29</v>
      </c>
      <c r="B136" s="1184" t="s">
        <v>14</v>
      </c>
      <c r="C136" s="1184"/>
      <c r="D136" s="1184"/>
      <c r="E136" s="1184"/>
      <c r="F136" s="1184"/>
      <c r="G136" s="1184"/>
      <c r="H136" s="1185"/>
      <c r="I136" s="473">
        <f>J136+L136</f>
        <v>36989.68</v>
      </c>
      <c r="J136" s="474">
        <f>J135+J114+J101</f>
        <v>19082</v>
      </c>
      <c r="K136" s="474"/>
      <c r="L136" s="482">
        <f>L135+L114+L101</f>
        <v>17907.68</v>
      </c>
      <c r="M136" s="473">
        <f>N136+P136</f>
        <v>44553.441000000006</v>
      </c>
      <c r="N136" s="474">
        <f>N135+N114+N101</f>
        <v>27026.9</v>
      </c>
      <c r="O136" s="474"/>
      <c r="P136" s="475">
        <f>P135+P114+P101</f>
        <v>17526.541</v>
      </c>
      <c r="Q136" s="473">
        <f>Q135+Q114+Q101</f>
        <v>32673.7</v>
      </c>
      <c r="R136" s="474">
        <f>R135+R114+R101</f>
        <v>16646.9</v>
      </c>
      <c r="S136" s="474"/>
      <c r="T136" s="475">
        <f>T135+T114+T101</f>
        <v>16026.800000000001</v>
      </c>
      <c r="U136" s="475">
        <f>U135+U114+U101</f>
        <v>28019.199999999997</v>
      </c>
      <c r="V136" s="475">
        <f>V135+V114+V101</f>
        <v>22850.699999999997</v>
      </c>
    </row>
    <row r="137" spans="1:22" ht="14.25" customHeight="1" thickBot="1">
      <c r="A137" s="533" t="s">
        <v>12</v>
      </c>
      <c r="B137" s="973" t="s">
        <v>15</v>
      </c>
      <c r="C137" s="973"/>
      <c r="D137" s="973"/>
      <c r="E137" s="973"/>
      <c r="F137" s="973"/>
      <c r="G137" s="973"/>
      <c r="H137" s="974"/>
      <c r="I137" s="470">
        <f>J137+L137</f>
        <v>232520.88</v>
      </c>
      <c r="J137" s="471">
        <f>J136+J53</f>
        <v>214410.30000000002</v>
      </c>
      <c r="K137" s="471">
        <f>K136+K53</f>
        <v>129940.9</v>
      </c>
      <c r="L137" s="472">
        <f>L136+L53</f>
        <v>18110.58</v>
      </c>
      <c r="M137" s="476">
        <f>N137+P137</f>
        <v>237335.341</v>
      </c>
      <c r="N137" s="471">
        <f>N136+N53</f>
        <v>219570.8</v>
      </c>
      <c r="O137" s="471">
        <f>O136+O53</f>
        <v>127800.90000000002</v>
      </c>
      <c r="P137" s="477">
        <f>P136+P53</f>
        <v>17764.541</v>
      </c>
      <c r="Q137" s="476">
        <f>R137+T137</f>
        <v>219560.09999999998</v>
      </c>
      <c r="R137" s="471">
        <f>R136+R53</f>
        <v>203302.09999999998</v>
      </c>
      <c r="S137" s="471">
        <f>S136+S53</f>
        <v>124776.2</v>
      </c>
      <c r="T137" s="477">
        <f>T136+T53</f>
        <v>16258.000000000002</v>
      </c>
      <c r="U137" s="472">
        <f>U136+U53</f>
        <v>220784.2</v>
      </c>
      <c r="V137" s="486">
        <f>V136+V53</f>
        <v>215614.3</v>
      </c>
    </row>
    <row r="138" spans="1:22" s="100" customFormat="1" ht="15" customHeight="1">
      <c r="A138" s="940"/>
      <c r="B138" s="940"/>
      <c r="C138" s="940"/>
      <c r="D138" s="940"/>
      <c r="E138" s="940"/>
      <c r="F138" s="940"/>
      <c r="G138" s="940"/>
      <c r="H138" s="940"/>
      <c r="I138" s="706"/>
      <c r="J138" s="706"/>
      <c r="K138" s="706"/>
      <c r="L138" s="706"/>
      <c r="M138" s="706"/>
      <c r="N138" s="706"/>
      <c r="O138" s="706"/>
      <c r="P138" s="706"/>
      <c r="Q138" s="706"/>
      <c r="R138" s="706"/>
      <c r="S138" s="706"/>
      <c r="T138" s="706"/>
      <c r="U138" s="706"/>
      <c r="V138" s="706"/>
    </row>
    <row r="139" spans="1:22" s="100" customFormat="1" ht="15" customHeight="1">
      <c r="A139" s="1000"/>
      <c r="B139" s="1000"/>
      <c r="C139" s="1000"/>
      <c r="D139" s="1000"/>
      <c r="E139" s="1000"/>
      <c r="F139" s="1000"/>
      <c r="G139" s="1000"/>
      <c r="H139" s="1000"/>
      <c r="I139" s="1000"/>
      <c r="J139" s="1000"/>
      <c r="K139" s="1000"/>
      <c r="L139" s="1000"/>
      <c r="M139" s="1000"/>
      <c r="N139" s="1000"/>
      <c r="O139" s="1000"/>
      <c r="P139" s="1000"/>
      <c r="Q139" s="1000"/>
      <c r="R139" s="1000"/>
      <c r="S139" s="1000"/>
      <c r="T139" s="1000"/>
      <c r="U139" s="1000"/>
      <c r="V139" s="1000"/>
    </row>
    <row r="140" spans="1:22" s="100" customFormat="1" ht="14.25" customHeight="1" thickBot="1">
      <c r="A140" s="1215" t="s">
        <v>4</v>
      </c>
      <c r="B140" s="1215"/>
      <c r="C140" s="1215"/>
      <c r="D140" s="1215"/>
      <c r="E140" s="1215"/>
      <c r="F140" s="1215"/>
      <c r="G140" s="1215"/>
      <c r="H140" s="1215"/>
      <c r="I140" s="1215"/>
      <c r="J140" s="1215"/>
      <c r="K140" s="1215"/>
      <c r="L140" s="1215"/>
      <c r="M140" s="1215"/>
      <c r="N140" s="1215"/>
      <c r="O140" s="1215"/>
      <c r="P140" s="1215"/>
      <c r="Q140" s="1215"/>
      <c r="R140" s="1215"/>
      <c r="S140" s="1215"/>
      <c r="T140" s="1215"/>
      <c r="U140" s="1"/>
      <c r="V140" s="2"/>
    </row>
    <row r="141" spans="1:21" s="101" customFormat="1" ht="27" customHeight="1" thickBot="1">
      <c r="A141" s="1171" t="s">
        <v>5</v>
      </c>
      <c r="B141" s="1172"/>
      <c r="C141" s="1172"/>
      <c r="D141" s="1172"/>
      <c r="E141" s="1172"/>
      <c r="F141" s="1172"/>
      <c r="G141" s="1172"/>
      <c r="H141" s="1173"/>
      <c r="I141" s="1171" t="s">
        <v>95</v>
      </c>
      <c r="J141" s="1172"/>
      <c r="K141" s="1172"/>
      <c r="L141" s="1173"/>
      <c r="M141" s="1171" t="s">
        <v>114</v>
      </c>
      <c r="N141" s="1172"/>
      <c r="O141" s="1172"/>
      <c r="P141" s="1173"/>
      <c r="Q141" s="1171" t="s">
        <v>96</v>
      </c>
      <c r="R141" s="1172"/>
      <c r="S141" s="1172"/>
      <c r="T141" s="1173"/>
      <c r="U141" s="290"/>
    </row>
    <row r="142" spans="1:22" s="101" customFormat="1" ht="12" customHeight="1" thickBot="1">
      <c r="A142" s="1178" t="s">
        <v>39</v>
      </c>
      <c r="B142" s="1179"/>
      <c r="C142" s="1179"/>
      <c r="D142" s="1179"/>
      <c r="E142" s="1179"/>
      <c r="F142" s="1179"/>
      <c r="G142" s="1179"/>
      <c r="H142" s="1180"/>
      <c r="I142" s="1174">
        <f>I143+I149</f>
        <v>214525.50000000003</v>
      </c>
      <c r="J142" s="1175"/>
      <c r="K142" s="1175"/>
      <c r="L142" s="1176"/>
      <c r="M142" s="1174">
        <f>M143+M149</f>
        <v>221426.7</v>
      </c>
      <c r="N142" s="1175"/>
      <c r="O142" s="1175"/>
      <c r="P142" s="1176"/>
      <c r="Q142" s="1174">
        <f>Q143+Q149</f>
        <v>204419.80000000002</v>
      </c>
      <c r="R142" s="1175"/>
      <c r="S142" s="1175"/>
      <c r="T142" s="1176"/>
      <c r="U142" s="291"/>
      <c r="V142" s="103"/>
    </row>
    <row r="143" spans="1:22" s="103" customFormat="1" ht="12" customHeight="1">
      <c r="A143" s="1229" t="s">
        <v>71</v>
      </c>
      <c r="B143" s="1230"/>
      <c r="C143" s="1230"/>
      <c r="D143" s="1230"/>
      <c r="E143" s="1230"/>
      <c r="F143" s="1230"/>
      <c r="G143" s="1230"/>
      <c r="H143" s="1231"/>
      <c r="I143" s="1187">
        <f>SUM(I144:L148)</f>
        <v>214091.10000000003</v>
      </c>
      <c r="J143" s="1187"/>
      <c r="K143" s="1187"/>
      <c r="L143" s="1188"/>
      <c r="M143" s="1186">
        <f>SUM(M144:P148)</f>
        <v>220982.30000000002</v>
      </c>
      <c r="N143" s="1187"/>
      <c r="O143" s="1187"/>
      <c r="P143" s="1188"/>
      <c r="Q143" s="1186">
        <f>SUM(Q144:T148)</f>
        <v>203975.40000000002</v>
      </c>
      <c r="R143" s="1187"/>
      <c r="S143" s="1187"/>
      <c r="T143" s="1188"/>
      <c r="U143" s="291"/>
      <c r="V143" s="293"/>
    </row>
    <row r="144" spans="1:22" s="101" customFormat="1" ht="12" customHeight="1">
      <c r="A144" s="1189" t="s">
        <v>65</v>
      </c>
      <c r="B144" s="1190"/>
      <c r="C144" s="1190"/>
      <c r="D144" s="1190"/>
      <c r="E144" s="1190"/>
      <c r="F144" s="1190"/>
      <c r="G144" s="1190"/>
      <c r="H144" s="1191"/>
      <c r="I144" s="766">
        <f>SUMIF(H11:H134,"SB",I11:I134)</f>
        <v>84476.5</v>
      </c>
      <c r="J144" s="766"/>
      <c r="K144" s="766"/>
      <c r="L144" s="1015"/>
      <c r="M144" s="765">
        <f>SUMIF(H11:H134,"SB",M11:M134)</f>
        <v>93669.40000000002</v>
      </c>
      <c r="N144" s="766"/>
      <c r="O144" s="766"/>
      <c r="P144" s="1015"/>
      <c r="Q144" s="1192">
        <f>SUMIF(H13:H133,"sb",Q13:Q133)</f>
        <v>78005.90000000001</v>
      </c>
      <c r="R144" s="1193"/>
      <c r="S144" s="1193"/>
      <c r="T144" s="1194"/>
      <c r="U144" s="148"/>
      <c r="V144" s="292"/>
    </row>
    <row r="145" spans="1:22" s="101" customFormat="1" ht="14.25" customHeight="1">
      <c r="A145" s="1189" t="s">
        <v>93</v>
      </c>
      <c r="B145" s="1190"/>
      <c r="C145" s="1190"/>
      <c r="D145" s="1190"/>
      <c r="E145" s="1190"/>
      <c r="F145" s="1190"/>
      <c r="G145" s="1190"/>
      <c r="H145" s="1191"/>
      <c r="I145" s="766">
        <f>SUMIF(H13:H134,"SB(SP)",I13:I134)</f>
        <v>16259.9</v>
      </c>
      <c r="J145" s="766"/>
      <c r="K145" s="766"/>
      <c r="L145" s="1015"/>
      <c r="M145" s="765">
        <f>SUMIF(H13:H134,"SB(SP)",M13:M134)</f>
        <v>16066.600000000002</v>
      </c>
      <c r="N145" s="766"/>
      <c r="O145" s="766"/>
      <c r="P145" s="1015"/>
      <c r="Q145" s="1192">
        <f>SUMIF(H11:H51,"sb(sp)",Q11:Q51)</f>
        <v>16280.2</v>
      </c>
      <c r="R145" s="1193"/>
      <c r="S145" s="1193"/>
      <c r="T145" s="1194"/>
      <c r="U145" s="148"/>
      <c r="V145" s="292"/>
    </row>
    <row r="146" spans="1:22" s="101" customFormat="1" ht="14.25" customHeight="1">
      <c r="A146" s="1189" t="s">
        <v>66</v>
      </c>
      <c r="B146" s="1190"/>
      <c r="C146" s="1190"/>
      <c r="D146" s="1190"/>
      <c r="E146" s="1190"/>
      <c r="F146" s="1190"/>
      <c r="G146" s="1190"/>
      <c r="H146" s="1191"/>
      <c r="I146" s="766">
        <f>SUMIF(H11:H134,"sb(vb)",I11:I134)</f>
        <v>110485.00000000001</v>
      </c>
      <c r="J146" s="766"/>
      <c r="K146" s="766"/>
      <c r="L146" s="1015"/>
      <c r="M146" s="765">
        <f>SUMIF(H11:H134,"SB(VB)",M11:M134)</f>
        <v>108465</v>
      </c>
      <c r="N146" s="766"/>
      <c r="O146" s="766"/>
      <c r="P146" s="1015"/>
      <c r="Q146" s="1192">
        <f>SUMIF(H13:H133,"sb(vb)",Q13:Q133)</f>
        <v>107255.00000000001</v>
      </c>
      <c r="R146" s="1193"/>
      <c r="S146" s="1193"/>
      <c r="T146" s="1194"/>
      <c r="U146" s="148"/>
      <c r="V146" s="292"/>
    </row>
    <row r="147" spans="1:22" s="101" customFormat="1" ht="15.75" customHeight="1">
      <c r="A147" s="1189" t="s">
        <v>1</v>
      </c>
      <c r="B147" s="1190"/>
      <c r="C147" s="1190"/>
      <c r="D147" s="1190"/>
      <c r="E147" s="1190"/>
      <c r="F147" s="1190"/>
      <c r="G147" s="1190"/>
      <c r="H147" s="1191"/>
      <c r="I147" s="766">
        <f>SUMIF(H11:H134,"sb(mk)",I11:I134)</f>
        <v>100</v>
      </c>
      <c r="J147" s="766"/>
      <c r="K147" s="766"/>
      <c r="L147" s="1015"/>
      <c r="M147" s="765">
        <f>SUMIF(H11:H134,"SB(MK)",M11:M134)</f>
        <v>200</v>
      </c>
      <c r="N147" s="766"/>
      <c r="O147" s="766"/>
      <c r="P147" s="1015"/>
      <c r="Q147" s="1192">
        <f>SUMIF(H13:H133,"sb(mk)",Q13:Q133)</f>
        <v>200</v>
      </c>
      <c r="R147" s="1193"/>
      <c r="S147" s="1193"/>
      <c r="T147" s="1194"/>
      <c r="U147" s="148"/>
      <c r="V147" s="292"/>
    </row>
    <row r="148" spans="1:22" s="101" customFormat="1" ht="12.75" customHeight="1">
      <c r="A148" s="1189" t="s">
        <v>162</v>
      </c>
      <c r="B148" s="1190"/>
      <c r="C148" s="1190"/>
      <c r="D148" s="1190"/>
      <c r="E148" s="1190"/>
      <c r="F148" s="1190"/>
      <c r="G148" s="1190"/>
      <c r="H148" s="1191"/>
      <c r="I148" s="766">
        <f>SUMIF(H11:H134,"sb(P)",I11:I134)</f>
        <v>2769.7000000000003</v>
      </c>
      <c r="J148" s="766"/>
      <c r="K148" s="766"/>
      <c r="L148" s="1015"/>
      <c r="M148" s="765">
        <f>SUMIF(H11:H134,"sb(P)",M11:M134)</f>
        <v>2581.2999999999997</v>
      </c>
      <c r="N148" s="766"/>
      <c r="O148" s="766"/>
      <c r="P148" s="1015"/>
      <c r="Q148" s="765">
        <f>SUMIF(H13:H133,"sb(p)",Q13:Q133)</f>
        <v>2234.3</v>
      </c>
      <c r="R148" s="766"/>
      <c r="S148" s="766"/>
      <c r="T148" s="1015"/>
      <c r="U148" s="148"/>
      <c r="V148" s="103"/>
    </row>
    <row r="149" spans="1:22" s="101" customFormat="1" ht="12.75" customHeight="1" thickBot="1">
      <c r="A149" s="1207" t="s">
        <v>2</v>
      </c>
      <c r="B149" s="1208"/>
      <c r="C149" s="1208"/>
      <c r="D149" s="1208"/>
      <c r="E149" s="1208"/>
      <c r="F149" s="1208"/>
      <c r="G149" s="1208"/>
      <c r="H149" s="1209"/>
      <c r="I149" s="1195">
        <f>SUMIF(H13:H134,"pf",I13:I134)</f>
        <v>434.4</v>
      </c>
      <c r="J149" s="1196"/>
      <c r="K149" s="1196"/>
      <c r="L149" s="1197"/>
      <c r="M149" s="1195">
        <f>SUMIF(H13:H134,H74,M13:M134)</f>
        <v>444.4</v>
      </c>
      <c r="N149" s="1196"/>
      <c r="O149" s="1196"/>
      <c r="P149" s="1197"/>
      <c r="Q149" s="1195">
        <f>SUMIF(H11:H137,"pf",Q11:Q133)</f>
        <v>444.4</v>
      </c>
      <c r="R149" s="1196"/>
      <c r="S149" s="1196"/>
      <c r="T149" s="1197"/>
      <c r="U149" s="291"/>
      <c r="V149" s="103"/>
    </row>
    <row r="150" spans="1:22" s="101" customFormat="1" ht="12.75" customHeight="1" thickBot="1">
      <c r="A150" s="1204" t="s">
        <v>40</v>
      </c>
      <c r="B150" s="1205"/>
      <c r="C150" s="1205"/>
      <c r="D150" s="1205"/>
      <c r="E150" s="1205"/>
      <c r="F150" s="1205"/>
      <c r="G150" s="1205"/>
      <c r="H150" s="1206"/>
      <c r="I150" s="1175">
        <f>SUM(I151:L154)</f>
        <v>17995.38</v>
      </c>
      <c r="J150" s="1175"/>
      <c r="K150" s="1175"/>
      <c r="L150" s="1176"/>
      <c r="M150" s="1174">
        <f>SUM(M151:P154)</f>
        <v>15908.641000000001</v>
      </c>
      <c r="N150" s="1175"/>
      <c r="O150" s="1175"/>
      <c r="P150" s="1176"/>
      <c r="Q150" s="1174">
        <f>SUM(Q151:T154)</f>
        <v>15140.300000000001</v>
      </c>
      <c r="R150" s="1175"/>
      <c r="S150" s="1175"/>
      <c r="T150" s="1176"/>
      <c r="U150" s="291"/>
      <c r="V150" s="103"/>
    </row>
    <row r="151" spans="1:22" s="101" customFormat="1" ht="12.75" customHeight="1">
      <c r="A151" s="1198" t="s">
        <v>67</v>
      </c>
      <c r="B151" s="1199"/>
      <c r="C151" s="1199"/>
      <c r="D151" s="1199"/>
      <c r="E151" s="1199"/>
      <c r="F151" s="1199"/>
      <c r="G151" s="1199"/>
      <c r="H151" s="1200"/>
      <c r="I151" s="1201">
        <f>SUMIF(H11:H134,"ES",I11:I134)</f>
        <v>15951.279999999999</v>
      </c>
      <c r="J151" s="1201"/>
      <c r="K151" s="1201"/>
      <c r="L151" s="1202"/>
      <c r="M151" s="1203">
        <f>SUMIF(H11:H134,"ES",M11:M134)</f>
        <v>15105.741000000002</v>
      </c>
      <c r="N151" s="1201"/>
      <c r="O151" s="1201"/>
      <c r="P151" s="1202"/>
      <c r="Q151" s="765">
        <f>SUMIF(H11:H133,"es",Q11:Q134)</f>
        <v>14337.400000000001</v>
      </c>
      <c r="R151" s="766"/>
      <c r="S151" s="766"/>
      <c r="T151" s="1015"/>
      <c r="U151" s="148"/>
      <c r="V151" s="103"/>
    </row>
    <row r="152" spans="1:22" s="101" customFormat="1" ht="12.75" customHeight="1">
      <c r="A152" s="1226" t="s">
        <v>3</v>
      </c>
      <c r="B152" s="1227"/>
      <c r="C152" s="1227"/>
      <c r="D152" s="1227"/>
      <c r="E152" s="1227"/>
      <c r="F152" s="1227"/>
      <c r="G152" s="1227"/>
      <c r="H152" s="1228"/>
      <c r="I152" s="766">
        <f>SUMIF(H11:H134,"LRVB",I11:I134)</f>
        <v>636.2</v>
      </c>
      <c r="J152" s="766"/>
      <c r="K152" s="766"/>
      <c r="L152" s="1015"/>
      <c r="M152" s="765">
        <f>SUMIF(H11:H134,"LRVB",M11:M134)</f>
        <v>727.9</v>
      </c>
      <c r="N152" s="766"/>
      <c r="O152" s="766"/>
      <c r="P152" s="1015"/>
      <c r="Q152" s="1192">
        <f>SUMIF(H11:H134,"lrvb",Q11:Q134)</f>
        <v>727.9</v>
      </c>
      <c r="R152" s="1193"/>
      <c r="S152" s="1193"/>
      <c r="T152" s="1194"/>
      <c r="U152" s="148"/>
      <c r="V152" s="103"/>
    </row>
    <row r="153" spans="1:22" s="101" customFormat="1" ht="12.75" customHeight="1">
      <c r="A153" s="948" t="s">
        <v>216</v>
      </c>
      <c r="B153" s="949"/>
      <c r="C153" s="949"/>
      <c r="D153" s="949"/>
      <c r="E153" s="949"/>
      <c r="F153" s="949"/>
      <c r="G153" s="949"/>
      <c r="H153" s="950"/>
      <c r="I153" s="765"/>
      <c r="J153" s="766"/>
      <c r="K153" s="766"/>
      <c r="L153" s="1015"/>
      <c r="M153" s="765">
        <f>SUMIF(H13:H133,"KVJUD",M13:M133)</f>
        <v>75</v>
      </c>
      <c r="N153" s="766"/>
      <c r="O153" s="766"/>
      <c r="P153" s="1015"/>
      <c r="Q153" s="1192">
        <f>SUMIF(H13:H133,"KVJUD",Q13:Q133)</f>
        <v>75</v>
      </c>
      <c r="R153" s="1193"/>
      <c r="S153" s="1193"/>
      <c r="T153" s="1194"/>
      <c r="U153" s="148"/>
      <c r="V153" s="103"/>
    </row>
    <row r="154" spans="1:22" s="101" customFormat="1" ht="15" customHeight="1" thickBot="1">
      <c r="A154" s="1210" t="s">
        <v>68</v>
      </c>
      <c r="B154" s="1211"/>
      <c r="C154" s="1211"/>
      <c r="D154" s="1211"/>
      <c r="E154" s="1211"/>
      <c r="F154" s="1211"/>
      <c r="G154" s="1211"/>
      <c r="H154" s="1212"/>
      <c r="I154" s="1213">
        <f>SUMIF(H11:H134,"Kt",I11:I134)</f>
        <v>1407.9</v>
      </c>
      <c r="J154" s="1213"/>
      <c r="K154" s="1213"/>
      <c r="L154" s="1214"/>
      <c r="M154" s="1238">
        <f>SUMIF(H11:H134,"KT",M11:M134)</f>
        <v>0</v>
      </c>
      <c r="N154" s="1213"/>
      <c r="O154" s="1213"/>
      <c r="P154" s="1214"/>
      <c r="Q154" s="765">
        <f>SUMIF(H13:H134,"kt",Q13:Q134)</f>
        <v>0</v>
      </c>
      <c r="R154" s="766"/>
      <c r="S154" s="766"/>
      <c r="T154" s="1015"/>
      <c r="U154" s="148"/>
      <c r="V154" s="103"/>
    </row>
    <row r="155" spans="1:22" ht="12.75" customHeight="1" thickBot="1">
      <c r="A155" s="1221" t="s">
        <v>41</v>
      </c>
      <c r="B155" s="1222"/>
      <c r="C155" s="1222"/>
      <c r="D155" s="1222"/>
      <c r="E155" s="1222"/>
      <c r="F155" s="1222"/>
      <c r="G155" s="1222"/>
      <c r="H155" s="1223"/>
      <c r="I155" s="1224">
        <f>I150+I142</f>
        <v>232520.88000000003</v>
      </c>
      <c r="J155" s="1224"/>
      <c r="K155" s="1224"/>
      <c r="L155" s="1225"/>
      <c r="M155" s="1232">
        <f>M150+M142</f>
        <v>237335.34100000001</v>
      </c>
      <c r="N155" s="1224"/>
      <c r="O155" s="1224"/>
      <c r="P155" s="1225"/>
      <c r="Q155" s="1232">
        <f>Q150+Q142</f>
        <v>219560.1</v>
      </c>
      <c r="R155" s="1224"/>
      <c r="S155" s="1224"/>
      <c r="T155" s="1225"/>
      <c r="U155" s="291"/>
      <c r="V155" s="103"/>
    </row>
    <row r="156" spans="4:20" ht="12.75">
      <c r="D156" s="37"/>
      <c r="E156" s="37"/>
      <c r="F156" s="37"/>
      <c r="G156" s="262"/>
      <c r="H156" s="106"/>
      <c r="I156" s="37"/>
      <c r="J156" s="37"/>
      <c r="K156" s="37"/>
      <c r="L156" s="37"/>
      <c r="M156" s="263"/>
      <c r="N156" s="263"/>
      <c r="O156" s="263"/>
      <c r="P156" s="263"/>
      <c r="Q156" s="37"/>
      <c r="R156" s="37"/>
      <c r="S156" s="37"/>
      <c r="T156" s="37"/>
    </row>
    <row r="157" spans="4:20" ht="12.75">
      <c r="D157" s="37"/>
      <c r="E157" s="37"/>
      <c r="F157" s="37"/>
      <c r="G157" s="262"/>
      <c r="H157" s="106"/>
      <c r="I157" s="37"/>
      <c r="J157" s="37"/>
      <c r="K157" s="37"/>
      <c r="L157" s="37"/>
      <c r="M157" s="263"/>
      <c r="N157" s="263"/>
      <c r="O157" s="263"/>
      <c r="P157" s="263"/>
      <c r="Q157" s="37"/>
      <c r="R157" s="37"/>
      <c r="S157" s="37"/>
      <c r="T157" s="37"/>
    </row>
    <row r="158" spans="4:20" ht="12.75">
      <c r="D158" s="37"/>
      <c r="E158" s="37"/>
      <c r="F158" s="37"/>
      <c r="G158" s="262"/>
      <c r="H158" s="106"/>
      <c r="I158" s="37"/>
      <c r="J158" s="37"/>
      <c r="K158" s="37"/>
      <c r="L158" s="37"/>
      <c r="M158" s="263"/>
      <c r="N158" s="263"/>
      <c r="O158" s="263"/>
      <c r="P158" s="263"/>
      <c r="Q158" s="37"/>
      <c r="R158" s="37"/>
      <c r="S158" s="37"/>
      <c r="T158" s="37"/>
    </row>
    <row r="159" spans="4:20" ht="12.75">
      <c r="D159" s="37"/>
      <c r="E159" s="37"/>
      <c r="F159" s="37"/>
      <c r="G159" s="262"/>
      <c r="H159" s="106"/>
      <c r="I159" s="37"/>
      <c r="J159" s="37"/>
      <c r="K159" s="37"/>
      <c r="L159" s="37"/>
      <c r="M159" s="263"/>
      <c r="N159" s="263"/>
      <c r="O159" s="263"/>
      <c r="P159" s="263"/>
      <c r="Q159" s="37"/>
      <c r="R159" s="37"/>
      <c r="S159" s="37"/>
      <c r="T159" s="37"/>
    </row>
    <row r="160" spans="4:20" ht="12.75">
      <c r="D160" s="37"/>
      <c r="E160" s="37"/>
      <c r="F160" s="37"/>
      <c r="G160" s="262"/>
      <c r="H160" s="106"/>
      <c r="I160" s="37"/>
      <c r="J160" s="37"/>
      <c r="K160" s="37"/>
      <c r="L160" s="37"/>
      <c r="M160" s="263"/>
      <c r="N160" s="263"/>
      <c r="O160" s="263"/>
      <c r="P160" s="263"/>
      <c r="Q160" s="37"/>
      <c r="R160" s="37"/>
      <c r="S160" s="37"/>
      <c r="T160" s="37"/>
    </row>
    <row r="161" spans="4:20" ht="12.75">
      <c r="D161" s="37"/>
      <c r="E161" s="37"/>
      <c r="F161" s="37"/>
      <c r="G161" s="262"/>
      <c r="H161" s="106"/>
      <c r="I161" s="37"/>
      <c r="J161" s="37"/>
      <c r="K161" s="37"/>
      <c r="L161" s="37"/>
      <c r="M161" s="263"/>
      <c r="N161" s="263"/>
      <c r="O161" s="263"/>
      <c r="P161" s="263"/>
      <c r="Q161" s="37"/>
      <c r="R161" s="37"/>
      <c r="S161" s="37"/>
      <c r="T161" s="37"/>
    </row>
    <row r="162" spans="4:20" ht="12.75">
      <c r="D162" s="37"/>
      <c r="E162" s="37"/>
      <c r="F162" s="37"/>
      <c r="G162" s="262"/>
      <c r="H162" s="106"/>
      <c r="I162" s="37"/>
      <c r="J162" s="37"/>
      <c r="K162" s="37"/>
      <c r="L162" s="37"/>
      <c r="M162" s="263"/>
      <c r="N162" s="263"/>
      <c r="O162" s="263"/>
      <c r="P162" s="263"/>
      <c r="Q162" s="37"/>
      <c r="R162" s="37"/>
      <c r="S162" s="37"/>
      <c r="T162" s="37"/>
    </row>
    <row r="163" spans="4:20" ht="12.75">
      <c r="D163" s="37"/>
      <c r="E163" s="37"/>
      <c r="F163" s="37"/>
      <c r="G163" s="262"/>
      <c r="H163" s="106"/>
      <c r="I163" s="37"/>
      <c r="J163" s="37"/>
      <c r="K163" s="37"/>
      <c r="L163" s="37"/>
      <c r="M163" s="263"/>
      <c r="N163" s="263"/>
      <c r="O163" s="263"/>
      <c r="P163" s="263"/>
      <c r="Q163" s="37"/>
      <c r="R163" s="37"/>
      <c r="S163" s="37"/>
      <c r="T163" s="37"/>
    </row>
    <row r="164" spans="4:20" ht="12.75">
      <c r="D164" s="37"/>
      <c r="E164" s="37"/>
      <c r="F164" s="37"/>
      <c r="G164" s="262"/>
      <c r="H164" s="106"/>
      <c r="I164" s="37"/>
      <c r="J164" s="37"/>
      <c r="K164" s="37"/>
      <c r="L164" s="37"/>
      <c r="M164" s="263"/>
      <c r="N164" s="263"/>
      <c r="O164" s="263"/>
      <c r="P164" s="263"/>
      <c r="Q164" s="37"/>
      <c r="R164" s="37"/>
      <c r="S164" s="37"/>
      <c r="T164" s="37"/>
    </row>
    <row r="165" spans="4:20" ht="12.75">
      <c r="D165" s="37"/>
      <c r="E165" s="37"/>
      <c r="F165" s="37"/>
      <c r="G165" s="262"/>
      <c r="H165" s="106"/>
      <c r="I165" s="37"/>
      <c r="J165" s="37"/>
      <c r="K165" s="37"/>
      <c r="L165" s="37"/>
      <c r="M165" s="263"/>
      <c r="N165" s="263"/>
      <c r="O165" s="263"/>
      <c r="P165" s="263"/>
      <c r="Q165" s="37"/>
      <c r="R165" s="37"/>
      <c r="S165" s="37"/>
      <c r="T165" s="37"/>
    </row>
    <row r="166" spans="4:20" ht="12.75">
      <c r="D166" s="37"/>
      <c r="E166" s="37"/>
      <c r="F166" s="37"/>
      <c r="G166" s="262"/>
      <c r="H166" s="106"/>
      <c r="I166" s="37"/>
      <c r="J166" s="37"/>
      <c r="K166" s="37"/>
      <c r="L166" s="37"/>
      <c r="M166" s="263"/>
      <c r="N166" s="263"/>
      <c r="O166" s="263"/>
      <c r="P166" s="263"/>
      <c r="Q166" s="37"/>
      <c r="R166" s="37"/>
      <c r="S166" s="37"/>
      <c r="T166" s="37"/>
    </row>
    <row r="167" spans="4:20" ht="12.75">
      <c r="D167" s="37"/>
      <c r="E167" s="37"/>
      <c r="F167" s="37"/>
      <c r="G167" s="262"/>
      <c r="H167" s="106"/>
      <c r="I167" s="37"/>
      <c r="J167" s="37"/>
      <c r="K167" s="37"/>
      <c r="L167" s="37"/>
      <c r="M167" s="263"/>
      <c r="N167" s="263"/>
      <c r="O167" s="263"/>
      <c r="P167" s="263"/>
      <c r="Q167" s="37"/>
      <c r="R167" s="37"/>
      <c r="S167" s="37"/>
      <c r="T167" s="37"/>
    </row>
    <row r="168" spans="4:20" ht="12.75">
      <c r="D168" s="37"/>
      <c r="E168" s="37"/>
      <c r="F168" s="37"/>
      <c r="G168" s="262"/>
      <c r="H168" s="106"/>
      <c r="I168" s="37"/>
      <c r="J168" s="37"/>
      <c r="K168" s="37"/>
      <c r="L168" s="37"/>
      <c r="M168" s="263"/>
      <c r="N168" s="263"/>
      <c r="O168" s="263"/>
      <c r="P168" s="263"/>
      <c r="Q168" s="37"/>
      <c r="R168" s="37"/>
      <c r="S168" s="37"/>
      <c r="T168" s="37"/>
    </row>
    <row r="169" spans="4:20" ht="12.75">
      <c r="D169" s="37"/>
      <c r="E169" s="37"/>
      <c r="F169" s="37"/>
      <c r="G169" s="262"/>
      <c r="H169" s="106"/>
      <c r="I169" s="37"/>
      <c r="J169" s="37"/>
      <c r="K169" s="37"/>
      <c r="L169" s="37"/>
      <c r="M169" s="263"/>
      <c r="N169" s="263"/>
      <c r="O169" s="263"/>
      <c r="P169" s="263"/>
      <c r="Q169" s="37"/>
      <c r="R169" s="37"/>
      <c r="S169" s="37"/>
      <c r="T169" s="37"/>
    </row>
    <row r="170" spans="4:20" ht="12.75">
      <c r="D170" s="37"/>
      <c r="E170" s="37"/>
      <c r="F170" s="37"/>
      <c r="G170" s="262"/>
      <c r="H170" s="106"/>
      <c r="I170" s="37"/>
      <c r="J170" s="37"/>
      <c r="K170" s="37"/>
      <c r="L170" s="37"/>
      <c r="M170" s="263"/>
      <c r="N170" s="263"/>
      <c r="O170" s="263"/>
      <c r="P170" s="263"/>
      <c r="Q170" s="37"/>
      <c r="R170" s="37"/>
      <c r="S170" s="37"/>
      <c r="T170" s="37"/>
    </row>
    <row r="171" spans="4:20" ht="12.75">
      <c r="D171" s="37"/>
      <c r="E171" s="37"/>
      <c r="F171" s="37"/>
      <c r="G171" s="262"/>
      <c r="H171" s="106"/>
      <c r="I171" s="37"/>
      <c r="J171" s="37"/>
      <c r="K171" s="37"/>
      <c r="L171" s="37"/>
      <c r="M171" s="263"/>
      <c r="N171" s="263"/>
      <c r="O171" s="263"/>
      <c r="P171" s="263"/>
      <c r="Q171" s="37"/>
      <c r="R171" s="37"/>
      <c r="S171" s="37"/>
      <c r="T171" s="37"/>
    </row>
    <row r="172" spans="4:20" ht="12.75">
      <c r="D172" s="37"/>
      <c r="E172" s="37"/>
      <c r="F172" s="37"/>
      <c r="G172" s="262"/>
      <c r="H172" s="106"/>
      <c r="I172" s="37"/>
      <c r="J172" s="37"/>
      <c r="K172" s="37"/>
      <c r="L172" s="37"/>
      <c r="M172" s="263"/>
      <c r="N172" s="263"/>
      <c r="O172" s="263"/>
      <c r="P172" s="263"/>
      <c r="Q172" s="37"/>
      <c r="R172" s="37"/>
      <c r="S172" s="37"/>
      <c r="T172" s="37"/>
    </row>
    <row r="173" spans="4:20" ht="12.75">
      <c r="D173" s="37"/>
      <c r="E173" s="37"/>
      <c r="F173" s="37"/>
      <c r="G173" s="262"/>
      <c r="H173" s="106"/>
      <c r="I173" s="37"/>
      <c r="J173" s="37"/>
      <c r="K173" s="37"/>
      <c r="L173" s="37"/>
      <c r="M173" s="263"/>
      <c r="N173" s="263"/>
      <c r="O173" s="263"/>
      <c r="P173" s="263"/>
      <c r="Q173" s="37"/>
      <c r="R173" s="37"/>
      <c r="S173" s="37"/>
      <c r="T173" s="37"/>
    </row>
    <row r="174" spans="4:20" ht="12.75">
      <c r="D174" s="37"/>
      <c r="E174" s="37"/>
      <c r="F174" s="37"/>
      <c r="G174" s="262"/>
      <c r="H174" s="106"/>
      <c r="I174" s="37"/>
      <c r="J174" s="37"/>
      <c r="K174" s="37"/>
      <c r="L174" s="37"/>
      <c r="M174" s="263"/>
      <c r="N174" s="263"/>
      <c r="O174" s="263"/>
      <c r="P174" s="263"/>
      <c r="Q174" s="37"/>
      <c r="R174" s="37"/>
      <c r="S174" s="37"/>
      <c r="T174" s="37"/>
    </row>
    <row r="175" spans="4:20" ht="12.75">
      <c r="D175" s="37"/>
      <c r="E175" s="37"/>
      <c r="F175" s="37"/>
      <c r="G175" s="262"/>
      <c r="H175" s="106"/>
      <c r="I175" s="37"/>
      <c r="J175" s="37"/>
      <c r="K175" s="37"/>
      <c r="L175" s="37"/>
      <c r="M175" s="263"/>
      <c r="N175" s="263"/>
      <c r="O175" s="263"/>
      <c r="P175" s="263"/>
      <c r="Q175" s="37"/>
      <c r="R175" s="37"/>
      <c r="S175" s="37"/>
      <c r="T175" s="37"/>
    </row>
    <row r="176" spans="4:20" ht="12.75">
      <c r="D176" s="37"/>
      <c r="E176" s="37"/>
      <c r="F176" s="37"/>
      <c r="G176" s="262"/>
      <c r="H176" s="106"/>
      <c r="I176" s="37"/>
      <c r="J176" s="37"/>
      <c r="K176" s="37"/>
      <c r="L176" s="37"/>
      <c r="M176" s="263"/>
      <c r="N176" s="263"/>
      <c r="O176" s="263"/>
      <c r="P176" s="263"/>
      <c r="Q176" s="37"/>
      <c r="R176" s="37"/>
      <c r="S176" s="37"/>
      <c r="T176" s="37"/>
    </row>
    <row r="177" spans="4:20" ht="12.75">
      <c r="D177" s="37"/>
      <c r="E177" s="37"/>
      <c r="F177" s="37"/>
      <c r="G177" s="262"/>
      <c r="H177" s="106"/>
      <c r="I177" s="37"/>
      <c r="J177" s="37"/>
      <c r="K177" s="37"/>
      <c r="L177" s="37"/>
      <c r="M177" s="263"/>
      <c r="N177" s="263"/>
      <c r="O177" s="263"/>
      <c r="P177" s="263"/>
      <c r="Q177" s="37"/>
      <c r="R177" s="37"/>
      <c r="S177" s="37"/>
      <c r="T177" s="37"/>
    </row>
    <row r="178" spans="4:20" ht="12.75">
      <c r="D178" s="37"/>
      <c r="E178" s="37"/>
      <c r="F178" s="37"/>
      <c r="G178" s="262"/>
      <c r="H178" s="106"/>
      <c r="I178" s="37"/>
      <c r="J178" s="37"/>
      <c r="K178" s="37"/>
      <c r="L178" s="37"/>
      <c r="M178" s="263"/>
      <c r="N178" s="263"/>
      <c r="O178" s="263"/>
      <c r="P178" s="263"/>
      <c r="Q178" s="37"/>
      <c r="R178" s="37"/>
      <c r="S178" s="37"/>
      <c r="T178" s="37"/>
    </row>
    <row r="179" spans="4:20" ht="12.75">
      <c r="D179" s="37"/>
      <c r="E179" s="37"/>
      <c r="F179" s="37"/>
      <c r="G179" s="262"/>
      <c r="H179" s="106"/>
      <c r="I179" s="37"/>
      <c r="J179" s="37"/>
      <c r="K179" s="37"/>
      <c r="L179" s="37"/>
      <c r="M179" s="263"/>
      <c r="N179" s="263"/>
      <c r="O179" s="263"/>
      <c r="P179" s="263"/>
      <c r="Q179" s="37"/>
      <c r="R179" s="37"/>
      <c r="S179" s="37"/>
      <c r="T179" s="37"/>
    </row>
    <row r="180" spans="4:20" ht="12.75">
      <c r="D180" s="37"/>
      <c r="E180" s="37"/>
      <c r="F180" s="37"/>
      <c r="G180" s="262"/>
      <c r="H180" s="106"/>
      <c r="I180" s="37"/>
      <c r="J180" s="37"/>
      <c r="K180" s="37"/>
      <c r="L180" s="37"/>
      <c r="M180" s="263"/>
      <c r="N180" s="263"/>
      <c r="O180" s="263"/>
      <c r="P180" s="263"/>
      <c r="Q180" s="37"/>
      <c r="R180" s="37"/>
      <c r="S180" s="37"/>
      <c r="T180" s="37"/>
    </row>
  </sheetData>
  <sheetProtection/>
  <mergeCells count="237">
    <mergeCell ref="M155:P155"/>
    <mergeCell ref="Q155:T155"/>
    <mergeCell ref="E69:E73"/>
    <mergeCell ref="C87:C88"/>
    <mergeCell ref="D94:D97"/>
    <mergeCell ref="C76:C77"/>
    <mergeCell ref="D92:D93"/>
    <mergeCell ref="M154:P154"/>
    <mergeCell ref="A133:A134"/>
    <mergeCell ref="B133:B134"/>
    <mergeCell ref="A155:H155"/>
    <mergeCell ref="I155:L155"/>
    <mergeCell ref="A152:H152"/>
    <mergeCell ref="I152:L152"/>
    <mergeCell ref="I147:L147"/>
    <mergeCell ref="A143:H143"/>
    <mergeCell ref="I143:L143"/>
    <mergeCell ref="D133:D134"/>
    <mergeCell ref="A140:T140"/>
    <mergeCell ref="E94:E97"/>
    <mergeCell ref="E83:E86"/>
    <mergeCell ref="C94:C97"/>
    <mergeCell ref="F112:F113"/>
    <mergeCell ref="F129:F130"/>
    <mergeCell ref="E133:E134"/>
    <mergeCell ref="A129:A130"/>
    <mergeCell ref="F133:F134"/>
    <mergeCell ref="C129:C130"/>
    <mergeCell ref="Q154:T154"/>
    <mergeCell ref="A154:H154"/>
    <mergeCell ref="I154:L154"/>
    <mergeCell ref="I150:L150"/>
    <mergeCell ref="M150:P150"/>
    <mergeCell ref="Q150:T150"/>
    <mergeCell ref="M152:P152"/>
    <mergeCell ref="Q152:T152"/>
    <mergeCell ref="Q153:T153"/>
    <mergeCell ref="A150:H150"/>
    <mergeCell ref="A148:H148"/>
    <mergeCell ref="Q148:T148"/>
    <mergeCell ref="A149:H149"/>
    <mergeCell ref="I148:L148"/>
    <mergeCell ref="M148:P148"/>
    <mergeCell ref="A151:H151"/>
    <mergeCell ref="I151:L151"/>
    <mergeCell ref="M151:P151"/>
    <mergeCell ref="Q151:T151"/>
    <mergeCell ref="A147:H147"/>
    <mergeCell ref="M147:P147"/>
    <mergeCell ref="Q147:T147"/>
    <mergeCell ref="A146:H146"/>
    <mergeCell ref="I149:L149"/>
    <mergeCell ref="M149:P149"/>
    <mergeCell ref="Q149:T149"/>
    <mergeCell ref="M146:P146"/>
    <mergeCell ref="Q146:T146"/>
    <mergeCell ref="A141:H141"/>
    <mergeCell ref="I141:L141"/>
    <mergeCell ref="M144:P144"/>
    <mergeCell ref="Q144:T144"/>
    <mergeCell ref="A144:H144"/>
    <mergeCell ref="I144:L144"/>
    <mergeCell ref="A145:H145"/>
    <mergeCell ref="I145:L145"/>
    <mergeCell ref="M145:P145"/>
    <mergeCell ref="Q145:T145"/>
    <mergeCell ref="M143:P143"/>
    <mergeCell ref="Q143:T143"/>
    <mergeCell ref="Q141:T141"/>
    <mergeCell ref="I146:L146"/>
    <mergeCell ref="M141:P141"/>
    <mergeCell ref="M142:P142"/>
    <mergeCell ref="Q142:T142"/>
    <mergeCell ref="F127:F128"/>
    <mergeCell ref="A142:H142"/>
    <mergeCell ref="I142:L142"/>
    <mergeCell ref="C135:H135"/>
    <mergeCell ref="B127:B128"/>
    <mergeCell ref="G133:G134"/>
    <mergeCell ref="B136:H136"/>
    <mergeCell ref="D112:D113"/>
    <mergeCell ref="E112:E113"/>
    <mergeCell ref="C133:C134"/>
    <mergeCell ref="E121:E122"/>
    <mergeCell ref="C115:V115"/>
    <mergeCell ref="D131:D132"/>
    <mergeCell ref="G129:G130"/>
    <mergeCell ref="G127:G128"/>
    <mergeCell ref="E129:E130"/>
    <mergeCell ref="C125:C126"/>
    <mergeCell ref="C127:C128"/>
    <mergeCell ref="B131:B132"/>
    <mergeCell ref="C131:C132"/>
    <mergeCell ref="D127:D128"/>
    <mergeCell ref="E127:E128"/>
    <mergeCell ref="A94:A97"/>
    <mergeCell ref="A112:A113"/>
    <mergeCell ref="B112:B113"/>
    <mergeCell ref="A110:A111"/>
    <mergeCell ref="A125:A126"/>
    <mergeCell ref="A127:A128"/>
    <mergeCell ref="C98:C100"/>
    <mergeCell ref="D98:D100"/>
    <mergeCell ref="C102:V102"/>
    <mergeCell ref="C101:H101"/>
    <mergeCell ref="C114:H114"/>
    <mergeCell ref="F110:F111"/>
    <mergeCell ref="C112:C113"/>
    <mergeCell ref="G110:G111"/>
    <mergeCell ref="B129:B130"/>
    <mergeCell ref="D129:D130"/>
    <mergeCell ref="D125:D126"/>
    <mergeCell ref="B125:B126"/>
    <mergeCell ref="A89:A91"/>
    <mergeCell ref="B89:B91"/>
    <mergeCell ref="D81:D82"/>
    <mergeCell ref="D85:D86"/>
    <mergeCell ref="D87:D88"/>
    <mergeCell ref="D110:D111"/>
    <mergeCell ref="E110:E111"/>
    <mergeCell ref="F76:F77"/>
    <mergeCell ref="B74:B75"/>
    <mergeCell ref="F89:F91"/>
    <mergeCell ref="C92:C93"/>
    <mergeCell ref="B94:B97"/>
    <mergeCell ref="E103:E109"/>
    <mergeCell ref="A76:A77"/>
    <mergeCell ref="C55:V55"/>
    <mergeCell ref="A74:A75"/>
    <mergeCell ref="C74:C75"/>
    <mergeCell ref="D74:D75"/>
    <mergeCell ref="D89:D91"/>
    <mergeCell ref="C89:C91"/>
    <mergeCell ref="G43:G45"/>
    <mergeCell ref="D46:D47"/>
    <mergeCell ref="E89:E91"/>
    <mergeCell ref="E66:E68"/>
    <mergeCell ref="E76:E77"/>
    <mergeCell ref="B76:B77"/>
    <mergeCell ref="D76:D77"/>
    <mergeCell ref="D67:D68"/>
    <mergeCell ref="E48:E49"/>
    <mergeCell ref="B53:H53"/>
    <mergeCell ref="E50:E51"/>
    <mergeCell ref="F50:F51"/>
    <mergeCell ref="G50:G51"/>
    <mergeCell ref="C52:H52"/>
    <mergeCell ref="D50:D51"/>
    <mergeCell ref="B54:V54"/>
    <mergeCell ref="C48:C49"/>
    <mergeCell ref="D48:D49"/>
    <mergeCell ref="D43:D45"/>
    <mergeCell ref="F43:F45"/>
    <mergeCell ref="E43:E45"/>
    <mergeCell ref="B48:B49"/>
    <mergeCell ref="B46:B47"/>
    <mergeCell ref="A48:A49"/>
    <mergeCell ref="A35:A38"/>
    <mergeCell ref="A43:A45"/>
    <mergeCell ref="C43:C45"/>
    <mergeCell ref="D39:D42"/>
    <mergeCell ref="C46:C47"/>
    <mergeCell ref="D35:D38"/>
    <mergeCell ref="D18:D22"/>
    <mergeCell ref="C18:C22"/>
    <mergeCell ref="F18:F22"/>
    <mergeCell ref="D13:D17"/>
    <mergeCell ref="E13:E17"/>
    <mergeCell ref="E35:E38"/>
    <mergeCell ref="E18:E22"/>
    <mergeCell ref="M6:P6"/>
    <mergeCell ref="C6:C8"/>
    <mergeCell ref="G6:G8"/>
    <mergeCell ref="Q6:T6"/>
    <mergeCell ref="T7:T8"/>
    <mergeCell ref="I6:L6"/>
    <mergeCell ref="P7:P8"/>
    <mergeCell ref="M153:P153"/>
    <mergeCell ref="A18:A22"/>
    <mergeCell ref="D6:D8"/>
    <mergeCell ref="E6:E8"/>
    <mergeCell ref="C12:V12"/>
    <mergeCell ref="G13:G17"/>
    <mergeCell ref="C13:C17"/>
    <mergeCell ref="G18:G22"/>
    <mergeCell ref="F13:F17"/>
    <mergeCell ref="A10:V10"/>
    <mergeCell ref="A153:H153"/>
    <mergeCell ref="A138:H138"/>
    <mergeCell ref="I153:L153"/>
    <mergeCell ref="A23:A27"/>
    <mergeCell ref="C35:C38"/>
    <mergeCell ref="C33:H33"/>
    <mergeCell ref="G29:G31"/>
    <mergeCell ref="D29:D31"/>
    <mergeCell ref="A29:A31"/>
    <mergeCell ref="B29:B31"/>
    <mergeCell ref="A50:A51"/>
    <mergeCell ref="A131:A132"/>
    <mergeCell ref="A1:V1"/>
    <mergeCell ref="A2:V2"/>
    <mergeCell ref="A3:V3"/>
    <mergeCell ref="A4:V4"/>
    <mergeCell ref="C5:V5"/>
    <mergeCell ref="R7:S7"/>
    <mergeCell ref="H6:H8"/>
    <mergeCell ref="A6:A8"/>
    <mergeCell ref="B137:H137"/>
    <mergeCell ref="F131:F132"/>
    <mergeCell ref="F23:F27"/>
    <mergeCell ref="G23:G27"/>
    <mergeCell ref="C34:V34"/>
    <mergeCell ref="E131:E132"/>
    <mergeCell ref="B43:B45"/>
    <mergeCell ref="B35:B38"/>
    <mergeCell ref="E23:E27"/>
    <mergeCell ref="G48:G49"/>
    <mergeCell ref="C23:C27"/>
    <mergeCell ref="Q7:Q8"/>
    <mergeCell ref="M7:M8"/>
    <mergeCell ref="F6:F8"/>
    <mergeCell ref="I7:I8"/>
    <mergeCell ref="N7:O7"/>
    <mergeCell ref="L7:L8"/>
    <mergeCell ref="J7:K7"/>
    <mergeCell ref="A9:V9"/>
    <mergeCell ref="U6:U8"/>
    <mergeCell ref="G35:G36"/>
    <mergeCell ref="F48:F49"/>
    <mergeCell ref="A139:V139"/>
    <mergeCell ref="B6:B8"/>
    <mergeCell ref="B11:V11"/>
    <mergeCell ref="E29:E31"/>
    <mergeCell ref="F29:F31"/>
    <mergeCell ref="C29:C31"/>
    <mergeCell ref="D23:D27"/>
    <mergeCell ref="V6:V8"/>
  </mergeCells>
  <printOptions horizontalCentered="1"/>
  <pageMargins left="0" right="0" top="0" bottom="0" header="0" footer="0"/>
  <pageSetup horizontalDpi="600" verticalDpi="600" orientation="landscape" paperSize="9" scale="80" r:id="rId3"/>
  <headerFooter alignWithMargins="0">
    <oddFooter>&amp;CPuslapių &amp;P</oddFooter>
  </headerFooter>
  <rowBreaks count="5" manualBreakCount="5">
    <brk id="33" max="255" man="1"/>
    <brk id="53" max="255" man="1"/>
    <brk id="73" max="255" man="1"/>
    <brk id="101" max="255" man="1"/>
    <brk id="126" max="255" man="1"/>
  </rowBreaks>
  <legacyDrawing r:id="rId2"/>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F1"/>
    </sheetView>
  </sheetViews>
  <sheetFormatPr defaultColWidth="9.140625" defaultRowHeight="12.75"/>
  <cols>
    <col min="1" max="1" width="35.57421875" style="534" customWidth="1"/>
    <col min="2" max="2" width="10.421875" style="534" customWidth="1"/>
    <col min="3" max="3" width="12.00390625" style="534" customWidth="1"/>
    <col min="4" max="4" width="10.00390625" style="534" customWidth="1"/>
    <col min="5" max="5" width="9.421875" style="534" customWidth="1"/>
    <col min="6" max="6" width="9.8515625" style="534" customWidth="1"/>
    <col min="7" max="16384" width="9.140625" style="534" customWidth="1"/>
  </cols>
  <sheetData>
    <row r="1" spans="1:6" ht="25.5" customHeight="1">
      <c r="A1" s="1243" t="s">
        <v>164</v>
      </c>
      <c r="B1" s="1244"/>
      <c r="C1" s="1244"/>
      <c r="D1" s="1244"/>
      <c r="E1" s="1245"/>
      <c r="F1" s="1245"/>
    </row>
    <row r="2" ht="13.5" thickBot="1">
      <c r="F2" s="535" t="s">
        <v>11</v>
      </c>
    </row>
    <row r="3" spans="1:6" ht="12.75" customHeight="1">
      <c r="A3" s="1246" t="s">
        <v>165</v>
      </c>
      <c r="B3" s="1249" t="s">
        <v>97</v>
      </c>
      <c r="C3" s="1246" t="s">
        <v>114</v>
      </c>
      <c r="D3" s="1249" t="s">
        <v>245</v>
      </c>
      <c r="E3" s="1249" t="s">
        <v>158</v>
      </c>
      <c r="F3" s="1249" t="s">
        <v>183</v>
      </c>
    </row>
    <row r="4" spans="1:6" ht="12.75">
      <c r="A4" s="1247"/>
      <c r="B4" s="1250"/>
      <c r="C4" s="1252"/>
      <c r="D4" s="1250"/>
      <c r="E4" s="1250"/>
      <c r="F4" s="1250"/>
    </row>
    <row r="5" spans="1:8" ht="12.75">
      <c r="A5" s="1247"/>
      <c r="B5" s="1250"/>
      <c r="C5" s="1252"/>
      <c r="D5" s="1250"/>
      <c r="E5" s="1250"/>
      <c r="F5" s="1250"/>
      <c r="G5" s="536"/>
      <c r="H5" s="536"/>
    </row>
    <row r="6" spans="1:8" ht="39.75" customHeight="1" thickBot="1">
      <c r="A6" s="1248"/>
      <c r="B6" s="1251"/>
      <c r="C6" s="1253"/>
      <c r="D6" s="1251"/>
      <c r="E6" s="1251"/>
      <c r="F6" s="1251"/>
      <c r="G6" s="536"/>
      <c r="H6" s="536"/>
    </row>
    <row r="7" spans="1:8" ht="21" customHeight="1">
      <c r="A7" s="537" t="s">
        <v>166</v>
      </c>
      <c r="B7" s="538">
        <f>B8+B10</f>
        <v>232520.88</v>
      </c>
      <c r="C7" s="539">
        <f>C8+C10</f>
        <v>237335.341</v>
      </c>
      <c r="D7" s="538">
        <f>D8+D10</f>
        <v>219560.09999999998</v>
      </c>
      <c r="E7" s="538">
        <f>SUM('1 lentelė'!U137)</f>
        <v>220784.2</v>
      </c>
      <c r="F7" s="540">
        <f>SUM('1 lentelė'!V137)</f>
        <v>215614.3</v>
      </c>
      <c r="G7" s="541"/>
      <c r="H7" s="536"/>
    </row>
    <row r="8" spans="1:8" ht="17.25" customHeight="1">
      <c r="A8" s="542" t="s">
        <v>167</v>
      </c>
      <c r="B8" s="159">
        <f>SUM('1 lentelė'!J137)</f>
        <v>214410.30000000002</v>
      </c>
      <c r="C8" s="543">
        <f>SUM('1 lentelė'!N137)</f>
        <v>219570.8</v>
      </c>
      <c r="D8" s="544">
        <f>SUM('1 lentelė'!R137)</f>
        <v>203302.09999999998</v>
      </c>
      <c r="E8" s="159"/>
      <c r="F8" s="545"/>
      <c r="G8" s="536"/>
      <c r="H8" s="536"/>
    </row>
    <row r="9" spans="1:8" ht="17.25" customHeight="1">
      <c r="A9" s="546" t="s">
        <v>168</v>
      </c>
      <c r="B9" s="547">
        <f>SUM('1 lentelė'!K137)</f>
        <v>129940.9</v>
      </c>
      <c r="C9" s="548">
        <f>SUM('1 lentelė'!O137)</f>
        <v>127800.90000000002</v>
      </c>
      <c r="D9" s="549">
        <f>SUM('1 lentelė'!O137)</f>
        <v>127800.90000000002</v>
      </c>
      <c r="E9" s="159"/>
      <c r="F9" s="550"/>
      <c r="G9" s="536"/>
      <c r="H9" s="536"/>
    </row>
    <row r="10" spans="1:9" ht="27.75" customHeight="1" thickBot="1">
      <c r="A10" s="551" t="s">
        <v>169</v>
      </c>
      <c r="B10" s="552">
        <f>SUM('1 lentelė'!L137)</f>
        <v>18110.58</v>
      </c>
      <c r="C10" s="553">
        <f>SUM('1 lentelė'!P137)</f>
        <v>17764.541</v>
      </c>
      <c r="D10" s="554">
        <f>SUM('1 lentelė'!T137)</f>
        <v>16258.000000000002</v>
      </c>
      <c r="E10" s="552"/>
      <c r="F10" s="555"/>
      <c r="G10" s="556"/>
      <c r="H10" s="536"/>
      <c r="I10" s="557"/>
    </row>
    <row r="11" spans="1:8" ht="21.75" customHeight="1" thickBot="1">
      <c r="A11" s="558" t="s">
        <v>170</v>
      </c>
      <c r="B11" s="559">
        <f>B12+B20</f>
        <v>232520.88000000003</v>
      </c>
      <c r="C11" s="559">
        <f>C12+C20</f>
        <v>237335.34100000001</v>
      </c>
      <c r="D11" s="559">
        <f>D12+D20</f>
        <v>219560.1</v>
      </c>
      <c r="E11" s="559">
        <f>E12+E20</f>
        <v>220784.2</v>
      </c>
      <c r="F11" s="559">
        <f>F12+F20</f>
        <v>215614.30000000005</v>
      </c>
      <c r="H11" s="557"/>
    </row>
    <row r="12" spans="1:8" ht="21.75" customHeight="1" thickBot="1">
      <c r="A12" s="560" t="s">
        <v>171</v>
      </c>
      <c r="B12" s="561">
        <f>B13+B19</f>
        <v>214525.50000000003</v>
      </c>
      <c r="C12" s="561">
        <f>C13+C19</f>
        <v>221426.7</v>
      </c>
      <c r="D12" s="561">
        <f>D13+D19</f>
        <v>204419.80000000002</v>
      </c>
      <c r="E12" s="561">
        <f>E13+E19</f>
        <v>211328.1</v>
      </c>
      <c r="F12" s="561">
        <f>F13+F19</f>
        <v>211346.60000000003</v>
      </c>
      <c r="H12" s="557"/>
    </row>
    <row r="13" spans="1:8" ht="20.25" customHeight="1">
      <c r="A13" s="562" t="s">
        <v>172</v>
      </c>
      <c r="B13" s="563">
        <f>SUM(B14:B18)</f>
        <v>214091.10000000003</v>
      </c>
      <c r="C13" s="563">
        <f>SUM(C14:C18)</f>
        <v>220982.30000000002</v>
      </c>
      <c r="D13" s="564">
        <f>SUM(D14:D18)</f>
        <v>203975.40000000002</v>
      </c>
      <c r="E13" s="563">
        <f>SUM(E14:E18)</f>
        <v>211328.1</v>
      </c>
      <c r="F13" s="563">
        <f>SUM(F14:F18)</f>
        <v>211346.60000000003</v>
      </c>
      <c r="H13" s="557"/>
    </row>
    <row r="14" spans="1:8" ht="17.25" customHeight="1">
      <c r="A14" s="565" t="s">
        <v>173</v>
      </c>
      <c r="B14" s="265">
        <f>SUM('1 lentelė'!I144:L144)</f>
        <v>84476.5</v>
      </c>
      <c r="C14" s="265">
        <f>SUM('1 lentelė'!M144:P144)</f>
        <v>93669.40000000002</v>
      </c>
      <c r="D14" s="549">
        <f>SUM('1 lentelė'!Q144:T144)</f>
        <v>78005.90000000001</v>
      </c>
      <c r="E14" s="265">
        <f>SUMIF('1 lentelė'!H13:'1 lentelė'!H133,"sb",'1 lentelė'!U133:'1 lentelė'!U13)</f>
        <v>84737.6</v>
      </c>
      <c r="F14" s="265">
        <f>SUMIF('1 lentelė'!H133:'1 lentelė'!H13,"sb",'1 lentelė'!V13:'1 lentelė'!V133)</f>
        <v>84174.40000000001</v>
      </c>
      <c r="H14" s="557"/>
    </row>
    <row r="15" spans="1:9" ht="18" customHeight="1">
      <c r="A15" s="546" t="s">
        <v>179</v>
      </c>
      <c r="B15" s="165">
        <f>SUM('1 lentelė'!I145:L145)</f>
        <v>16259.9</v>
      </c>
      <c r="C15" s="165">
        <f>SUM('1 lentelė'!M145:P145)</f>
        <v>16066.600000000002</v>
      </c>
      <c r="D15" s="566">
        <f>SUM('1 lentelė'!Q145:T145)</f>
        <v>16280.2</v>
      </c>
      <c r="E15" s="165">
        <f>SUMIF('1 lentelė'!H13:'1 lentelė'!H133,"sb(sp)",'1 lentelė'!U133:'1 lentelė'!U13)</f>
        <v>16281</v>
      </c>
      <c r="F15" s="165">
        <f>SUMIF('1 lentelė'!H133:'1 lentelė'!H13,"sb(sp)",'1 lentelė'!V13:'1 lentelė'!V133)</f>
        <v>16281</v>
      </c>
      <c r="G15" s="557"/>
      <c r="H15" s="557"/>
      <c r="I15" s="557"/>
    </row>
    <row r="16" spans="1:8" ht="28.5" customHeight="1">
      <c r="A16" s="546" t="s">
        <v>180</v>
      </c>
      <c r="B16" s="159">
        <f>SUM('1 lentelė'!I146:L146)</f>
        <v>110485.00000000001</v>
      </c>
      <c r="C16" s="159">
        <f>SUM('1 lentelė'!M146:P146)</f>
        <v>108465</v>
      </c>
      <c r="D16" s="544">
        <f>SUM('1 lentelė'!Q146:T146)</f>
        <v>107255.00000000001</v>
      </c>
      <c r="E16" s="159">
        <f>SUMIF('1 lentelė'!H13:'1 lentelė'!H133,"sb(vb)",'1 lentelė'!U133:'1 lentelė'!U13)</f>
        <v>108496</v>
      </c>
      <c r="F16" s="159">
        <f>SUMIF('1 lentelė'!H133:'1 lentelė'!H13,"sb(vb)",'1 lentelė'!V13:'1 lentelė'!V133)</f>
        <v>108446</v>
      </c>
      <c r="G16" s="557"/>
      <c r="H16" s="557"/>
    </row>
    <row r="17" spans="1:6" ht="39.75" customHeight="1">
      <c r="A17" s="565" t="s">
        <v>181</v>
      </c>
      <c r="B17" s="265">
        <f>SUM('1 lentelė'!I147:L147)</f>
        <v>100</v>
      </c>
      <c r="C17" s="265">
        <f>SUM('1 lentelė'!M147:P147)</f>
        <v>200</v>
      </c>
      <c r="D17" s="549">
        <f>SUM('1 lentelė'!Q147:T147)</f>
        <v>200</v>
      </c>
      <c r="E17" s="265">
        <f>SUMIF('1 lentelė'!H13:'1 lentelė'!H133,"sb(mk)",'1 lentelė'!U133:'1 lentelė'!U13)</f>
        <v>200</v>
      </c>
      <c r="F17" s="265">
        <f>SUMIF('1 lentelė'!H133:'1 lentelė'!H13,"sb(mk)",'1 lentelė'!V13:'1 lentelė'!V133)</f>
        <v>200</v>
      </c>
    </row>
    <row r="18" spans="1:6" ht="18" customHeight="1">
      <c r="A18" s="565" t="s">
        <v>182</v>
      </c>
      <c r="B18" s="265">
        <f>SUM('1 lentelė'!I148:L148)</f>
        <v>2769.7000000000003</v>
      </c>
      <c r="C18" s="265">
        <f>SUM('1 lentelė'!M148:P148)</f>
        <v>2581.2999999999997</v>
      </c>
      <c r="D18" s="549">
        <f>SUM('1 lentelė'!Q148:T148)</f>
        <v>2234.3</v>
      </c>
      <c r="E18" s="265">
        <f>SUMIF('1 lentelė'!H13:'1 lentelė'!H133,"sb(p)",'1 lentelė'!U133:'1 lentelė'!U13)</f>
        <v>1613.5</v>
      </c>
      <c r="F18" s="265">
        <f>SUMIF('1 lentelė'!H133:'1 lentelė'!H13,"sb(p)",'1 lentelė'!V13:'1 lentelė'!V133)</f>
        <v>2245.2</v>
      </c>
    </row>
    <row r="19" spans="1:9" ht="29.25" customHeight="1" thickBot="1">
      <c r="A19" s="567" t="s">
        <v>174</v>
      </c>
      <c r="B19" s="563">
        <f>SUM('1 lentelė'!I149:L149)</f>
        <v>434.4</v>
      </c>
      <c r="C19" s="563">
        <f>SUM('1 lentelė'!M149:P149)</f>
        <v>444.4</v>
      </c>
      <c r="D19" s="564">
        <f>SUM('1 lentelė'!Q149:T149)</f>
        <v>444.4</v>
      </c>
      <c r="E19" s="563">
        <f>SUMIF('1 lentelė'!H13:'1 lentelė'!H133,"pf",'1 lentelė'!U133:'1 lentelė'!U13)</f>
        <v>0</v>
      </c>
      <c r="F19" s="568">
        <f>SUMIF('1 lentelė'!H133:'1 lentelė'!H13,"pf",'1 lentelė'!V13:'1 lentelė'!V133)</f>
        <v>0</v>
      </c>
      <c r="I19" s="557"/>
    </row>
    <row r="20" spans="1:6" ht="17.25" customHeight="1" thickBot="1">
      <c r="A20" s="569" t="s">
        <v>175</v>
      </c>
      <c r="B20" s="561">
        <f>SUM(B21:B24)</f>
        <v>17995.38</v>
      </c>
      <c r="C20" s="561">
        <f>SUM(C21:C24)</f>
        <v>15908.641000000001</v>
      </c>
      <c r="D20" s="561">
        <f>SUM(D21:D24)</f>
        <v>15140.300000000001</v>
      </c>
      <c r="E20" s="561">
        <f>SUM(E21:E24)</f>
        <v>9456.1</v>
      </c>
      <c r="F20" s="561">
        <f>SUM(F21:F24)</f>
        <v>4267.7</v>
      </c>
    </row>
    <row r="21" spans="1:6" ht="15.75" customHeight="1">
      <c r="A21" s="570" t="s">
        <v>176</v>
      </c>
      <c r="B21" s="152">
        <f>SUM('1 lentelė'!I151:L151)</f>
        <v>15951.279999999999</v>
      </c>
      <c r="C21" s="152">
        <f>SUM('1 lentelė'!M151:P151)</f>
        <v>15105.741000000002</v>
      </c>
      <c r="D21" s="571">
        <f>SUM('1 lentelė'!Q151:T151)</f>
        <v>14337.400000000001</v>
      </c>
      <c r="E21" s="152">
        <f>SUMIF('1 lentelė'!H13:'1 lentelė'!H133,"es",'1 lentelė'!U133:'1 lentelė'!U13)</f>
        <v>1556.1</v>
      </c>
      <c r="F21" s="152">
        <f>SUMIF('1 lentelė'!H133:'1 lentelė'!H13,"es",'1 lentelė'!V13:'1 lentelė'!V133)</f>
        <v>2270.6</v>
      </c>
    </row>
    <row r="22" spans="1:6" ht="18.75" customHeight="1">
      <c r="A22" s="565" t="s">
        <v>177</v>
      </c>
      <c r="B22" s="265">
        <f>SUM('1 lentelė'!I152:L152)</f>
        <v>636.2</v>
      </c>
      <c r="C22" s="265">
        <f>SUM('1 lentelė'!M152:P152)</f>
        <v>727.9</v>
      </c>
      <c r="D22" s="549">
        <f>SUM('1 lentelė'!Q152:T152)</f>
        <v>727.9</v>
      </c>
      <c r="E22" s="265">
        <f>SUMIF('1 lentelė'!H13:'1 lentelė'!H133,"lrvb",'1 lentelė'!U133:'1 lentelė'!U13)</f>
        <v>7500</v>
      </c>
      <c r="F22" s="265">
        <f>SUMIF('1 lentelė'!H133:'1 lentelė'!H13,"lrvb",'1 lentelė'!V13:'1 lentelė'!V133)</f>
        <v>1997.1</v>
      </c>
    </row>
    <row r="23" spans="1:6" ht="27.75" customHeight="1">
      <c r="A23" s="565" t="s">
        <v>217</v>
      </c>
      <c r="B23" s="265"/>
      <c r="C23" s="265">
        <f>SUM('1 lentelė'!M153:P153)</f>
        <v>75</v>
      </c>
      <c r="D23" s="549">
        <f>SUM('1 lentelė'!Q153:T153)</f>
        <v>75</v>
      </c>
      <c r="E23" s="265"/>
      <c r="F23" s="265"/>
    </row>
    <row r="24" spans="1:6" ht="17.25" customHeight="1" thickBot="1">
      <c r="A24" s="572" t="s">
        <v>178</v>
      </c>
      <c r="B24" s="552">
        <f>SUM('1 lentelė'!I154:L154)</f>
        <v>1407.9</v>
      </c>
      <c r="C24" s="552">
        <f>SUM('1 lentelė'!M154:P154)</f>
        <v>0</v>
      </c>
      <c r="D24" s="573">
        <f>SUM('1 lentelė'!Q154:T154)</f>
        <v>0</v>
      </c>
      <c r="E24" s="552">
        <f>SUMIF('1 lentelė'!H13:'1 lentelė'!H133,"kt",'1 lentelė'!U133:'1 lentelė'!U13)</f>
        <v>400</v>
      </c>
      <c r="F24" s="552">
        <f>SUMIF('1 lentelė'!H133:'1 lentelė'!H13,"kt",'1 lentelė'!V13:'1 lentelė'!V133)</f>
        <v>0</v>
      </c>
    </row>
    <row r="25" spans="1:6" ht="15" customHeight="1">
      <c r="A25" s="1241">
        <f>'1 lentelė'!A138:H138</f>
        <v>0</v>
      </c>
      <c r="B25" s="1242"/>
      <c r="C25" s="1242"/>
      <c r="D25" s="1242"/>
      <c r="E25" s="1242"/>
      <c r="F25" s="1242"/>
    </row>
    <row r="26" spans="1:6" ht="28.5" customHeight="1">
      <c r="A26" s="1239">
        <f>'1 lentelė'!A139:H139</f>
        <v>0</v>
      </c>
      <c r="B26" s="1240"/>
      <c r="C26" s="1240"/>
      <c r="D26" s="1240"/>
      <c r="E26" s="1240"/>
      <c r="F26" s="1240"/>
    </row>
  </sheetData>
  <sheetProtection/>
  <mergeCells count="9">
    <mergeCell ref="A26:F26"/>
    <mergeCell ref="A25:F25"/>
    <mergeCell ref="A1:F1"/>
    <mergeCell ref="A3:A6"/>
    <mergeCell ref="B3:B6"/>
    <mergeCell ref="C3:C6"/>
    <mergeCell ref="D3:D6"/>
    <mergeCell ref="E3:E6"/>
    <mergeCell ref="F3:F6"/>
  </mergeCells>
  <printOptions/>
  <pageMargins left="0.7480314960629921" right="0.35433070866141736" top="0.3937007874015748" bottom="0.3937007874015748"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SheetLayoutView="130" workbookViewId="0" topLeftCell="A1">
      <selection activeCell="A1" sqref="A1"/>
    </sheetView>
  </sheetViews>
  <sheetFormatPr defaultColWidth="9.140625" defaultRowHeight="12.75"/>
  <cols>
    <col min="1" max="1" width="12.8515625" style="633" customWidth="1"/>
    <col min="2" max="2" width="72.7109375" style="633" customWidth="1"/>
    <col min="3" max="3" width="11.57421875" style="633" customWidth="1"/>
    <col min="4" max="4" width="11.28125" style="633" customWidth="1"/>
    <col min="5" max="5" width="10.28125" style="633" customWidth="1"/>
    <col min="6" max="6" width="10.421875" style="633" customWidth="1"/>
    <col min="7" max="7" width="10.8515625" style="633" customWidth="1"/>
    <col min="8" max="16384" width="9.140625" style="633" customWidth="1"/>
  </cols>
  <sheetData>
    <row r="1" spans="1:7" ht="18.75" customHeight="1">
      <c r="A1" s="629"/>
      <c r="B1" s="629" t="s">
        <v>43</v>
      </c>
      <c r="C1" s="630"/>
      <c r="D1" s="630"/>
      <c r="E1" s="630"/>
      <c r="F1" s="631"/>
      <c r="G1" s="632" t="s">
        <v>44</v>
      </c>
    </row>
    <row r="2" spans="1:7" ht="12.75" customHeight="1">
      <c r="A2" s="634"/>
      <c r="B2" s="635" t="s">
        <v>102</v>
      </c>
      <c r="C2" s="636" t="s">
        <v>45</v>
      </c>
      <c r="D2" s="637" t="s">
        <v>31</v>
      </c>
      <c r="E2" s="638"/>
      <c r="F2" s="638"/>
      <c r="G2" s="638"/>
    </row>
    <row r="3" spans="1:9" ht="11.25" customHeight="1">
      <c r="A3" s="634"/>
      <c r="B3" s="639" t="s">
        <v>46</v>
      </c>
      <c r="C3" s="640"/>
      <c r="D3" s="641"/>
      <c r="E3" s="638"/>
      <c r="F3" s="638"/>
      <c r="G3" s="638"/>
      <c r="I3" s="100"/>
    </row>
    <row r="4" spans="1:7" ht="30.75" customHeight="1">
      <c r="A4" s="634"/>
      <c r="B4" s="635" t="s">
        <v>60</v>
      </c>
      <c r="C4" s="636" t="s">
        <v>45</v>
      </c>
      <c r="D4" s="637" t="s">
        <v>12</v>
      </c>
      <c r="E4" s="638"/>
      <c r="F4" s="638"/>
      <c r="G4" s="638"/>
    </row>
    <row r="5" spans="1:7" ht="15.75" customHeight="1">
      <c r="A5" s="642"/>
      <c r="B5" s="639" t="s">
        <v>47</v>
      </c>
      <c r="C5" s="643"/>
      <c r="D5" s="644"/>
      <c r="E5" s="645"/>
      <c r="F5" s="646"/>
      <c r="G5" s="646"/>
    </row>
    <row r="6" spans="1:7" ht="12" customHeight="1">
      <c r="A6" s="647"/>
      <c r="B6" s="648"/>
      <c r="C6" s="649"/>
      <c r="D6" s="648"/>
      <c r="E6" s="647"/>
      <c r="F6" s="648"/>
      <c r="G6" s="648"/>
    </row>
    <row r="7" spans="1:7" ht="12.75">
      <c r="A7" s="1259" t="s">
        <v>48</v>
      </c>
      <c r="B7" s="1254" t="s">
        <v>49</v>
      </c>
      <c r="C7" s="1254" t="s">
        <v>50</v>
      </c>
      <c r="D7" s="1254" t="s">
        <v>187</v>
      </c>
      <c r="E7" s="1254" t="s">
        <v>51</v>
      </c>
      <c r="F7" s="1256" t="s">
        <v>72</v>
      </c>
      <c r="G7" s="1254" t="s">
        <v>101</v>
      </c>
    </row>
    <row r="8" spans="1:9" ht="12.75">
      <c r="A8" s="1260"/>
      <c r="B8" s="1259"/>
      <c r="C8" s="1255" t="s">
        <v>37</v>
      </c>
      <c r="D8" s="1255" t="s">
        <v>52</v>
      </c>
      <c r="E8" s="1255"/>
      <c r="F8" s="1257"/>
      <c r="G8" s="1258"/>
      <c r="I8" s="100"/>
    </row>
    <row r="9" spans="1:7" ht="12.75">
      <c r="A9" s="650" t="s">
        <v>59</v>
      </c>
      <c r="B9" s="608" t="s">
        <v>53</v>
      </c>
      <c r="C9" s="651"/>
      <c r="D9" s="610"/>
      <c r="E9" s="609"/>
      <c r="F9" s="610"/>
      <c r="G9" s="609"/>
    </row>
    <row r="10" spans="1:7" ht="12.75">
      <c r="A10" s="602"/>
      <c r="B10" s="611" t="s">
        <v>54</v>
      </c>
      <c r="C10" s="603"/>
      <c r="D10" s="652"/>
      <c r="E10" s="653"/>
      <c r="F10" s="652"/>
      <c r="G10" s="654"/>
    </row>
    <row r="11" spans="1:7" ht="15.75" customHeight="1">
      <c r="A11" s="602"/>
      <c r="B11" s="621" t="s">
        <v>199</v>
      </c>
      <c r="C11" s="688" t="s">
        <v>75</v>
      </c>
      <c r="D11" s="688" t="s">
        <v>196</v>
      </c>
      <c r="E11" s="689" t="s">
        <v>197</v>
      </c>
      <c r="F11" s="688" t="s">
        <v>197</v>
      </c>
      <c r="G11" s="690" t="s">
        <v>197</v>
      </c>
    </row>
    <row r="12" spans="1:7" ht="25.5">
      <c r="A12" s="602"/>
      <c r="B12" s="626" t="s">
        <v>240</v>
      </c>
      <c r="C12" s="688" t="s">
        <v>189</v>
      </c>
      <c r="D12" s="604">
        <v>84.3</v>
      </c>
      <c r="E12" s="604">
        <v>72.3</v>
      </c>
      <c r="F12" s="605">
        <v>74.5</v>
      </c>
      <c r="G12" s="606">
        <v>75</v>
      </c>
    </row>
    <row r="13" spans="1:7" ht="12.75">
      <c r="A13" s="602"/>
      <c r="B13" s="613" t="s">
        <v>200</v>
      </c>
      <c r="C13" s="688" t="s">
        <v>76</v>
      </c>
      <c r="D13" s="612">
        <v>96.6</v>
      </c>
      <c r="E13" s="604">
        <v>96.8</v>
      </c>
      <c r="F13" s="604">
        <v>96.8</v>
      </c>
      <c r="G13" s="604">
        <v>97</v>
      </c>
    </row>
    <row r="14" spans="1:9" ht="38.25">
      <c r="A14" s="602"/>
      <c r="B14" s="627" t="s">
        <v>241</v>
      </c>
      <c r="C14" s="688" t="s">
        <v>148</v>
      </c>
      <c r="D14" s="604">
        <v>23.2</v>
      </c>
      <c r="E14" s="604">
        <v>38.9</v>
      </c>
      <c r="F14" s="605">
        <v>39.8</v>
      </c>
      <c r="G14" s="604">
        <v>40.7</v>
      </c>
      <c r="H14" s="628"/>
      <c r="I14" s="100"/>
    </row>
    <row r="15" spans="1:7" ht="14.25" customHeight="1">
      <c r="A15" s="674"/>
      <c r="B15" s="691" t="s">
        <v>210</v>
      </c>
      <c r="C15" s="688" t="s">
        <v>198</v>
      </c>
      <c r="D15" s="605">
        <v>30.76</v>
      </c>
      <c r="E15" s="604">
        <v>30.76</v>
      </c>
      <c r="F15" s="605">
        <v>30.76</v>
      </c>
      <c r="G15" s="604">
        <v>30.76</v>
      </c>
    </row>
    <row r="16" spans="1:9" ht="16.5" customHeight="1">
      <c r="A16" s="602"/>
      <c r="B16" s="611" t="s">
        <v>147</v>
      </c>
      <c r="C16" s="655"/>
      <c r="D16" s="605"/>
      <c r="E16" s="604"/>
      <c r="F16" s="605"/>
      <c r="G16" s="656"/>
      <c r="I16" s="100"/>
    </row>
    <row r="17" spans="1:7" ht="25.5">
      <c r="A17" s="602"/>
      <c r="B17" s="691" t="s">
        <v>201</v>
      </c>
      <c r="C17" s="603" t="s">
        <v>77</v>
      </c>
      <c r="D17" s="604">
        <v>22.3</v>
      </c>
      <c r="E17" s="604">
        <v>10.6</v>
      </c>
      <c r="F17" s="604">
        <v>5.3</v>
      </c>
      <c r="G17" s="604">
        <v>5.3</v>
      </c>
    </row>
    <row r="18" spans="1:7" ht="15.75" customHeight="1">
      <c r="A18" s="602"/>
      <c r="B18" s="691" t="s">
        <v>202</v>
      </c>
      <c r="C18" s="603" t="s">
        <v>78</v>
      </c>
      <c r="D18" s="604">
        <v>11.7</v>
      </c>
      <c r="E18" s="604">
        <v>10.6</v>
      </c>
      <c r="F18" s="604">
        <v>8.5</v>
      </c>
      <c r="G18" s="604">
        <v>6.3</v>
      </c>
    </row>
    <row r="19" spans="1:7" ht="12.75">
      <c r="A19" s="602"/>
      <c r="B19" s="614" t="s">
        <v>56</v>
      </c>
      <c r="C19" s="622"/>
      <c r="D19" s="656"/>
      <c r="E19" s="656"/>
      <c r="F19" s="657"/>
      <c r="G19" s="617"/>
    </row>
    <row r="20" spans="1:7" ht="12.75">
      <c r="A20" s="602"/>
      <c r="B20" s="615" t="s">
        <v>54</v>
      </c>
      <c r="C20" s="622"/>
      <c r="D20" s="618"/>
      <c r="E20" s="658"/>
      <c r="F20" s="659"/>
      <c r="G20" s="658"/>
    </row>
    <row r="21" spans="1:7" ht="12.75">
      <c r="A21" s="602"/>
      <c r="B21" s="611" t="s">
        <v>57</v>
      </c>
      <c r="C21" s="622"/>
      <c r="D21" s="618"/>
      <c r="E21" s="658"/>
      <c r="F21" s="659"/>
      <c r="G21" s="658"/>
    </row>
    <row r="22" spans="1:7" ht="13.5" customHeight="1">
      <c r="A22" s="660"/>
      <c r="B22" s="616" t="s">
        <v>203</v>
      </c>
      <c r="C22" s="623" t="s">
        <v>61</v>
      </c>
      <c r="D22" s="661">
        <v>6356</v>
      </c>
      <c r="E22" s="658">
        <v>6840</v>
      </c>
      <c r="F22" s="659">
        <v>6850</v>
      </c>
      <c r="G22" s="658">
        <v>6860</v>
      </c>
    </row>
    <row r="23" spans="1:7" ht="13.5" customHeight="1">
      <c r="A23" s="660"/>
      <c r="B23" s="616" t="s">
        <v>242</v>
      </c>
      <c r="C23" s="623" t="s">
        <v>73</v>
      </c>
      <c r="D23" s="661" t="s">
        <v>192</v>
      </c>
      <c r="E23" s="658" t="s">
        <v>104</v>
      </c>
      <c r="F23" s="659" t="s">
        <v>105</v>
      </c>
      <c r="G23" s="658" t="s">
        <v>106</v>
      </c>
    </row>
    <row r="24" spans="1:7" ht="13.5" customHeight="1">
      <c r="A24" s="660"/>
      <c r="B24" s="616" t="s">
        <v>204</v>
      </c>
      <c r="C24" s="623" t="s">
        <v>215</v>
      </c>
      <c r="D24" s="665">
        <v>20541</v>
      </c>
      <c r="E24" s="658">
        <f>7310+10630</f>
        <v>17940</v>
      </c>
      <c r="F24" s="658">
        <f>7300+10600</f>
        <v>17900</v>
      </c>
      <c r="G24" s="658">
        <f>7300+10550</f>
        <v>17850</v>
      </c>
    </row>
    <row r="25" spans="1:7" ht="13.5" customHeight="1">
      <c r="A25" s="660"/>
      <c r="B25" s="616" t="s">
        <v>205</v>
      </c>
      <c r="C25" s="623" t="s">
        <v>149</v>
      </c>
      <c r="D25" s="661">
        <v>373</v>
      </c>
      <c r="E25" s="658">
        <v>480</v>
      </c>
      <c r="F25" s="659">
        <v>480</v>
      </c>
      <c r="G25" s="658">
        <v>480</v>
      </c>
    </row>
    <row r="26" spans="1:7" ht="13.5" customHeight="1">
      <c r="A26" s="602"/>
      <c r="B26" s="621" t="s">
        <v>206</v>
      </c>
      <c r="C26" s="623" t="s">
        <v>150</v>
      </c>
      <c r="D26" s="662">
        <v>8836</v>
      </c>
      <c r="E26" s="663">
        <v>7960</v>
      </c>
      <c r="F26" s="664">
        <v>8170</v>
      </c>
      <c r="G26" s="663">
        <v>8180</v>
      </c>
    </row>
    <row r="27" spans="1:7" ht="12.75">
      <c r="A27" s="602"/>
      <c r="B27" s="666" t="s">
        <v>58</v>
      </c>
      <c r="C27" s="692"/>
      <c r="D27" s="618"/>
      <c r="E27" s="658"/>
      <c r="F27" s="659"/>
      <c r="G27" s="658"/>
    </row>
    <row r="28" spans="1:7" ht="25.5">
      <c r="A28" s="660"/>
      <c r="B28" s="621" t="s">
        <v>107</v>
      </c>
      <c r="C28" s="667" t="s">
        <v>62</v>
      </c>
      <c r="D28" s="661">
        <v>7000</v>
      </c>
      <c r="E28" s="658">
        <v>4000</v>
      </c>
      <c r="F28" s="659">
        <v>4500</v>
      </c>
      <c r="G28" s="658">
        <v>5000</v>
      </c>
    </row>
    <row r="29" spans="1:7" ht="12.75">
      <c r="A29" s="660"/>
      <c r="B29" s="621" t="s">
        <v>108</v>
      </c>
      <c r="C29" s="667" t="s">
        <v>103</v>
      </c>
      <c r="D29" s="661">
        <v>72</v>
      </c>
      <c r="E29" s="658">
        <v>120</v>
      </c>
      <c r="F29" s="659">
        <v>125</v>
      </c>
      <c r="G29" s="658">
        <v>120</v>
      </c>
    </row>
    <row r="30" spans="1:7" s="672" customFormat="1" ht="28.5" customHeight="1">
      <c r="A30" s="668"/>
      <c r="B30" s="669" t="s">
        <v>207</v>
      </c>
      <c r="C30" s="667" t="s">
        <v>208</v>
      </c>
      <c r="D30" s="607">
        <v>77.2</v>
      </c>
      <c r="E30" s="658">
        <v>77.2</v>
      </c>
      <c r="F30" s="670">
        <v>84.92</v>
      </c>
      <c r="G30" s="671">
        <v>84.92</v>
      </c>
    </row>
    <row r="31" spans="1:7" ht="12.75">
      <c r="A31" s="694"/>
      <c r="B31" s="683" t="s">
        <v>193</v>
      </c>
      <c r="C31" s="684" t="s">
        <v>151</v>
      </c>
      <c r="D31" s="695">
        <v>140</v>
      </c>
      <c r="E31" s="696">
        <v>115</v>
      </c>
      <c r="F31" s="695">
        <v>120</v>
      </c>
      <c r="G31" s="696">
        <v>120</v>
      </c>
    </row>
    <row r="32" spans="1:7" ht="12.75">
      <c r="A32" s="697"/>
      <c r="B32" s="698" t="s">
        <v>55</v>
      </c>
      <c r="C32" s="699"/>
      <c r="D32" s="700"/>
      <c r="E32" s="685"/>
      <c r="F32" s="686"/>
      <c r="G32" s="685"/>
    </row>
    <row r="33" spans="1:7" ht="12.75">
      <c r="A33" s="602"/>
      <c r="B33" s="666" t="s">
        <v>57</v>
      </c>
      <c r="C33" s="622"/>
      <c r="D33" s="618"/>
      <c r="E33" s="658"/>
      <c r="F33" s="659"/>
      <c r="G33" s="658"/>
    </row>
    <row r="34" spans="1:7" ht="12.75">
      <c r="A34" s="674"/>
      <c r="B34" s="675" t="s">
        <v>209</v>
      </c>
      <c r="C34" s="623" t="s">
        <v>63</v>
      </c>
      <c r="D34" s="603">
        <v>3</v>
      </c>
      <c r="E34" s="676">
        <v>5</v>
      </c>
      <c r="F34" s="676">
        <v>0</v>
      </c>
      <c r="G34" s="676">
        <v>1</v>
      </c>
    </row>
    <row r="35" spans="1:7" ht="12.75">
      <c r="A35" s="674"/>
      <c r="B35" s="939" t="s">
        <v>212</v>
      </c>
      <c r="C35" s="623" t="s">
        <v>64</v>
      </c>
      <c r="D35" s="603">
        <v>1</v>
      </c>
      <c r="E35" s="930">
        <f>1+3</f>
        <v>4</v>
      </c>
      <c r="F35" s="930">
        <v>3</v>
      </c>
      <c r="G35" s="676"/>
    </row>
    <row r="36" spans="1:7" ht="12.75">
      <c r="A36" s="674"/>
      <c r="B36" s="675" t="s">
        <v>211</v>
      </c>
      <c r="C36" s="623" t="s">
        <v>213</v>
      </c>
      <c r="D36" s="603">
        <v>1</v>
      </c>
      <c r="E36" s="693">
        <v>1</v>
      </c>
      <c r="F36" s="676">
        <v>1</v>
      </c>
      <c r="G36" s="676"/>
    </row>
    <row r="37" spans="1:7" ht="12.75">
      <c r="A37" s="677"/>
      <c r="B37" s="624" t="s">
        <v>58</v>
      </c>
      <c r="C37" s="678"/>
      <c r="D37" s="625"/>
      <c r="E37" s="679"/>
      <c r="F37" s="625"/>
      <c r="G37" s="625"/>
    </row>
    <row r="38" spans="1:7" ht="12.75">
      <c r="A38" s="660"/>
      <c r="B38" s="616" t="s">
        <v>243</v>
      </c>
      <c r="C38" s="623" t="s">
        <v>155</v>
      </c>
      <c r="D38" s="661">
        <v>1</v>
      </c>
      <c r="E38" s="658">
        <v>3</v>
      </c>
      <c r="F38" s="659">
        <v>3</v>
      </c>
      <c r="G38" s="658">
        <v>3</v>
      </c>
    </row>
    <row r="39" spans="1:7" ht="25.5">
      <c r="A39" s="680"/>
      <c r="B39" s="621" t="s">
        <v>214</v>
      </c>
      <c r="C39" s="623" t="s">
        <v>156</v>
      </c>
      <c r="D39" s="618"/>
      <c r="E39" s="617">
        <v>1</v>
      </c>
      <c r="F39" s="618"/>
      <c r="G39" s="617"/>
    </row>
    <row r="40" spans="1:7" ht="12.75">
      <c r="A40" s="680"/>
      <c r="B40" s="621" t="s">
        <v>146</v>
      </c>
      <c r="C40" s="623" t="s">
        <v>157</v>
      </c>
      <c r="D40" s="618"/>
      <c r="E40" s="658">
        <v>305</v>
      </c>
      <c r="F40" s="658">
        <v>330</v>
      </c>
      <c r="G40" s="658">
        <v>150</v>
      </c>
    </row>
    <row r="41" spans="1:7" ht="12.75">
      <c r="A41" s="674"/>
      <c r="B41" s="624" t="s">
        <v>87</v>
      </c>
      <c r="C41" s="623"/>
      <c r="D41" s="603"/>
      <c r="E41" s="676"/>
      <c r="F41" s="676"/>
      <c r="G41" s="676"/>
    </row>
    <row r="42" spans="1:7" ht="12.75">
      <c r="A42" s="680"/>
      <c r="B42" s="621" t="s">
        <v>109</v>
      </c>
      <c r="C42" s="667" t="s">
        <v>152</v>
      </c>
      <c r="D42" s="662">
        <v>7</v>
      </c>
      <c r="E42" s="673">
        <v>0</v>
      </c>
      <c r="F42" s="662">
        <v>6</v>
      </c>
      <c r="G42" s="617">
        <v>8</v>
      </c>
    </row>
    <row r="43" spans="1:7" ht="25.5">
      <c r="A43" s="602"/>
      <c r="B43" s="681" t="s">
        <v>190</v>
      </c>
      <c r="C43" s="667" t="s">
        <v>153</v>
      </c>
      <c r="D43" s="662">
        <v>0.99</v>
      </c>
      <c r="E43" s="663">
        <v>0.99</v>
      </c>
      <c r="F43" s="664">
        <v>1.08</v>
      </c>
      <c r="G43" s="663">
        <v>1.08</v>
      </c>
    </row>
    <row r="44" spans="1:7" ht="12.75">
      <c r="A44" s="682"/>
      <c r="B44" s="683" t="s">
        <v>191</v>
      </c>
      <c r="C44" s="684" t="s">
        <v>154</v>
      </c>
      <c r="D44" s="620">
        <v>576</v>
      </c>
      <c r="E44" s="619">
        <v>332</v>
      </c>
      <c r="F44" s="620">
        <v>350</v>
      </c>
      <c r="G44" s="619">
        <v>350</v>
      </c>
    </row>
    <row r="45" spans="2:4" ht="12.75">
      <c r="B45" s="100"/>
      <c r="C45" s="100"/>
      <c r="D45" s="100"/>
    </row>
    <row r="46" spans="2:4" ht="12.75">
      <c r="B46" s="100"/>
      <c r="C46" s="100"/>
      <c r="D46" s="100"/>
    </row>
    <row r="47" spans="2:4" ht="12.75">
      <c r="B47" s="100"/>
      <c r="C47" s="100"/>
      <c r="D47" s="100"/>
    </row>
  </sheetData>
  <sheetProtection/>
  <mergeCells count="7">
    <mergeCell ref="E7:E8"/>
    <mergeCell ref="F7:F8"/>
    <mergeCell ref="G7:G8"/>
    <mergeCell ref="A7:A8"/>
    <mergeCell ref="B7:B8"/>
    <mergeCell ref="C7:C8"/>
    <mergeCell ref="D7:D8"/>
  </mergeCells>
  <printOptions horizontalCentered="1"/>
  <pageMargins left="0.2362204724409449" right="0.2362204724409449" top="0.9448818897637796" bottom="0.7480314960629921" header="0.31496062992125984" footer="0.31496062992125984"/>
  <pageSetup fitToHeight="0" fitToWidth="1" horizontalDpi="600" verticalDpi="600" orientation="landscape" paperSize="9" r:id="rId3"/>
  <colBreaks count="1" manualBreakCount="1">
    <brk id="3" max="65535" man="1"/>
  </colBreaks>
  <legacyDrawing r:id="rId2"/>
</worksheet>
</file>

<file path=xl/worksheets/sheet4.xml><?xml version="1.0" encoding="utf-8"?>
<worksheet xmlns="http://schemas.openxmlformats.org/spreadsheetml/2006/main" xmlns:r="http://schemas.openxmlformats.org/officeDocument/2006/relationships">
  <dimension ref="A2:V15"/>
  <sheetViews>
    <sheetView zoomScalePageLayoutView="0" workbookViewId="0" topLeftCell="A1">
      <selection activeCell="A1" sqref="A1"/>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710937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7.7109375" style="101" customWidth="1"/>
    <col min="18" max="19" width="7.57421875" style="101" customWidth="1"/>
    <col min="20" max="20" width="7.421875" style="101" customWidth="1"/>
    <col min="21" max="21" width="9.00390625" style="101" customWidth="1"/>
    <col min="22" max="22" width="9.8515625" style="101" customWidth="1"/>
    <col min="23" max="16384" width="9.140625" style="37" customWidth="1"/>
  </cols>
  <sheetData>
    <row r="1" ht="13.5" thickBot="1"/>
    <row r="2" spans="1:22" ht="17.25" customHeight="1" thickBot="1">
      <c r="A2" s="340" t="s">
        <v>29</v>
      </c>
      <c r="B2" s="239" t="s">
        <v>25</v>
      </c>
      <c r="C2" s="1038" t="s">
        <v>128</v>
      </c>
      <c r="D2" s="1125"/>
      <c r="E2" s="1038"/>
      <c r="F2" s="1038"/>
      <c r="G2" s="1038"/>
      <c r="H2" s="1125"/>
      <c r="I2" s="1125"/>
      <c r="J2" s="1125"/>
      <c r="K2" s="1125"/>
      <c r="L2" s="1125"/>
      <c r="M2" s="1125"/>
      <c r="N2" s="1125"/>
      <c r="O2" s="1125"/>
      <c r="P2" s="1125"/>
      <c r="Q2" s="1125"/>
      <c r="R2" s="1125"/>
      <c r="S2" s="1125"/>
      <c r="T2" s="1125"/>
      <c r="U2" s="1125"/>
      <c r="V2" s="1126"/>
    </row>
    <row r="3" spans="1:22" ht="26.25" customHeight="1">
      <c r="A3" s="808" t="s">
        <v>25</v>
      </c>
      <c r="B3" s="782" t="s">
        <v>25</v>
      </c>
      <c r="C3" s="994" t="s">
        <v>25</v>
      </c>
      <c r="D3" s="1059" t="s">
        <v>249</v>
      </c>
      <c r="E3" s="965"/>
      <c r="F3" s="1046" t="s">
        <v>26</v>
      </c>
      <c r="G3" s="1040" t="s">
        <v>92</v>
      </c>
      <c r="H3" s="141" t="s">
        <v>27</v>
      </c>
      <c r="I3" s="52">
        <f>J3+L3</f>
        <v>30337</v>
      </c>
      <c r="J3" s="9">
        <v>30337</v>
      </c>
      <c r="K3" s="9">
        <v>20582.7</v>
      </c>
      <c r="L3" s="44"/>
      <c r="M3" s="11">
        <f>N3+P3</f>
        <v>29760.6</v>
      </c>
      <c r="N3" s="12">
        <v>29760.6</v>
      </c>
      <c r="O3" s="12">
        <v>19676.4</v>
      </c>
      <c r="P3" s="10"/>
      <c r="Q3" s="710">
        <f>R3+T3</f>
        <v>27641.1</v>
      </c>
      <c r="R3" s="755">
        <f>27641.1</f>
        <v>27641.1</v>
      </c>
      <c r="S3" s="711">
        <f>18680.4-15.2</f>
        <v>18665.2</v>
      </c>
      <c r="T3" s="712"/>
      <c r="U3" s="56">
        <v>29806</v>
      </c>
      <c r="V3" s="35">
        <v>29806</v>
      </c>
    </row>
    <row r="4" spans="1:22" ht="14.25" customHeight="1">
      <c r="A4" s="809"/>
      <c r="B4" s="783"/>
      <c r="C4" s="995"/>
      <c r="D4" s="1060"/>
      <c r="E4" s="966"/>
      <c r="F4" s="1047"/>
      <c r="G4" s="1041"/>
      <c r="H4" s="323" t="s">
        <v>30</v>
      </c>
      <c r="I4" s="525">
        <f>J4+L4</f>
        <v>15492</v>
      </c>
      <c r="J4" s="17">
        <v>15413.4</v>
      </c>
      <c r="K4" s="17">
        <v>11297.3</v>
      </c>
      <c r="L4" s="526">
        <v>78.6</v>
      </c>
      <c r="M4" s="18">
        <f>P4+N4</f>
        <v>17235.5</v>
      </c>
      <c r="N4" s="23">
        <v>17154.1</v>
      </c>
      <c r="O4" s="23">
        <v>12587.6</v>
      </c>
      <c r="P4" s="503">
        <v>81.4</v>
      </c>
      <c r="Q4" s="756">
        <f>R4+T4</f>
        <v>17284.8</v>
      </c>
      <c r="R4" s="757">
        <v>17236</v>
      </c>
      <c r="S4" s="757">
        <v>12620.5</v>
      </c>
      <c r="T4" s="758">
        <v>48.8</v>
      </c>
      <c r="U4" s="39">
        <v>17227</v>
      </c>
      <c r="V4" s="338">
        <v>17227</v>
      </c>
    </row>
    <row r="5" spans="1:22" ht="14.25" customHeight="1">
      <c r="A5" s="809"/>
      <c r="B5" s="783"/>
      <c r="C5" s="995"/>
      <c r="D5" s="1060"/>
      <c r="E5" s="966"/>
      <c r="F5" s="1047"/>
      <c r="G5" s="1041"/>
      <c r="H5" s="139" t="s">
        <v>42</v>
      </c>
      <c r="I5" s="226">
        <f>J5+L5</f>
        <v>9127.6</v>
      </c>
      <c r="J5" s="22">
        <v>9127.6</v>
      </c>
      <c r="K5" s="22">
        <v>1140</v>
      </c>
      <c r="L5" s="82"/>
      <c r="M5" s="30">
        <f>N5+P5</f>
        <v>9317</v>
      </c>
      <c r="N5" s="23">
        <v>9317</v>
      </c>
      <c r="O5" s="23">
        <v>1147.8</v>
      </c>
      <c r="P5" s="29"/>
      <c r="Q5" s="759">
        <f>R5+T5</f>
        <v>9299.6</v>
      </c>
      <c r="R5" s="760">
        <v>9299.6</v>
      </c>
      <c r="S5" s="760">
        <v>1162.4</v>
      </c>
      <c r="T5" s="761"/>
      <c r="U5" s="39">
        <v>9229</v>
      </c>
      <c r="V5" s="200">
        <v>9229</v>
      </c>
    </row>
    <row r="6" spans="1:22" ht="14.25" customHeight="1" thickBot="1">
      <c r="A6" s="809"/>
      <c r="B6" s="783"/>
      <c r="C6" s="995"/>
      <c r="D6" s="1060"/>
      <c r="E6" s="966"/>
      <c r="F6" s="1047"/>
      <c r="G6" s="1041"/>
      <c r="H6" s="136" t="s">
        <v>86</v>
      </c>
      <c r="I6" s="226">
        <f>J6+L6</f>
        <v>325.6</v>
      </c>
      <c r="J6" s="28">
        <v>325.6</v>
      </c>
      <c r="K6" s="28"/>
      <c r="L6" s="82"/>
      <c r="M6" s="30"/>
      <c r="N6" s="31"/>
      <c r="O6" s="31"/>
      <c r="P6" s="29"/>
      <c r="Q6" s="762"/>
      <c r="R6" s="763"/>
      <c r="S6" s="763"/>
      <c r="T6" s="764"/>
      <c r="U6" s="225"/>
      <c r="V6" s="225"/>
    </row>
    <row r="7" spans="1:22" ht="30" customHeight="1" thickBot="1">
      <c r="A7" s="810"/>
      <c r="B7" s="784"/>
      <c r="C7" s="754"/>
      <c r="D7" s="807" t="s">
        <v>250</v>
      </c>
      <c r="E7" s="767"/>
      <c r="F7" s="714"/>
      <c r="G7" s="768"/>
      <c r="H7" s="117" t="s">
        <v>27</v>
      </c>
      <c r="I7" s="213"/>
      <c r="J7" s="73"/>
      <c r="K7" s="73"/>
      <c r="L7" s="119"/>
      <c r="M7" s="149"/>
      <c r="N7" s="119"/>
      <c r="O7" s="73"/>
      <c r="P7" s="119"/>
      <c r="Q7" s="785">
        <f>R7+T7</f>
        <v>7.4</v>
      </c>
      <c r="R7" s="786"/>
      <c r="S7" s="786"/>
      <c r="T7" s="787">
        <v>7.4</v>
      </c>
      <c r="U7" s="115"/>
      <c r="V7" s="115"/>
    </row>
    <row r="8" spans="1:22" ht="13.5" customHeight="1" thickBot="1">
      <c r="A8" s="1261"/>
      <c r="B8" s="1263"/>
      <c r="C8" s="995"/>
      <c r="D8" s="1066" t="s">
        <v>251</v>
      </c>
      <c r="E8" s="170"/>
      <c r="F8" s="284"/>
      <c r="G8" s="769"/>
      <c r="H8" s="796" t="s">
        <v>27</v>
      </c>
      <c r="I8" s="797"/>
      <c r="J8" s="798"/>
      <c r="K8" s="799"/>
      <c r="L8" s="800"/>
      <c r="M8" s="797"/>
      <c r="N8" s="798"/>
      <c r="O8" s="799"/>
      <c r="P8" s="800"/>
      <c r="Q8" s="801">
        <f>R8+T8</f>
        <v>7.8</v>
      </c>
      <c r="R8" s="802">
        <v>7.8</v>
      </c>
      <c r="S8" s="803"/>
      <c r="T8" s="804"/>
      <c r="U8" s="805"/>
      <c r="V8" s="806"/>
    </row>
    <row r="9" spans="1:22" ht="14.25" customHeight="1" thickBot="1">
      <c r="A9" s="1262"/>
      <c r="B9" s="1264"/>
      <c r="C9" s="1127"/>
      <c r="D9" s="1068"/>
      <c r="E9" s="715"/>
      <c r="F9" s="285"/>
      <c r="G9" s="271"/>
      <c r="H9" s="788" t="s">
        <v>28</v>
      </c>
      <c r="I9" s="789">
        <f>SUM(I3:I8)</f>
        <v>55282.2</v>
      </c>
      <c r="J9" s="790">
        <f>SUM(J3:J8)</f>
        <v>55203.6</v>
      </c>
      <c r="K9" s="790">
        <f>SUM(K3:K8)</f>
        <v>33020</v>
      </c>
      <c r="L9" s="791">
        <f>SUM(L4:L8)</f>
        <v>78.6</v>
      </c>
      <c r="M9" s="792">
        <f>SUM(M3:M8)</f>
        <v>56313.1</v>
      </c>
      <c r="N9" s="793">
        <f>SUM(N3:N8)</f>
        <v>56231.7</v>
      </c>
      <c r="O9" s="790">
        <f>SUM(O3:O8)</f>
        <v>33411.8</v>
      </c>
      <c r="P9" s="791">
        <f>SUM(P4:P8)</f>
        <v>81.4</v>
      </c>
      <c r="Q9" s="789">
        <f aca="true" t="shared" si="0" ref="Q9:V9">SUM(Q3:Q8)</f>
        <v>54240.7</v>
      </c>
      <c r="R9" s="790">
        <f t="shared" si="0"/>
        <v>54184.5</v>
      </c>
      <c r="S9" s="790">
        <f t="shared" si="0"/>
        <v>32448.100000000002</v>
      </c>
      <c r="T9" s="791">
        <f t="shared" si="0"/>
        <v>56.199999999999996</v>
      </c>
      <c r="U9" s="794">
        <f t="shared" si="0"/>
        <v>56262</v>
      </c>
      <c r="V9" s="795">
        <f t="shared" si="0"/>
        <v>56262</v>
      </c>
    </row>
    <row r="10" spans="4:22" ht="12.75">
      <c r="D10" s="37"/>
      <c r="E10" s="37"/>
      <c r="F10" s="37"/>
      <c r="G10" s="262"/>
      <c r="H10" s="716" t="s">
        <v>27</v>
      </c>
      <c r="I10" s="717">
        <f aca="true" t="shared" si="1" ref="I10:K12">I3</f>
        <v>30337</v>
      </c>
      <c r="J10" s="718">
        <f t="shared" si="1"/>
        <v>30337</v>
      </c>
      <c r="K10" s="718">
        <f t="shared" si="1"/>
        <v>20582.7</v>
      </c>
      <c r="L10" s="719"/>
      <c r="M10" s="720">
        <f aca="true" t="shared" si="2" ref="M10:O11">M3</f>
        <v>29760.6</v>
      </c>
      <c r="N10" s="718">
        <f t="shared" si="2"/>
        <v>29760.6</v>
      </c>
      <c r="O10" s="718">
        <f t="shared" si="2"/>
        <v>19676.4</v>
      </c>
      <c r="P10" s="721"/>
      <c r="Q10" s="770">
        <f>Q8+Q7+Q3</f>
        <v>27656.3</v>
      </c>
      <c r="R10" s="771">
        <f>R8+R3</f>
        <v>27648.899999999998</v>
      </c>
      <c r="S10" s="771">
        <f>S3</f>
        <v>18665.2</v>
      </c>
      <c r="T10" s="772">
        <f>T7</f>
        <v>7.4</v>
      </c>
      <c r="U10" s="722">
        <f aca="true" t="shared" si="3" ref="U10:V12">U3</f>
        <v>29806</v>
      </c>
      <c r="V10" s="723">
        <f t="shared" si="3"/>
        <v>29806</v>
      </c>
    </row>
    <row r="11" spans="4:22" ht="12.75">
      <c r="D11" s="37"/>
      <c r="E11" s="37"/>
      <c r="F11" s="37"/>
      <c r="G11" s="262"/>
      <c r="H11" s="724" t="s">
        <v>30</v>
      </c>
      <c r="I11" s="725">
        <f t="shared" si="1"/>
        <v>15492</v>
      </c>
      <c r="J11" s="726">
        <f t="shared" si="1"/>
        <v>15413.4</v>
      </c>
      <c r="K11" s="726">
        <f t="shared" si="1"/>
        <v>11297.3</v>
      </c>
      <c r="L11" s="727">
        <f>L4</f>
        <v>78.6</v>
      </c>
      <c r="M11" s="725">
        <f t="shared" si="2"/>
        <v>17235.5</v>
      </c>
      <c r="N11" s="726">
        <f t="shared" si="2"/>
        <v>17154.1</v>
      </c>
      <c r="O11" s="726">
        <f t="shared" si="2"/>
        <v>12587.6</v>
      </c>
      <c r="P11" s="728">
        <f>P4</f>
        <v>81.4</v>
      </c>
      <c r="Q11" s="773">
        <f>Q4</f>
        <v>17284.8</v>
      </c>
      <c r="R11" s="774">
        <f>R4</f>
        <v>17236</v>
      </c>
      <c r="S11" s="774">
        <f>S4</f>
        <v>12620.5</v>
      </c>
      <c r="T11" s="775">
        <f>T4</f>
        <v>48.8</v>
      </c>
      <c r="U11" s="729">
        <f t="shared" si="3"/>
        <v>17227</v>
      </c>
      <c r="V11" s="730">
        <f t="shared" si="3"/>
        <v>17227</v>
      </c>
    </row>
    <row r="12" spans="4:22" ht="12.75">
      <c r="D12" s="37"/>
      <c r="E12" s="37"/>
      <c r="F12" s="37"/>
      <c r="G12" s="262"/>
      <c r="H12" s="731" t="s">
        <v>42</v>
      </c>
      <c r="I12" s="732">
        <f t="shared" si="1"/>
        <v>9127.6</v>
      </c>
      <c r="J12" s="733">
        <f t="shared" si="1"/>
        <v>9127.6</v>
      </c>
      <c r="K12" s="733">
        <f t="shared" si="1"/>
        <v>1140</v>
      </c>
      <c r="L12" s="734"/>
      <c r="M12" s="725">
        <f>N12+P12</f>
        <v>9317</v>
      </c>
      <c r="N12" s="733">
        <f>N5</f>
        <v>9317</v>
      </c>
      <c r="O12" s="733">
        <f>O5</f>
        <v>1147.8</v>
      </c>
      <c r="P12" s="735"/>
      <c r="Q12" s="776">
        <f>Q5</f>
        <v>9299.6</v>
      </c>
      <c r="R12" s="777">
        <f>R5</f>
        <v>9299.6</v>
      </c>
      <c r="S12" s="777">
        <f>S5</f>
        <v>1162.4</v>
      </c>
      <c r="T12" s="778"/>
      <c r="U12" s="736">
        <f t="shared" si="3"/>
        <v>9229</v>
      </c>
      <c r="V12" s="737">
        <f t="shared" si="3"/>
        <v>9229</v>
      </c>
    </row>
    <row r="13" spans="4:22" ht="13.5" thickBot="1">
      <c r="D13" s="37"/>
      <c r="E13" s="37"/>
      <c r="F13" s="37"/>
      <c r="G13" s="262"/>
      <c r="H13" s="738" t="s">
        <v>86</v>
      </c>
      <c r="I13" s="739">
        <f>J13+L13</f>
        <v>325.6</v>
      </c>
      <c r="J13" s="740">
        <f>J6</f>
        <v>325.6</v>
      </c>
      <c r="K13" s="740"/>
      <c r="L13" s="741"/>
      <c r="M13" s="742"/>
      <c r="N13" s="733"/>
      <c r="O13" s="733"/>
      <c r="P13" s="735"/>
      <c r="Q13" s="779"/>
      <c r="R13" s="780"/>
      <c r="S13" s="780"/>
      <c r="T13" s="781"/>
      <c r="U13" s="743"/>
      <c r="V13" s="744"/>
    </row>
    <row r="14" spans="4:22" ht="13.5" thickBot="1">
      <c r="D14" s="37"/>
      <c r="E14" s="37"/>
      <c r="F14" s="37"/>
      <c r="G14" s="262"/>
      <c r="H14" s="745" t="s">
        <v>28</v>
      </c>
      <c r="I14" s="746">
        <f>SUM(I10:I13)</f>
        <v>55282.2</v>
      </c>
      <c r="J14" s="747">
        <f>SUM(J10:J13)</f>
        <v>55203.6</v>
      </c>
      <c r="K14" s="747">
        <f>SUM(K10:K13)</f>
        <v>33020</v>
      </c>
      <c r="L14" s="748">
        <f>SUM(L10:L13)</f>
        <v>78.6</v>
      </c>
      <c r="M14" s="749">
        <f>N14+P14</f>
        <v>56313.1</v>
      </c>
      <c r="N14" s="750">
        <f aca="true" t="shared" si="4" ref="N14:V14">SUM(N10:N13)</f>
        <v>56231.7</v>
      </c>
      <c r="O14" s="750">
        <f t="shared" si="4"/>
        <v>33411.8</v>
      </c>
      <c r="P14" s="751">
        <f t="shared" si="4"/>
        <v>81.4</v>
      </c>
      <c r="Q14" s="746">
        <f t="shared" si="4"/>
        <v>54240.7</v>
      </c>
      <c r="R14" s="747">
        <f t="shared" si="4"/>
        <v>54184.49999999999</v>
      </c>
      <c r="S14" s="747">
        <f t="shared" si="4"/>
        <v>32448.100000000002</v>
      </c>
      <c r="T14" s="748">
        <f t="shared" si="4"/>
        <v>56.199999999999996</v>
      </c>
      <c r="U14" s="752">
        <f t="shared" si="4"/>
        <v>56262</v>
      </c>
      <c r="V14" s="753">
        <f t="shared" si="4"/>
        <v>56262</v>
      </c>
    </row>
    <row r="15" ht="12.75">
      <c r="D15" s="37"/>
    </row>
  </sheetData>
  <sheetProtection/>
  <mergeCells count="10">
    <mergeCell ref="C2:V2"/>
    <mergeCell ref="C3:C6"/>
    <mergeCell ref="D3:D6"/>
    <mergeCell ref="E3:E6"/>
    <mergeCell ref="F3:F6"/>
    <mergeCell ref="G3:G6"/>
    <mergeCell ref="A8:A9"/>
    <mergeCell ref="B8:B9"/>
    <mergeCell ref="C8:C9"/>
    <mergeCell ref="D8:D9"/>
  </mergeCells>
  <printOptions/>
  <pageMargins left="0" right="0" top="0" bottom="0"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2:V47"/>
  <sheetViews>
    <sheetView zoomScalePageLayoutView="0" workbookViewId="0" topLeftCell="A1">
      <selection activeCell="A1" sqref="A1"/>
    </sheetView>
  </sheetViews>
  <sheetFormatPr defaultColWidth="9.140625" defaultRowHeight="12.75"/>
  <cols>
    <col min="1" max="3" width="2.421875" style="101" customWidth="1"/>
    <col min="4" max="4" width="34.8515625" style="101" customWidth="1"/>
    <col min="5" max="5" width="4.140625" style="101" customWidth="1"/>
    <col min="6" max="6" width="2.8515625" style="101" customWidth="1"/>
    <col min="7" max="7" width="3.00390625" style="264" customWidth="1"/>
    <col min="8" max="8" width="8.421875" style="127" customWidth="1"/>
    <col min="9" max="9" width="8.140625" style="101" customWidth="1"/>
    <col min="10" max="10" width="8.7109375" style="101" customWidth="1"/>
    <col min="11" max="11" width="8.140625" style="101" customWidth="1"/>
    <col min="12" max="12" width="7.421875" style="101" customWidth="1"/>
    <col min="13" max="13" width="8.421875" style="102" customWidth="1"/>
    <col min="14" max="14" width="8.7109375" style="102" customWidth="1"/>
    <col min="15" max="15" width="8.140625" style="102" customWidth="1"/>
    <col min="16" max="16" width="7.140625" style="102" customWidth="1"/>
    <col min="17" max="17" width="7.7109375" style="101" customWidth="1"/>
    <col min="18" max="18" width="5.00390625" style="101" customWidth="1"/>
    <col min="19" max="19" width="5.28125" style="101" customWidth="1"/>
    <col min="20" max="20" width="7.421875" style="101" customWidth="1"/>
    <col min="21" max="21" width="9.00390625" style="101" customWidth="1"/>
    <col min="22" max="22" width="9.8515625" style="101" customWidth="1"/>
    <col min="23" max="16384" width="9.140625" style="37" customWidth="1"/>
  </cols>
  <sheetData>
    <row r="1" ht="13.5" thickBot="1"/>
    <row r="2" spans="1:22" ht="17.25" customHeight="1" thickBot="1">
      <c r="A2" s="340" t="s">
        <v>29</v>
      </c>
      <c r="B2" s="239" t="s">
        <v>25</v>
      </c>
      <c r="C2" s="1038" t="s">
        <v>128</v>
      </c>
      <c r="D2" s="1125"/>
      <c r="E2" s="1038"/>
      <c r="F2" s="1038"/>
      <c r="G2" s="1038"/>
      <c r="H2" s="1125"/>
      <c r="I2" s="1125"/>
      <c r="J2" s="1125"/>
      <c r="K2" s="1125"/>
      <c r="L2" s="1125"/>
      <c r="M2" s="1125"/>
      <c r="N2" s="1125"/>
      <c r="O2" s="1125"/>
      <c r="P2" s="1125"/>
      <c r="Q2" s="1125"/>
      <c r="R2" s="1125"/>
      <c r="S2" s="1125"/>
      <c r="T2" s="1125"/>
      <c r="U2" s="1125"/>
      <c r="V2" s="1126"/>
    </row>
    <row r="3" spans="1:22" ht="26.25" customHeight="1" thickBot="1">
      <c r="A3" s="237" t="s">
        <v>29</v>
      </c>
      <c r="B3" s="250" t="s">
        <v>25</v>
      </c>
      <c r="C3" s="811" t="s">
        <v>25</v>
      </c>
      <c r="D3" s="814" t="s">
        <v>254</v>
      </c>
      <c r="E3" s="415"/>
      <c r="F3" s="815"/>
      <c r="G3" s="280"/>
      <c r="H3" s="222"/>
      <c r="I3" s="169"/>
      <c r="J3" s="3"/>
      <c r="K3" s="3"/>
      <c r="L3" s="93"/>
      <c r="M3" s="325"/>
      <c r="N3" s="326"/>
      <c r="O3" s="326"/>
      <c r="P3" s="433"/>
      <c r="Q3" s="816"/>
      <c r="R3" s="817"/>
      <c r="S3" s="817"/>
      <c r="T3" s="818"/>
      <c r="U3" s="458"/>
      <c r="V3" s="221"/>
    </row>
    <row r="4" spans="1:22" ht="14.25" customHeight="1">
      <c r="A4" s="1017"/>
      <c r="B4" s="1270"/>
      <c r="C4" s="1271"/>
      <c r="D4" s="1276" t="s">
        <v>255</v>
      </c>
      <c r="E4" s="819" t="s">
        <v>256</v>
      </c>
      <c r="F4" s="820" t="s">
        <v>26</v>
      </c>
      <c r="G4" s="1290">
        <v>5</v>
      </c>
      <c r="H4" s="117" t="s">
        <v>161</v>
      </c>
      <c r="I4" s="821">
        <f>J4+L4</f>
        <v>147.6</v>
      </c>
      <c r="J4" s="9"/>
      <c r="K4" s="9"/>
      <c r="L4" s="822">
        <v>147.6</v>
      </c>
      <c r="M4" s="8">
        <f>N4+P4</f>
        <v>570.8</v>
      </c>
      <c r="N4" s="822"/>
      <c r="O4" s="9"/>
      <c r="P4" s="822">
        <v>570.8</v>
      </c>
      <c r="Q4" s="823">
        <f>R4+T4</f>
        <v>570.8</v>
      </c>
      <c r="R4" s="817"/>
      <c r="S4" s="817"/>
      <c r="T4" s="824">
        <v>570.8</v>
      </c>
      <c r="U4" s="152"/>
      <c r="V4" s="152"/>
    </row>
    <row r="5" spans="1:22" ht="14.25" customHeight="1">
      <c r="A5" s="1017"/>
      <c r="B5" s="1270"/>
      <c r="C5" s="1271"/>
      <c r="D5" s="1128"/>
      <c r="E5" s="825"/>
      <c r="F5" s="714"/>
      <c r="G5" s="1291"/>
      <c r="H5" s="21" t="s">
        <v>7</v>
      </c>
      <c r="I5" s="155"/>
      <c r="J5" s="17"/>
      <c r="K5" s="17"/>
      <c r="L5" s="156"/>
      <c r="M5" s="160">
        <f>N5+P5</f>
        <v>468</v>
      </c>
      <c r="N5" s="156"/>
      <c r="O5" s="17"/>
      <c r="P5" s="156">
        <v>468</v>
      </c>
      <c r="Q5" s="826">
        <f>R5+T5</f>
        <v>468</v>
      </c>
      <c r="R5" s="827"/>
      <c r="S5" s="827"/>
      <c r="T5" s="828">
        <v>468</v>
      </c>
      <c r="U5" s="159"/>
      <c r="V5" s="159"/>
    </row>
    <row r="6" spans="1:22" ht="14.25" customHeight="1">
      <c r="A6" s="1017"/>
      <c r="B6" s="1270"/>
      <c r="C6" s="1271"/>
      <c r="D6" s="1288"/>
      <c r="E6" s="825" t="s">
        <v>6</v>
      </c>
      <c r="F6" s="714"/>
      <c r="G6" s="1292"/>
      <c r="H6" s="66" t="s">
        <v>8</v>
      </c>
      <c r="I6" s="829">
        <f>J6+L6</f>
        <v>3100</v>
      </c>
      <c r="J6" s="22"/>
      <c r="K6" s="22"/>
      <c r="L6" s="830">
        <v>3100</v>
      </c>
      <c r="M6" s="831">
        <f>N6+P6</f>
        <v>2651.9</v>
      </c>
      <c r="N6" s="832"/>
      <c r="O6" s="833"/>
      <c r="P6" s="830">
        <v>2651.9</v>
      </c>
      <c r="Q6" s="834">
        <f>R6+T6</f>
        <v>2651.9</v>
      </c>
      <c r="R6" s="835"/>
      <c r="S6" s="835"/>
      <c r="T6" s="836">
        <v>2651.9</v>
      </c>
      <c r="U6" s="154"/>
      <c r="V6" s="265"/>
    </row>
    <row r="7" spans="1:22" ht="14.25" customHeight="1" thickBot="1">
      <c r="A7" s="1017"/>
      <c r="B7" s="1270"/>
      <c r="C7" s="1271"/>
      <c r="D7" s="1289"/>
      <c r="E7" s="813"/>
      <c r="F7" s="837"/>
      <c r="G7" s="1293"/>
      <c r="H7" s="838" t="s">
        <v>28</v>
      </c>
      <c r="I7" s="839">
        <f>SUM(I4:I6)</f>
        <v>3247.6</v>
      </c>
      <c r="J7" s="840"/>
      <c r="K7" s="840"/>
      <c r="L7" s="841">
        <f>SUM(L4:L6)</f>
        <v>3247.6</v>
      </c>
      <c r="M7" s="842">
        <f>SUM(M4:M6)</f>
        <v>3690.7</v>
      </c>
      <c r="N7" s="841"/>
      <c r="O7" s="840"/>
      <c r="P7" s="843">
        <f>SUM(P4:P6)</f>
        <v>3690.7</v>
      </c>
      <c r="Q7" s="844">
        <f>R7+T7</f>
        <v>3690.7</v>
      </c>
      <c r="R7" s="845"/>
      <c r="S7" s="845"/>
      <c r="T7" s="846">
        <f>SUM(T4:T6)</f>
        <v>3690.7</v>
      </c>
      <c r="U7" s="847"/>
      <c r="V7" s="847"/>
    </row>
    <row r="8" spans="1:22" ht="21" customHeight="1">
      <c r="A8" s="1017"/>
      <c r="B8" s="1270"/>
      <c r="C8" s="995"/>
      <c r="D8" s="1128" t="s">
        <v>257</v>
      </c>
      <c r="E8" s="170" t="s">
        <v>256</v>
      </c>
      <c r="F8" s="284" t="s">
        <v>26</v>
      </c>
      <c r="G8" s="270">
        <v>5</v>
      </c>
      <c r="H8" s="231" t="s">
        <v>161</v>
      </c>
      <c r="I8" s="189">
        <f>J8+L8</f>
        <v>280</v>
      </c>
      <c r="J8" s="183"/>
      <c r="K8" s="172"/>
      <c r="L8" s="289">
        <v>280</v>
      </c>
      <c r="M8" s="189">
        <f>N8+P8</f>
        <v>414.1</v>
      </c>
      <c r="N8" s="183"/>
      <c r="O8" s="172"/>
      <c r="P8" s="289">
        <v>414.1</v>
      </c>
      <c r="Q8" s="848">
        <f aca="true" t="shared" si="0" ref="Q8:Q16">R8+T8</f>
        <v>414.1</v>
      </c>
      <c r="R8" s="828"/>
      <c r="S8" s="827"/>
      <c r="T8" s="849">
        <v>414.1</v>
      </c>
      <c r="U8" s="165"/>
      <c r="V8" s="88"/>
    </row>
    <row r="9" spans="1:22" ht="21" customHeight="1">
      <c r="A9" s="1017"/>
      <c r="B9" s="1270"/>
      <c r="C9" s="995"/>
      <c r="D9" s="1128"/>
      <c r="E9" s="170" t="s">
        <v>6</v>
      </c>
      <c r="F9" s="284"/>
      <c r="G9" s="270"/>
      <c r="H9" s="139" t="s">
        <v>8</v>
      </c>
      <c r="I9" s="57">
        <f>J9+L9</f>
        <v>3000</v>
      </c>
      <c r="J9" s="850"/>
      <c r="K9" s="4"/>
      <c r="L9" s="851">
        <v>3000</v>
      </c>
      <c r="M9" s="57">
        <f>N9+P9</f>
        <v>1192.6</v>
      </c>
      <c r="N9" s="850"/>
      <c r="O9" s="4"/>
      <c r="P9" s="851">
        <v>1192.6</v>
      </c>
      <c r="Q9" s="852">
        <f t="shared" si="0"/>
        <v>1192.6</v>
      </c>
      <c r="R9" s="836"/>
      <c r="S9" s="835"/>
      <c r="T9" s="853">
        <v>1192.6</v>
      </c>
      <c r="U9" s="154"/>
      <c r="V9" s="39"/>
    </row>
    <row r="10" spans="1:22" ht="16.5" customHeight="1" thickBot="1">
      <c r="A10" s="1017"/>
      <c r="B10" s="1270"/>
      <c r="C10" s="995"/>
      <c r="D10" s="1129"/>
      <c r="E10" s="715"/>
      <c r="F10" s="285"/>
      <c r="G10" s="271"/>
      <c r="H10" s="854" t="s">
        <v>28</v>
      </c>
      <c r="I10" s="844">
        <f>SUM(I8:I9)</f>
        <v>3280</v>
      </c>
      <c r="J10" s="845"/>
      <c r="K10" s="845"/>
      <c r="L10" s="855">
        <f>SUM(L8:L9)</f>
        <v>3280</v>
      </c>
      <c r="M10" s="856">
        <f>SUM(M8:M9)</f>
        <v>1606.6999999999998</v>
      </c>
      <c r="N10" s="846"/>
      <c r="O10" s="845"/>
      <c r="P10" s="855">
        <f>SUM(P8:P9)</f>
        <v>1606.6999999999998</v>
      </c>
      <c r="Q10" s="844">
        <f t="shared" si="0"/>
        <v>1606.6999999999998</v>
      </c>
      <c r="R10" s="845"/>
      <c r="S10" s="845"/>
      <c r="T10" s="855">
        <f>SUM(T8:T9)</f>
        <v>1606.6999999999998</v>
      </c>
      <c r="U10" s="842"/>
      <c r="V10" s="847"/>
    </row>
    <row r="11" spans="1:22" ht="13.5" customHeight="1">
      <c r="A11" s="1017"/>
      <c r="B11" s="1270"/>
      <c r="C11" s="995"/>
      <c r="D11" s="1286" t="s">
        <v>264</v>
      </c>
      <c r="E11" s="170" t="s">
        <v>256</v>
      </c>
      <c r="F11" s="284" t="s">
        <v>26</v>
      </c>
      <c r="G11" s="270">
        <v>2</v>
      </c>
      <c r="H11" s="333" t="s">
        <v>161</v>
      </c>
      <c r="I11" s="57">
        <f>J11+L11</f>
        <v>30.7</v>
      </c>
      <c r="J11" s="850"/>
      <c r="K11" s="4"/>
      <c r="L11" s="851">
        <v>30.7</v>
      </c>
      <c r="M11" s="57">
        <f>N11+P11</f>
        <v>90.3</v>
      </c>
      <c r="N11" s="850"/>
      <c r="O11" s="4"/>
      <c r="P11" s="851">
        <v>90.3</v>
      </c>
      <c r="Q11" s="934">
        <f t="shared" si="0"/>
        <v>90.3</v>
      </c>
      <c r="R11" s="824"/>
      <c r="S11" s="817"/>
      <c r="T11" s="935">
        <v>90.3</v>
      </c>
      <c r="U11" s="929"/>
      <c r="V11" s="88"/>
    </row>
    <row r="12" spans="1:22" ht="13.5" customHeight="1">
      <c r="A12" s="1017"/>
      <c r="B12" s="1270"/>
      <c r="C12" s="995"/>
      <c r="D12" s="1286"/>
      <c r="E12" s="170"/>
      <c r="F12" s="284"/>
      <c r="G12" s="270"/>
      <c r="H12" s="333" t="s">
        <v>27</v>
      </c>
      <c r="I12" s="57"/>
      <c r="J12" s="850"/>
      <c r="K12" s="4"/>
      <c r="L12" s="851"/>
      <c r="M12" s="57"/>
      <c r="N12" s="850"/>
      <c r="O12" s="4"/>
      <c r="P12" s="851"/>
      <c r="Q12" s="926"/>
      <c r="R12" s="857"/>
      <c r="S12" s="858"/>
      <c r="T12" s="925"/>
      <c r="U12" s="929">
        <v>576.8</v>
      </c>
      <c r="V12" s="88"/>
    </row>
    <row r="13" spans="1:22" ht="13.5" customHeight="1">
      <c r="A13" s="1017"/>
      <c r="B13" s="1270"/>
      <c r="C13" s="995"/>
      <c r="D13" s="1286"/>
      <c r="E13" s="170" t="s">
        <v>6</v>
      </c>
      <c r="F13" s="284"/>
      <c r="G13" s="270">
        <v>5</v>
      </c>
      <c r="H13" s="192" t="s">
        <v>8</v>
      </c>
      <c r="I13" s="57">
        <f>J13+L13</f>
        <v>1394.2</v>
      </c>
      <c r="J13" s="850"/>
      <c r="K13" s="4"/>
      <c r="L13" s="851">
        <v>1394.2</v>
      </c>
      <c r="M13" s="57">
        <f>N13+P13</f>
        <v>2300</v>
      </c>
      <c r="N13" s="850"/>
      <c r="O13" s="4"/>
      <c r="P13" s="851">
        <v>2300</v>
      </c>
      <c r="Q13" s="927">
        <f t="shared" si="0"/>
        <v>2300</v>
      </c>
      <c r="R13" s="836"/>
      <c r="S13" s="835"/>
      <c r="T13" s="928">
        <v>2300</v>
      </c>
      <c r="U13" s="929">
        <v>414</v>
      </c>
      <c r="V13" s="88"/>
    </row>
    <row r="14" spans="1:22" ht="13.5" customHeight="1" thickBot="1">
      <c r="A14" s="1017"/>
      <c r="B14" s="1270"/>
      <c r="C14" s="995"/>
      <c r="D14" s="1287"/>
      <c r="E14" s="715"/>
      <c r="F14" s="285"/>
      <c r="G14" s="271"/>
      <c r="H14" s="854" t="s">
        <v>28</v>
      </c>
      <c r="I14" s="856">
        <f>SUM(I11:I13)</f>
        <v>1424.9</v>
      </c>
      <c r="J14" s="846"/>
      <c r="K14" s="845"/>
      <c r="L14" s="855">
        <f>SUM(L11:L13)</f>
        <v>1424.9</v>
      </c>
      <c r="M14" s="856">
        <f>SUM(M11:M13)</f>
        <v>2390.3</v>
      </c>
      <c r="N14" s="846"/>
      <c r="O14" s="845"/>
      <c r="P14" s="855">
        <f>SUM(P11:P13)</f>
        <v>2390.3</v>
      </c>
      <c r="Q14" s="856">
        <f t="shared" si="0"/>
        <v>2390.3</v>
      </c>
      <c r="R14" s="846"/>
      <c r="S14" s="845"/>
      <c r="T14" s="855">
        <f>SUM(T11:T13)</f>
        <v>2390.3</v>
      </c>
      <c r="U14" s="855">
        <f>SUM(U11:U13)</f>
        <v>990.8</v>
      </c>
      <c r="V14" s="855">
        <f>SUM(V11:V13)</f>
        <v>0</v>
      </c>
    </row>
    <row r="15" spans="1:22" ht="14.25" customHeight="1">
      <c r="A15" s="1017"/>
      <c r="B15" s="1270"/>
      <c r="C15" s="995"/>
      <c r="D15" s="1128" t="s">
        <v>258</v>
      </c>
      <c r="E15" s="170" t="s">
        <v>256</v>
      </c>
      <c r="F15" s="284" t="s">
        <v>26</v>
      </c>
      <c r="G15" s="270">
        <v>5</v>
      </c>
      <c r="H15" s="333" t="s">
        <v>161</v>
      </c>
      <c r="I15" s="189">
        <f>J15+L15</f>
        <v>31.8</v>
      </c>
      <c r="J15" s="183"/>
      <c r="K15" s="172"/>
      <c r="L15" s="289">
        <v>31.8</v>
      </c>
      <c r="M15" s="189">
        <f>N15+P15</f>
        <v>60</v>
      </c>
      <c r="N15" s="183"/>
      <c r="O15" s="172"/>
      <c r="P15" s="289">
        <v>60</v>
      </c>
      <c r="Q15" s="848">
        <f t="shared" si="0"/>
        <v>60</v>
      </c>
      <c r="R15" s="828"/>
      <c r="S15" s="827"/>
      <c r="T15" s="849">
        <v>60</v>
      </c>
      <c r="U15" s="165">
        <v>25</v>
      </c>
      <c r="V15" s="88"/>
    </row>
    <row r="16" spans="1:22" ht="14.25" customHeight="1">
      <c r="A16" s="1017"/>
      <c r="B16" s="1270"/>
      <c r="C16" s="995"/>
      <c r="D16" s="1128"/>
      <c r="E16" s="170" t="s">
        <v>6</v>
      </c>
      <c r="F16" s="284"/>
      <c r="G16" s="270"/>
      <c r="H16" s="163" t="s">
        <v>8</v>
      </c>
      <c r="I16" s="94"/>
      <c r="J16" s="860"/>
      <c r="K16" s="68"/>
      <c r="L16" s="861"/>
      <c r="M16" s="94">
        <f>N16+P16</f>
        <v>2270.5</v>
      </c>
      <c r="N16" s="860"/>
      <c r="O16" s="68"/>
      <c r="P16" s="861">
        <v>2270.5</v>
      </c>
      <c r="Q16" s="862">
        <f t="shared" si="0"/>
        <v>2270.5</v>
      </c>
      <c r="R16" s="863"/>
      <c r="S16" s="864"/>
      <c r="T16" s="865">
        <v>2270.5</v>
      </c>
      <c r="U16" s="166">
        <v>24.5</v>
      </c>
      <c r="V16" s="201"/>
    </row>
    <row r="17" spans="1:22" ht="14.25" customHeight="1" thickBot="1">
      <c r="A17" s="1017"/>
      <c r="B17" s="1270"/>
      <c r="C17" s="995"/>
      <c r="D17" s="1129"/>
      <c r="E17" s="715"/>
      <c r="F17" s="285"/>
      <c r="G17" s="271"/>
      <c r="H17" s="854" t="s">
        <v>28</v>
      </c>
      <c r="I17" s="856">
        <f>SUM(I15:I16)</f>
        <v>31.8</v>
      </c>
      <c r="J17" s="846"/>
      <c r="K17" s="845"/>
      <c r="L17" s="855">
        <f>SUM(L15:L16)</f>
        <v>31.8</v>
      </c>
      <c r="M17" s="856">
        <f>SUM(M15:M16)</f>
        <v>2330.5</v>
      </c>
      <c r="N17" s="846"/>
      <c r="O17" s="845"/>
      <c r="P17" s="855">
        <f>SUM(P15:P16)</f>
        <v>2330.5</v>
      </c>
      <c r="Q17" s="856">
        <f>SUM(Q15:Q16)</f>
        <v>2330.5</v>
      </c>
      <c r="R17" s="846"/>
      <c r="S17" s="845"/>
      <c r="T17" s="855">
        <f>SUM(T15:T16)</f>
        <v>2330.5</v>
      </c>
      <c r="U17" s="842">
        <f>SUM(U15:U16)</f>
        <v>49.5</v>
      </c>
      <c r="V17" s="847"/>
    </row>
    <row r="18" spans="1:22" ht="12.75" customHeight="1">
      <c r="A18" s="1017"/>
      <c r="B18" s="1270"/>
      <c r="C18" s="1271"/>
      <c r="D18" s="1282" t="s">
        <v>259</v>
      </c>
      <c r="E18" s="866" t="s">
        <v>256</v>
      </c>
      <c r="F18" s="1266" t="s">
        <v>26</v>
      </c>
      <c r="G18" s="1268">
        <v>5</v>
      </c>
      <c r="H18" s="36" t="s">
        <v>161</v>
      </c>
      <c r="I18" s="123">
        <f>J18+L18</f>
        <v>443.4</v>
      </c>
      <c r="J18" s="28"/>
      <c r="K18" s="28"/>
      <c r="L18" s="867">
        <v>443.4</v>
      </c>
      <c r="M18" s="27">
        <f>N18+P18</f>
        <v>455.3</v>
      </c>
      <c r="N18" s="868"/>
      <c r="O18" s="28"/>
      <c r="P18" s="867">
        <v>455.3</v>
      </c>
      <c r="Q18" s="869">
        <f aca="true" t="shared" si="1" ref="Q18:Q33">R18+T18</f>
        <v>455.3</v>
      </c>
      <c r="R18" s="864"/>
      <c r="S18" s="864"/>
      <c r="T18" s="865">
        <v>455.3</v>
      </c>
      <c r="U18" s="870"/>
      <c r="V18" s="871"/>
    </row>
    <row r="19" spans="1:22" ht="12.75" customHeight="1">
      <c r="A19" s="1017"/>
      <c r="B19" s="1270"/>
      <c r="C19" s="1271"/>
      <c r="D19" s="1282"/>
      <c r="E19" s="872" t="s">
        <v>6</v>
      </c>
      <c r="F19" s="1267"/>
      <c r="G19" s="1269"/>
      <c r="H19" s="66" t="s">
        <v>7</v>
      </c>
      <c r="I19" s="829">
        <f>J19+L19</f>
        <v>291.4</v>
      </c>
      <c r="J19" s="22"/>
      <c r="K19" s="22"/>
      <c r="L19" s="873">
        <v>291.4</v>
      </c>
      <c r="M19" s="151">
        <f>N19+P19</f>
        <v>205.4</v>
      </c>
      <c r="N19" s="830"/>
      <c r="O19" s="22"/>
      <c r="P19" s="873">
        <v>205.4</v>
      </c>
      <c r="Q19" s="834">
        <f t="shared" si="1"/>
        <v>205.4</v>
      </c>
      <c r="R19" s="835"/>
      <c r="S19" s="835"/>
      <c r="T19" s="853">
        <v>205.4</v>
      </c>
      <c r="U19" s="874"/>
      <c r="V19" s="874"/>
    </row>
    <row r="20" spans="1:22" ht="12.75" customHeight="1">
      <c r="A20" s="1017"/>
      <c r="B20" s="1270"/>
      <c r="C20" s="1271"/>
      <c r="D20" s="1282"/>
      <c r="E20" s="875"/>
      <c r="F20" s="1267"/>
      <c r="G20" s="1269"/>
      <c r="H20" s="66" t="s">
        <v>8</v>
      </c>
      <c r="I20" s="829">
        <f>J20+L20</f>
        <v>1651.3</v>
      </c>
      <c r="J20" s="22"/>
      <c r="K20" s="22"/>
      <c r="L20" s="873">
        <v>1651.3</v>
      </c>
      <c r="M20" s="151">
        <f>N20+P20</f>
        <v>1165.7</v>
      </c>
      <c r="N20" s="830"/>
      <c r="O20" s="22"/>
      <c r="P20" s="873">
        <v>1165.7</v>
      </c>
      <c r="Q20" s="834">
        <f t="shared" si="1"/>
        <v>1165.7</v>
      </c>
      <c r="R20" s="835"/>
      <c r="S20" s="835"/>
      <c r="T20" s="853">
        <v>1165.7</v>
      </c>
      <c r="U20" s="265"/>
      <c r="V20" s="265"/>
    </row>
    <row r="21" spans="1:22" ht="12.75" customHeight="1" thickBot="1">
      <c r="A21" s="1017"/>
      <c r="B21" s="1270"/>
      <c r="C21" s="1271"/>
      <c r="D21" s="1283"/>
      <c r="E21" s="876"/>
      <c r="F21" s="1177"/>
      <c r="G21" s="1156"/>
      <c r="H21" s="838" t="s">
        <v>28</v>
      </c>
      <c r="I21" s="839">
        <f>SUM(I18:I20)</f>
        <v>2386.1</v>
      </c>
      <c r="J21" s="840"/>
      <c r="K21" s="840"/>
      <c r="L21" s="843">
        <f>SUM(L18:L20)</f>
        <v>2386.1</v>
      </c>
      <c r="M21" s="842">
        <f>SUM(M18:M20)</f>
        <v>1826.4</v>
      </c>
      <c r="N21" s="841"/>
      <c r="O21" s="840"/>
      <c r="P21" s="843">
        <f>SUM(P18:P20)</f>
        <v>1826.4</v>
      </c>
      <c r="Q21" s="844">
        <f t="shared" si="1"/>
        <v>1826.4</v>
      </c>
      <c r="R21" s="845"/>
      <c r="S21" s="845"/>
      <c r="T21" s="855">
        <f>SUM(T18:T20)</f>
        <v>1826.4</v>
      </c>
      <c r="U21" s="847"/>
      <c r="V21" s="847"/>
    </row>
    <row r="22" spans="1:22" ht="12.75" customHeight="1">
      <c r="A22" s="245"/>
      <c r="B22" s="244"/>
      <c r="C22" s="754"/>
      <c r="D22" s="1265" t="s">
        <v>252</v>
      </c>
      <c r="E22" s="875"/>
      <c r="F22" s="1266" t="s">
        <v>26</v>
      </c>
      <c r="G22" s="1268">
        <v>5</v>
      </c>
      <c r="H22" s="36" t="s">
        <v>161</v>
      </c>
      <c r="I22" s="104">
        <f>J22+L22</f>
        <v>0</v>
      </c>
      <c r="J22" s="45"/>
      <c r="K22" s="45"/>
      <c r="L22" s="923"/>
      <c r="M22" s="41">
        <f>N22+P22</f>
        <v>0</v>
      </c>
      <c r="N22" s="90"/>
      <c r="O22" s="45"/>
      <c r="P22" s="923"/>
      <c r="Q22" s="924">
        <f t="shared" si="1"/>
        <v>0</v>
      </c>
      <c r="R22" s="858"/>
      <c r="S22" s="858"/>
      <c r="T22" s="859"/>
      <c r="U22" s="931"/>
      <c r="V22" s="931"/>
    </row>
    <row r="23" spans="1:22" ht="12.75" customHeight="1">
      <c r="A23" s="245"/>
      <c r="B23" s="244"/>
      <c r="C23" s="754"/>
      <c r="D23" s="1060"/>
      <c r="E23" s="875"/>
      <c r="F23" s="1267"/>
      <c r="G23" s="1269"/>
      <c r="H23" s="66" t="s">
        <v>7</v>
      </c>
      <c r="I23" s="829">
        <f>J23+L23</f>
        <v>0</v>
      </c>
      <c r="J23" s="22"/>
      <c r="K23" s="22"/>
      <c r="L23" s="873"/>
      <c r="M23" s="151">
        <f>N23+P23</f>
        <v>0</v>
      </c>
      <c r="N23" s="830"/>
      <c r="O23" s="22"/>
      <c r="P23" s="873"/>
      <c r="Q23" s="834">
        <f t="shared" si="1"/>
        <v>0</v>
      </c>
      <c r="R23" s="835"/>
      <c r="S23" s="835"/>
      <c r="T23" s="853"/>
      <c r="U23" s="933">
        <v>3000</v>
      </c>
      <c r="V23" s="932"/>
    </row>
    <row r="24" spans="1:22" ht="12.75" customHeight="1">
      <c r="A24" s="245"/>
      <c r="B24" s="244"/>
      <c r="C24" s="754"/>
      <c r="D24" s="1060"/>
      <c r="E24" s="875"/>
      <c r="F24" s="1267"/>
      <c r="G24" s="1269"/>
      <c r="H24" s="66" t="s">
        <v>8</v>
      </c>
      <c r="I24" s="829">
        <f>J24+L24</f>
        <v>0</v>
      </c>
      <c r="J24" s="22"/>
      <c r="K24" s="22"/>
      <c r="L24" s="873"/>
      <c r="M24" s="151">
        <f>N24+P24</f>
        <v>0</v>
      </c>
      <c r="N24" s="830"/>
      <c r="O24" s="22"/>
      <c r="P24" s="873"/>
      <c r="Q24" s="834">
        <f t="shared" si="1"/>
        <v>0</v>
      </c>
      <c r="R24" s="835"/>
      <c r="S24" s="835"/>
      <c r="T24" s="853"/>
      <c r="U24" s="265"/>
      <c r="V24" s="265"/>
    </row>
    <row r="25" spans="1:22" ht="12.75" customHeight="1" thickBot="1">
      <c r="A25" s="245"/>
      <c r="B25" s="244"/>
      <c r="C25" s="754"/>
      <c r="D25" s="1061"/>
      <c r="E25" s="876"/>
      <c r="F25" s="1177"/>
      <c r="G25" s="1156"/>
      <c r="H25" s="838" t="s">
        <v>28</v>
      </c>
      <c r="I25" s="839">
        <f>SUM(I22:I24)</f>
        <v>0</v>
      </c>
      <c r="J25" s="840"/>
      <c r="K25" s="840"/>
      <c r="L25" s="843">
        <f>SUM(L22:L24)</f>
        <v>0</v>
      </c>
      <c r="M25" s="842">
        <f>SUM(M22:M24)</f>
        <v>0</v>
      </c>
      <c r="N25" s="841"/>
      <c r="O25" s="840"/>
      <c r="P25" s="843">
        <f>SUM(P22:P24)</f>
        <v>0</v>
      </c>
      <c r="Q25" s="844">
        <f t="shared" si="1"/>
        <v>0</v>
      </c>
      <c r="R25" s="845"/>
      <c r="S25" s="845"/>
      <c r="T25" s="855">
        <f>SUM(T22:T24)</f>
        <v>0</v>
      </c>
      <c r="U25" s="847">
        <f>SUM(U22:U24)</f>
        <v>3000</v>
      </c>
      <c r="V25" s="847">
        <f>SUM(V22:V24)</f>
        <v>0</v>
      </c>
    </row>
    <row r="26" spans="1:22" ht="12.75" customHeight="1">
      <c r="A26" s="1017"/>
      <c r="B26" s="1270"/>
      <c r="C26" s="1271"/>
      <c r="D26" s="1272" t="s">
        <v>253</v>
      </c>
      <c r="E26" s="922"/>
      <c r="F26" s="1266" t="s">
        <v>26</v>
      </c>
      <c r="G26" s="1268">
        <v>5</v>
      </c>
      <c r="H26" s="36" t="s">
        <v>161</v>
      </c>
      <c r="I26" s="104">
        <f>J26+L26</f>
        <v>0</v>
      </c>
      <c r="J26" s="45"/>
      <c r="K26" s="45"/>
      <c r="L26" s="923"/>
      <c r="M26" s="41">
        <f>N26+P26</f>
        <v>0</v>
      </c>
      <c r="N26" s="90"/>
      <c r="O26" s="45"/>
      <c r="P26" s="923"/>
      <c r="Q26" s="924">
        <f>R26+T26</f>
        <v>0</v>
      </c>
      <c r="R26" s="858"/>
      <c r="S26" s="858"/>
      <c r="T26" s="859"/>
      <c r="U26" s="931"/>
      <c r="V26" s="931"/>
    </row>
    <row r="27" spans="1:22" ht="12.75" customHeight="1">
      <c r="A27" s="1017"/>
      <c r="B27" s="1270"/>
      <c r="C27" s="1271"/>
      <c r="D27" s="1272"/>
      <c r="E27" s="872"/>
      <c r="F27" s="1267"/>
      <c r="G27" s="1269"/>
      <c r="H27" s="66" t="s">
        <v>7</v>
      </c>
      <c r="I27" s="829">
        <f>J27+L27</f>
        <v>0</v>
      </c>
      <c r="J27" s="22"/>
      <c r="K27" s="22"/>
      <c r="L27" s="873"/>
      <c r="M27" s="151">
        <f>N27+P27</f>
        <v>0</v>
      </c>
      <c r="N27" s="830"/>
      <c r="O27" s="22"/>
      <c r="P27" s="873"/>
      <c r="Q27" s="834">
        <f>R27+T27</f>
        <v>0</v>
      </c>
      <c r="R27" s="835"/>
      <c r="S27" s="835"/>
      <c r="T27" s="853"/>
      <c r="U27" s="933">
        <v>3000</v>
      </c>
      <c r="V27" s="932"/>
    </row>
    <row r="28" spans="1:22" ht="12.75" customHeight="1">
      <c r="A28" s="1017"/>
      <c r="B28" s="1270"/>
      <c r="C28" s="1271"/>
      <c r="D28" s="1272"/>
      <c r="E28" s="875"/>
      <c r="F28" s="1267"/>
      <c r="G28" s="1269"/>
      <c r="H28" s="66" t="s">
        <v>8</v>
      </c>
      <c r="I28" s="829">
        <f>J28+L28</f>
        <v>0</v>
      </c>
      <c r="J28" s="22"/>
      <c r="K28" s="22"/>
      <c r="L28" s="873"/>
      <c r="M28" s="151">
        <f>N28+P28</f>
        <v>0</v>
      </c>
      <c r="N28" s="830"/>
      <c r="O28" s="22"/>
      <c r="P28" s="873"/>
      <c r="Q28" s="834">
        <f>R28+T28</f>
        <v>0</v>
      </c>
      <c r="R28" s="835"/>
      <c r="S28" s="835"/>
      <c r="T28" s="853"/>
      <c r="U28" s="265"/>
      <c r="V28" s="265"/>
    </row>
    <row r="29" spans="1:22" ht="12.75" customHeight="1" thickBot="1">
      <c r="A29" s="1017"/>
      <c r="B29" s="1270"/>
      <c r="C29" s="1271"/>
      <c r="D29" s="1273"/>
      <c r="E29" s="876"/>
      <c r="F29" s="1177"/>
      <c r="G29" s="1156"/>
      <c r="H29" s="838" t="s">
        <v>28</v>
      </c>
      <c r="I29" s="839">
        <f>SUM(I26:I28)</f>
        <v>0</v>
      </c>
      <c r="J29" s="840"/>
      <c r="K29" s="840"/>
      <c r="L29" s="843">
        <f>SUM(L26:L28)</f>
        <v>0</v>
      </c>
      <c r="M29" s="842">
        <f>SUM(M26:M28)</f>
        <v>0</v>
      </c>
      <c r="N29" s="841"/>
      <c r="O29" s="840"/>
      <c r="P29" s="843">
        <f>SUM(P26:P28)</f>
        <v>0</v>
      </c>
      <c r="Q29" s="844">
        <f>R29+T29</f>
        <v>0</v>
      </c>
      <c r="R29" s="845"/>
      <c r="S29" s="845"/>
      <c r="T29" s="855">
        <f>SUM(T26:T28)</f>
        <v>0</v>
      </c>
      <c r="U29" s="847">
        <f>SUM(U26:U28)</f>
        <v>3000</v>
      </c>
      <c r="V29" s="847">
        <f>SUM(V26:V28)</f>
        <v>0</v>
      </c>
    </row>
    <row r="30" spans="1:22" ht="13.5" customHeight="1">
      <c r="A30" s="1275"/>
      <c r="B30" s="877"/>
      <c r="C30" s="1271"/>
      <c r="D30" s="1281" t="s">
        <v>260</v>
      </c>
      <c r="E30" s="150" t="s">
        <v>256</v>
      </c>
      <c r="F30" s="878" t="s">
        <v>26</v>
      </c>
      <c r="G30" s="879">
        <v>5</v>
      </c>
      <c r="H30" s="880" t="s">
        <v>161</v>
      </c>
      <c r="I30" s="881">
        <f>J30+L30</f>
        <v>468.8</v>
      </c>
      <c r="J30" s="3"/>
      <c r="K30" s="3"/>
      <c r="L30" s="882">
        <v>468.8</v>
      </c>
      <c r="M30" s="168">
        <f>N30+P30</f>
        <v>129.7</v>
      </c>
      <c r="N30" s="882"/>
      <c r="O30" s="3"/>
      <c r="P30" s="882">
        <v>129.7</v>
      </c>
      <c r="Q30" s="823">
        <f t="shared" si="1"/>
        <v>129.7</v>
      </c>
      <c r="R30" s="817"/>
      <c r="S30" s="817"/>
      <c r="T30" s="824">
        <v>129.7</v>
      </c>
      <c r="U30" s="883"/>
      <c r="V30" s="884"/>
    </row>
    <row r="31" spans="1:22" ht="13.5" customHeight="1">
      <c r="A31" s="1275"/>
      <c r="B31" s="877"/>
      <c r="C31" s="1271"/>
      <c r="D31" s="1282"/>
      <c r="E31" s="170" t="s">
        <v>6</v>
      </c>
      <c r="F31" s="885"/>
      <c r="G31" s="272"/>
      <c r="H31" s="886" t="s">
        <v>8</v>
      </c>
      <c r="I31" s="887">
        <f>J31+L31</f>
        <v>1431.2</v>
      </c>
      <c r="J31" s="4"/>
      <c r="K31" s="4"/>
      <c r="L31" s="850">
        <v>1431.2</v>
      </c>
      <c r="M31" s="57">
        <f>N31+P31</f>
        <v>309</v>
      </c>
      <c r="N31" s="850"/>
      <c r="O31" s="4"/>
      <c r="P31" s="850">
        <v>309</v>
      </c>
      <c r="Q31" s="834">
        <f t="shared" si="1"/>
        <v>309</v>
      </c>
      <c r="R31" s="835"/>
      <c r="S31" s="835"/>
      <c r="T31" s="836">
        <v>309</v>
      </c>
      <c r="U31" s="874"/>
      <c r="V31" s="888"/>
    </row>
    <row r="32" spans="1:22" ht="13.5" customHeight="1">
      <c r="A32" s="1275"/>
      <c r="B32" s="877"/>
      <c r="C32" s="1271"/>
      <c r="D32" s="1282"/>
      <c r="E32" s="170"/>
      <c r="F32" s="885"/>
      <c r="G32" s="272"/>
      <c r="H32" s="889" t="s">
        <v>7</v>
      </c>
      <c r="I32" s="233">
        <f>J32+L32</f>
        <v>252.6</v>
      </c>
      <c r="J32" s="68"/>
      <c r="K32" s="68"/>
      <c r="L32" s="860">
        <v>252.6</v>
      </c>
      <c r="M32" s="94">
        <f>N32+P32</f>
        <v>54.5</v>
      </c>
      <c r="N32" s="860"/>
      <c r="O32" s="68"/>
      <c r="P32" s="860">
        <v>54.5</v>
      </c>
      <c r="Q32" s="869">
        <f t="shared" si="1"/>
        <v>54.5</v>
      </c>
      <c r="R32" s="864"/>
      <c r="S32" s="864"/>
      <c r="T32" s="863">
        <v>54.5</v>
      </c>
      <c r="U32" s="890"/>
      <c r="V32" s="891"/>
    </row>
    <row r="33" spans="1:22" ht="13.5" customHeight="1" thickBot="1">
      <c r="A33" s="1275"/>
      <c r="B33" s="877"/>
      <c r="C33" s="1271"/>
      <c r="D33" s="1283"/>
      <c r="E33" s="715"/>
      <c r="F33" s="892"/>
      <c r="G33" s="893"/>
      <c r="H33" s="894" t="s">
        <v>28</v>
      </c>
      <c r="I33" s="844">
        <f>SUM(I30:I32)</f>
        <v>2152.6</v>
      </c>
      <c r="J33" s="845"/>
      <c r="K33" s="845"/>
      <c r="L33" s="846">
        <f>SUM(L30:L32)</f>
        <v>2152.6</v>
      </c>
      <c r="M33" s="856">
        <f>N33+P33</f>
        <v>493.2</v>
      </c>
      <c r="N33" s="846"/>
      <c r="O33" s="845"/>
      <c r="P33" s="855">
        <f>SUM(P30:P32)</f>
        <v>493.2</v>
      </c>
      <c r="Q33" s="844">
        <f t="shared" si="1"/>
        <v>493.2</v>
      </c>
      <c r="R33" s="845"/>
      <c r="S33" s="845"/>
      <c r="T33" s="846">
        <f>SUM(T30:T32)</f>
        <v>493.2</v>
      </c>
      <c r="U33" s="847"/>
      <c r="V33" s="895"/>
    </row>
    <row r="34" spans="1:22" ht="12.75">
      <c r="A34" s="245"/>
      <c r="B34" s="1270"/>
      <c r="C34" s="1271"/>
      <c r="D34" s="1281" t="s">
        <v>261</v>
      </c>
      <c r="E34" s="866" t="s">
        <v>256</v>
      </c>
      <c r="F34" s="1284" t="s">
        <v>26</v>
      </c>
      <c r="G34" s="1285">
        <v>5</v>
      </c>
      <c r="H34" s="883" t="s">
        <v>161</v>
      </c>
      <c r="I34" s="821"/>
      <c r="J34" s="9"/>
      <c r="K34" s="9"/>
      <c r="L34" s="897"/>
      <c r="M34" s="52">
        <f>N34+P34</f>
        <v>347</v>
      </c>
      <c r="N34" s="822"/>
      <c r="O34" s="9"/>
      <c r="P34" s="822">
        <v>347</v>
      </c>
      <c r="Q34" s="823">
        <f>R34+T34</f>
        <v>0</v>
      </c>
      <c r="R34" s="817"/>
      <c r="S34" s="817"/>
      <c r="T34" s="898">
        <v>0</v>
      </c>
      <c r="U34" s="56"/>
      <c r="V34" s="56"/>
    </row>
    <row r="35" spans="1:22" ht="12.75">
      <c r="A35" s="245"/>
      <c r="B35" s="1270"/>
      <c r="C35" s="1271"/>
      <c r="D35" s="1282"/>
      <c r="E35" s="1274" t="s">
        <v>6</v>
      </c>
      <c r="F35" s="1267"/>
      <c r="G35" s="1269"/>
      <c r="H35" s="899" t="s">
        <v>7</v>
      </c>
      <c r="I35" s="829"/>
      <c r="J35" s="22"/>
      <c r="K35" s="22"/>
      <c r="L35" s="873"/>
      <c r="M35" s="38"/>
      <c r="N35" s="900"/>
      <c r="O35" s="22"/>
      <c r="P35" s="830"/>
      <c r="Q35" s="834"/>
      <c r="R35" s="835"/>
      <c r="S35" s="835"/>
      <c r="T35" s="853"/>
      <c r="U35" s="39">
        <v>1500</v>
      </c>
      <c r="V35" s="39">
        <v>1618</v>
      </c>
    </row>
    <row r="36" spans="1:22" ht="13.5" customHeight="1" thickBot="1">
      <c r="A36" s="249"/>
      <c r="B36" s="1270"/>
      <c r="C36" s="1271"/>
      <c r="D36" s="1283"/>
      <c r="E36" s="1138"/>
      <c r="F36" s="1177"/>
      <c r="G36" s="1156"/>
      <c r="H36" s="838" t="s">
        <v>28</v>
      </c>
      <c r="I36" s="839">
        <f>SUM(I34:I35)</f>
        <v>0</v>
      </c>
      <c r="J36" s="840"/>
      <c r="K36" s="840"/>
      <c r="L36" s="895">
        <f>SUM(L34:L35)</f>
        <v>0</v>
      </c>
      <c r="M36" s="843">
        <f>N36+P36</f>
        <v>347</v>
      </c>
      <c r="N36" s="841"/>
      <c r="O36" s="840"/>
      <c r="P36" s="843">
        <f>SUM(P34:P35)</f>
        <v>347</v>
      </c>
      <c r="Q36" s="844">
        <f>R36+T36</f>
        <v>0</v>
      </c>
      <c r="R36" s="845"/>
      <c r="S36" s="845"/>
      <c r="T36" s="855">
        <f>SUM(T34:T35)</f>
        <v>0</v>
      </c>
      <c r="U36" s="842">
        <f>SUM(U35:U35)</f>
        <v>1500</v>
      </c>
      <c r="V36" s="847">
        <f>SUM(V34:V35)</f>
        <v>1618</v>
      </c>
    </row>
    <row r="37" spans="1:22" ht="15" customHeight="1">
      <c r="A37" s="1275"/>
      <c r="B37" s="877"/>
      <c r="C37" s="995"/>
      <c r="D37" s="1276" t="s">
        <v>262</v>
      </c>
      <c r="E37" s="150" t="s">
        <v>256</v>
      </c>
      <c r="F37" s="283" t="s">
        <v>26</v>
      </c>
      <c r="G37" s="879">
        <v>5</v>
      </c>
      <c r="H37" s="901" t="s">
        <v>161</v>
      </c>
      <c r="I37" s="881">
        <f>J37+L37</f>
        <v>480</v>
      </c>
      <c r="J37" s="3"/>
      <c r="K37" s="3"/>
      <c r="L37" s="902">
        <v>480</v>
      </c>
      <c r="M37" s="8"/>
      <c r="N37" s="822"/>
      <c r="O37" s="9"/>
      <c r="P37" s="822"/>
      <c r="Q37" s="823"/>
      <c r="R37" s="817"/>
      <c r="S37" s="817"/>
      <c r="T37" s="898"/>
      <c r="U37" s="903"/>
      <c r="V37" s="162"/>
    </row>
    <row r="38" spans="1:22" ht="15" customHeight="1">
      <c r="A38" s="1275"/>
      <c r="B38" s="877"/>
      <c r="C38" s="995"/>
      <c r="D38" s="1128"/>
      <c r="E38" s="170" t="s">
        <v>6</v>
      </c>
      <c r="F38" s="284"/>
      <c r="G38" s="272"/>
      <c r="H38" s="886" t="s">
        <v>8</v>
      </c>
      <c r="I38" s="887">
        <f>J38+L38</f>
        <v>1256.8</v>
      </c>
      <c r="J38" s="4"/>
      <c r="K38" s="4"/>
      <c r="L38" s="851">
        <v>1256.8</v>
      </c>
      <c r="M38" s="151"/>
      <c r="N38" s="830"/>
      <c r="O38" s="22"/>
      <c r="P38" s="830"/>
      <c r="Q38" s="834"/>
      <c r="R38" s="835"/>
      <c r="S38" s="835"/>
      <c r="T38" s="853"/>
      <c r="U38" s="904"/>
      <c r="V38" s="154"/>
    </row>
    <row r="39" spans="1:22" ht="15" customHeight="1" thickBot="1">
      <c r="A39" s="1275"/>
      <c r="B39" s="812"/>
      <c r="C39" s="995"/>
      <c r="D39" s="1277"/>
      <c r="E39" s="715"/>
      <c r="F39" s="285"/>
      <c r="G39" s="893"/>
      <c r="H39" s="894" t="s">
        <v>28</v>
      </c>
      <c r="I39" s="844">
        <f>SUM(I37:I38)</f>
        <v>1736.8</v>
      </c>
      <c r="J39" s="845"/>
      <c r="K39" s="845"/>
      <c r="L39" s="855">
        <f>SUM(L37:L38)</f>
        <v>1736.8</v>
      </c>
      <c r="M39" s="842"/>
      <c r="N39" s="841"/>
      <c r="O39" s="840"/>
      <c r="P39" s="843"/>
      <c r="Q39" s="844"/>
      <c r="R39" s="845"/>
      <c r="S39" s="845"/>
      <c r="T39" s="855"/>
      <c r="U39" s="842"/>
      <c r="V39" s="847"/>
    </row>
    <row r="40" spans="1:22" ht="14.25" customHeight="1">
      <c r="A40" s="1275"/>
      <c r="B40" s="877"/>
      <c r="C40" s="1271"/>
      <c r="D40" s="1279" t="s">
        <v>263</v>
      </c>
      <c r="E40" s="905" t="s">
        <v>256</v>
      </c>
      <c r="F40" s="820" t="s">
        <v>26</v>
      </c>
      <c r="G40" s="896">
        <v>6</v>
      </c>
      <c r="H40" s="53" t="s">
        <v>27</v>
      </c>
      <c r="I40" s="821">
        <f>J40+L40</f>
        <v>35</v>
      </c>
      <c r="J40" s="9">
        <v>35</v>
      </c>
      <c r="K40" s="9"/>
      <c r="L40" s="897"/>
      <c r="M40" s="8"/>
      <c r="N40" s="822"/>
      <c r="O40" s="9"/>
      <c r="P40" s="897"/>
      <c r="Q40" s="824"/>
      <c r="R40" s="817"/>
      <c r="S40" s="817"/>
      <c r="T40" s="824"/>
      <c r="U40" s="870"/>
      <c r="V40" s="870"/>
    </row>
    <row r="41" spans="1:22" ht="14.25" customHeight="1" thickBot="1">
      <c r="A41" s="1148"/>
      <c r="B41" s="906"/>
      <c r="C41" s="1278"/>
      <c r="D41" s="1280"/>
      <c r="E41" s="161"/>
      <c r="F41" s="837"/>
      <c r="G41" s="907"/>
      <c r="H41" s="908" t="s">
        <v>28</v>
      </c>
      <c r="I41" s="839">
        <f>SUM(I40:I40)</f>
        <v>35</v>
      </c>
      <c r="J41" s="840">
        <f>SUM(J40)</f>
        <v>35</v>
      </c>
      <c r="K41" s="840"/>
      <c r="L41" s="895">
        <f>SUM(L40:L40)</f>
        <v>0</v>
      </c>
      <c r="M41" s="842"/>
      <c r="N41" s="841"/>
      <c r="O41" s="840"/>
      <c r="P41" s="895"/>
      <c r="Q41" s="844"/>
      <c r="R41" s="845"/>
      <c r="S41" s="845"/>
      <c r="T41" s="846"/>
      <c r="U41" s="847"/>
      <c r="V41" s="847"/>
    </row>
    <row r="42" spans="1:22" ht="13.5" customHeight="1" thickBot="1">
      <c r="A42" s="909"/>
      <c r="B42" s="253"/>
      <c r="C42" s="910"/>
      <c r="D42" s="911"/>
      <c r="E42" s="912"/>
      <c r="F42" s="913"/>
      <c r="G42" s="914"/>
      <c r="H42" s="915" t="s">
        <v>28</v>
      </c>
      <c r="I42" s="916">
        <f>I41+I39+I33+I21+I17+I14+I10+I36+I7</f>
        <v>14294.800000000001</v>
      </c>
      <c r="J42" s="463">
        <f>J41</f>
        <v>35</v>
      </c>
      <c r="K42" s="917"/>
      <c r="L42" s="464">
        <f>L41+L39+L33+L21+L17+L14+L10+L36+L7</f>
        <v>14259.800000000001</v>
      </c>
      <c r="M42" s="111">
        <f>M41+M39+M33+M21+M17+M14+M10+M36+M7</f>
        <v>12684.8</v>
      </c>
      <c r="N42" s="112"/>
      <c r="O42" s="112"/>
      <c r="P42" s="481">
        <f>P41+P39+P33+P21+P17+P14+P10+P36+P7</f>
        <v>12684.8</v>
      </c>
      <c r="Q42" s="34">
        <f>R42+T42</f>
        <v>12337.8</v>
      </c>
      <c r="R42" s="112"/>
      <c r="S42" s="112"/>
      <c r="T42" s="113">
        <f>T41+T39+T33+T21+T17+T14+T10+T36+T7</f>
        <v>12337.8</v>
      </c>
      <c r="U42" s="72">
        <f>U41+U39+U33+U21+U17+U14+U10+U36+U7</f>
        <v>2540.3</v>
      </c>
      <c r="V42" s="85">
        <f>V41+V39+V33+V21+V17+V14+V10+V36+V7</f>
        <v>1618</v>
      </c>
    </row>
    <row r="43" spans="4:22" ht="12.75">
      <c r="D43" s="37"/>
      <c r="E43" s="37"/>
      <c r="F43" s="37"/>
      <c r="G43" s="262"/>
      <c r="H43" s="716" t="s">
        <v>27</v>
      </c>
      <c r="I43" s="717">
        <f>J43+L43</f>
        <v>35</v>
      </c>
      <c r="J43" s="718">
        <f>J40</f>
        <v>35</v>
      </c>
      <c r="K43" s="718"/>
      <c r="L43" s="719">
        <f>SUMIF(H4:H40,"sb",L4:L40)</f>
        <v>0</v>
      </c>
      <c r="M43" s="720"/>
      <c r="N43" s="718"/>
      <c r="O43" s="718"/>
      <c r="P43" s="721"/>
      <c r="Q43" s="918"/>
      <c r="R43" s="718"/>
      <c r="S43" s="718"/>
      <c r="T43" s="719"/>
      <c r="U43" s="722"/>
      <c r="V43" s="723"/>
    </row>
    <row r="44" spans="4:22" ht="12.75">
      <c r="D44" s="37"/>
      <c r="E44" s="37"/>
      <c r="F44" s="37"/>
      <c r="G44" s="262"/>
      <c r="H44" s="724" t="s">
        <v>161</v>
      </c>
      <c r="I44" s="725">
        <f>J44+L44</f>
        <v>1882.3</v>
      </c>
      <c r="J44" s="726"/>
      <c r="K44" s="726"/>
      <c r="L44" s="727">
        <f>SUMIF(H4:H40,"sb(p)",L4:L40)</f>
        <v>1882.3</v>
      </c>
      <c r="M44" s="725">
        <f>N44+P44</f>
        <v>2067.2</v>
      </c>
      <c r="N44" s="726"/>
      <c r="O44" s="726"/>
      <c r="P44" s="728">
        <f>SUMIF(H4:H40,"sb(p)",P4:P40)</f>
        <v>2067.2</v>
      </c>
      <c r="Q44" s="919">
        <f>SUMIF(H4:H40,"sb(p)",Q4:Q40)</f>
        <v>1720.2</v>
      </c>
      <c r="R44" s="726"/>
      <c r="S44" s="726"/>
      <c r="T44" s="727">
        <f>SUMIF(H4:H40,"SB(P)",T4:T40)</f>
        <v>1720.2</v>
      </c>
      <c r="U44" s="729">
        <f>SUMIF(H4:H40,"SB(P)",U4:U40)</f>
        <v>25</v>
      </c>
      <c r="V44" s="730"/>
    </row>
    <row r="45" spans="4:22" ht="12.75">
      <c r="D45" s="37"/>
      <c r="E45" s="37"/>
      <c r="F45" s="37"/>
      <c r="G45" s="262"/>
      <c r="H45" s="731" t="s">
        <v>8</v>
      </c>
      <c r="I45" s="732">
        <f>J45+L45</f>
        <v>11833.5</v>
      </c>
      <c r="J45" s="733"/>
      <c r="K45" s="733"/>
      <c r="L45" s="734">
        <f>SUMIF(H4:H40,"ES",L4:L40)</f>
        <v>11833.5</v>
      </c>
      <c r="M45" s="725">
        <f>N45+P45</f>
        <v>9889.7</v>
      </c>
      <c r="N45" s="733"/>
      <c r="O45" s="733"/>
      <c r="P45" s="735">
        <f>SUMIF(H4:H40,"ES",P4:P40)</f>
        <v>9889.7</v>
      </c>
      <c r="Q45" s="920">
        <f>SUMIF(H4:H40,"ES",Q4:Q41)</f>
        <v>9889.7</v>
      </c>
      <c r="R45" s="733"/>
      <c r="S45" s="733"/>
      <c r="T45" s="734">
        <f>SUMIF(H4:H40,"ES",T4:T40)</f>
        <v>9889.7</v>
      </c>
      <c r="U45" s="736">
        <f>SUMIF(H4:H40,"ES",U4:U40)</f>
        <v>438.5</v>
      </c>
      <c r="V45" s="737"/>
    </row>
    <row r="46" spans="4:22" ht="13.5" thickBot="1">
      <c r="D46" s="37"/>
      <c r="E46" s="37"/>
      <c r="F46" s="37"/>
      <c r="G46" s="262"/>
      <c r="H46" s="738" t="s">
        <v>7</v>
      </c>
      <c r="I46" s="739">
        <f>J46+L46</f>
        <v>544</v>
      </c>
      <c r="J46" s="740"/>
      <c r="K46" s="740"/>
      <c r="L46" s="741">
        <f>SUMIF(H4:H40,"LRVB",L4:L40)</f>
        <v>544</v>
      </c>
      <c r="M46" s="742">
        <f>N46+P46</f>
        <v>727.9</v>
      </c>
      <c r="N46" s="733"/>
      <c r="O46" s="733"/>
      <c r="P46" s="735">
        <f>SUMIF(H4:H40,"lrvb",P4:P40)</f>
        <v>727.9</v>
      </c>
      <c r="Q46" s="921">
        <f>SUMIF(H4:H40,"LRVB",Q4:Q41)</f>
        <v>727.9</v>
      </c>
      <c r="R46" s="740"/>
      <c r="S46" s="740"/>
      <c r="T46" s="741">
        <f>SUMIF(H4:H40,"LRVB",T4:T40)</f>
        <v>727.9</v>
      </c>
      <c r="U46" s="743">
        <f>SUMIF(H4:H40,"lrvb",U4:U40)</f>
        <v>7500</v>
      </c>
      <c r="V46" s="744">
        <f>SUMIF(H4:H40,"lrvb",V4:V40)</f>
        <v>1618</v>
      </c>
    </row>
    <row r="47" spans="4:22" ht="13.5" thickBot="1">
      <c r="D47" s="37"/>
      <c r="E47" s="37"/>
      <c r="F47" s="37"/>
      <c r="G47" s="262"/>
      <c r="H47" s="745" t="s">
        <v>28</v>
      </c>
      <c r="I47" s="746">
        <f>J47+L47</f>
        <v>14294.8</v>
      </c>
      <c r="J47" s="747">
        <f>J44+J43</f>
        <v>35</v>
      </c>
      <c r="K47" s="747">
        <f>K44+K43</f>
        <v>0</v>
      </c>
      <c r="L47" s="748">
        <f>SUM(L43:L46)</f>
        <v>14259.8</v>
      </c>
      <c r="M47" s="749">
        <f>N47+P47</f>
        <v>12684.800000000001</v>
      </c>
      <c r="N47" s="750"/>
      <c r="O47" s="750"/>
      <c r="P47" s="751">
        <f>SUM(P43:P46)</f>
        <v>12684.800000000001</v>
      </c>
      <c r="Q47" s="746">
        <f>SUM(Q44:Q46)</f>
        <v>12337.800000000001</v>
      </c>
      <c r="R47" s="747"/>
      <c r="S47" s="747"/>
      <c r="T47" s="748">
        <f>SUM(T44:T46)</f>
        <v>12337.800000000001</v>
      </c>
      <c r="U47" s="752">
        <f>SUM(U44:U46)</f>
        <v>7963.5</v>
      </c>
      <c r="V47" s="753">
        <f>SUM(V46)</f>
        <v>1618</v>
      </c>
    </row>
  </sheetData>
  <sheetProtection/>
  <mergeCells count="48">
    <mergeCell ref="C2:V2"/>
    <mergeCell ref="A4:A7"/>
    <mergeCell ref="B4:B7"/>
    <mergeCell ref="C4:C7"/>
    <mergeCell ref="D4:D7"/>
    <mergeCell ref="G4:G7"/>
    <mergeCell ref="A11:A14"/>
    <mergeCell ref="B11:B14"/>
    <mergeCell ref="C11:C14"/>
    <mergeCell ref="D11:D14"/>
    <mergeCell ref="A8:A10"/>
    <mergeCell ref="B8:B10"/>
    <mergeCell ref="C8:C10"/>
    <mergeCell ref="D8:D10"/>
    <mergeCell ref="G34:G36"/>
    <mergeCell ref="A15:A17"/>
    <mergeCell ref="B15:B17"/>
    <mergeCell ref="C15:C17"/>
    <mergeCell ref="D15:D17"/>
    <mergeCell ref="A18:A21"/>
    <mergeCell ref="B18:B21"/>
    <mergeCell ref="C18:C21"/>
    <mergeCell ref="D18:D21"/>
    <mergeCell ref="G18:G21"/>
    <mergeCell ref="A30:A33"/>
    <mergeCell ref="C30:C33"/>
    <mergeCell ref="D30:D33"/>
    <mergeCell ref="A40:A41"/>
    <mergeCell ref="C40:C41"/>
    <mergeCell ref="D40:D41"/>
    <mergeCell ref="F18:F21"/>
    <mergeCell ref="B34:B36"/>
    <mergeCell ref="C34:C36"/>
    <mergeCell ref="D34:D36"/>
    <mergeCell ref="F34:F36"/>
    <mergeCell ref="E35:E36"/>
    <mergeCell ref="A37:A39"/>
    <mergeCell ref="C37:C39"/>
    <mergeCell ref="D37:D39"/>
    <mergeCell ref="D22:D25"/>
    <mergeCell ref="F22:F25"/>
    <mergeCell ref="G22:G25"/>
    <mergeCell ref="A26:A29"/>
    <mergeCell ref="B26:B29"/>
    <mergeCell ref="C26:C29"/>
    <mergeCell ref="D26:D29"/>
    <mergeCell ref="F26:F29"/>
    <mergeCell ref="G26:G29"/>
  </mergeCells>
  <printOptions/>
  <pageMargins left="0" right="0" top="0" bottom="0" header="0.31496062992125984" footer="0.31496062992125984"/>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G.Uzkuriene</dc:creator>
  <cp:keywords/>
  <dc:description/>
  <cp:lastModifiedBy>L.Demidova</cp:lastModifiedBy>
  <cp:lastPrinted>2012-07-09T06:33:12Z</cp:lastPrinted>
  <dcterms:created xsi:type="dcterms:W3CDTF">2006-05-12T05:50:12Z</dcterms:created>
  <dcterms:modified xsi:type="dcterms:W3CDTF">2012-07-12T13:02:15Z</dcterms:modified>
  <cp:category/>
  <cp:version/>
  <cp:contentType/>
  <cp:contentStatus/>
</cp:coreProperties>
</file>