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 lentelė" sheetId="1" r:id="rId1"/>
    <sheet name="bendras lėšų poreikis " sheetId="2" r:id="rId2"/>
    <sheet name="vertinimo kriterijai" sheetId="3" r:id="rId3"/>
  </sheets>
  <definedNames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comments3.xml><?xml version="1.0" encoding="utf-8"?>
<comments xmlns="http://schemas.openxmlformats.org/spreadsheetml/2006/main">
  <authors>
    <author>Snieguole Kacerauskaite</author>
  </authors>
  <commentList>
    <comment ref="F28" authorId="0">
      <text>
        <r>
          <rPr>
            <sz val="9"/>
            <rFont val="Tahoma"/>
            <family val="2"/>
          </rPr>
          <t xml:space="preserve">Keleivinio lifto įrengimas 1) Klaipėdos sveikatos priežiūros centro 1-jame padalinyje (Pievų tako g. 38),
2) VšĮ Klaipėdos miesto stomatologijos poliklinikos pastato renovacija
</t>
        </r>
      </text>
    </comment>
    <comment ref="D28" authorId="0">
      <text>
        <r>
          <rPr>
            <sz val="9"/>
            <rFont val="Tahoma"/>
            <family val="2"/>
          </rPr>
          <t xml:space="preserve">VšĮ Klaipėdos vaikų ligoninės lifto keitimas (K. Donelaičio g.  9) 
</t>
        </r>
      </text>
    </comment>
    <comment ref="G28" authorId="0">
      <text>
        <r>
          <rPr>
            <sz val="9"/>
            <rFont val="Tahoma"/>
            <family val="2"/>
          </rPr>
          <t>VšĮ Klaipėdos sveikatos priežiūros centras -pastato, adresu Taikos pr. 76, šilumos centro remontas ir lauko sienų apšiltinimas</t>
        </r>
      </text>
    </comment>
  </commentList>
</comments>
</file>

<file path=xl/sharedStrings.xml><?xml version="1.0" encoding="utf-8"?>
<sst xmlns="http://schemas.openxmlformats.org/spreadsheetml/2006/main" count="305" uniqueCount="175">
  <si>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</si>
  <si>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</si>
  <si>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</si>
  <si>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</si>
  <si>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</si>
  <si>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</si>
  <si>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</si>
  <si>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</si>
  <si>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</si>
  <si>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</si>
  <si>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</si>
  <si>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</si>
  <si>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</si>
  <si>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</si>
  <si>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</si>
  <si>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</si>
  <si>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Ekonominės klasifikacijos grupės</t>
  </si>
  <si>
    <t>1.2. turtui įsigyti ir finansiniams įsipareigojimams vykdyti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</si>
  <si>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</si>
  <si>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</si>
  <si>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</si>
  <si>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</si>
  <si>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</si>
  <si>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</si>
  <si>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1. IŠ VISO LĖŠŲ POREIKIS:</t>
  </si>
  <si>
    <t>2.2. KITI ŠALTINIAI, IŠ VISO:</t>
  </si>
  <si>
    <t>2.1. SAVIVALDYBĖS  LĖŠOS, IŠ VISO:</t>
  </si>
  <si>
    <t>2. FINANSAVIMO ŠALTINIAI:</t>
  </si>
  <si>
    <t>2.1.2. Savivaldybės privatizavimo fondo lėšos PF</t>
  </si>
  <si>
    <t>Turtui įsigyti ir finansiniams įsipareigojimams vykdyti</t>
  </si>
  <si>
    <t>1.1. išlaidoms, iš jų:</t>
  </si>
  <si>
    <t>1.1.1. darbo užmokesčiui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</si>
  <si>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</si>
  <si>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</si>
  <si>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</si>
  <si>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</si>
  <si>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</si>
  <si>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Sveikatos priežiūros stiprinimo, ugdymo ir profilaktinės veiklos įgyvendinimas  Klaipėdos miesto savivaldybės mokyklose-darželiuose, nevalstybinėse (privačiai įsteigtose) ir profesinėse mokyklose</t>
  </si>
  <si>
    <t>Klaipėdos miesto gyventojų sveikatos priežiūros paslaugų rėmimas</t>
  </si>
  <si>
    <t>ES</t>
  </si>
  <si>
    <t>03</t>
  </si>
  <si>
    <t>04</t>
  </si>
  <si>
    <t>PF</t>
  </si>
  <si>
    <t>LRVB</t>
  </si>
  <si>
    <t>13</t>
  </si>
  <si>
    <t xml:space="preserve">Programos (Nr. 13)  lėšų  poreikis ir numatomi finansavimo šaltiniai       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</si>
  <si>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</si>
  <si>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</si>
  <si>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</si>
  <si>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</si>
  <si>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</si>
  <si>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</si>
  <si>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</si>
  <si>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2012-ųjų metų planas</t>
  </si>
  <si>
    <t>Rezultato:</t>
  </si>
  <si>
    <t>1-ajam programos tikslui</t>
  </si>
  <si>
    <t>13-15</t>
  </si>
  <si>
    <t>Produkto:</t>
  </si>
  <si>
    <t>1-ajam uždaviniui</t>
  </si>
  <si>
    <t>P-13-01-01-01</t>
  </si>
  <si>
    <t>P-13-01-01-02</t>
  </si>
  <si>
    <t>2-ajam uždaviniui</t>
  </si>
  <si>
    <t>03.13</t>
  </si>
  <si>
    <t>I</t>
  </si>
  <si>
    <t>Kt</t>
  </si>
  <si>
    <t xml:space="preserve">I  </t>
  </si>
  <si>
    <t>UŽTIKRINTI GYVENTOJAMS AUKŠTĄ ŠVIETIMO, KULTŪROS, SOCIALINIŲ,  SPORTO IR SVEIKATOS APSAUGOS PASLAUGŲ KOKYBĘ IR PRIEINAMUMĄ</t>
  </si>
  <si>
    <t>Įgyvendinamas įstaigos strateginio tikslo kodas, programos kodas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</si>
  <si>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</si>
  <si>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</si>
  <si>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</si>
  <si>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Užtikrinti visuomenės sveikatos priežiūros paslaugų teikimą</t>
  </si>
  <si>
    <t>2.1.1. savivaldybės biudžetas, iš jo: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</si>
  <si>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</si>
  <si>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2.1.1.5. 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</si>
  <si>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</si>
  <si>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t>Sveikatos priežiūros stiprinimo, ugdymo ir profilaktinės veiklos įgyvendinimas  Klaipėdos miesto savivaldybės bendrojo lavinimo mokyklose</t>
  </si>
  <si>
    <t>BĮ Klaipėdos miesto visuomenės sveikatos biuro veiklos organizavimas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</si>
  <si>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</si>
  <si>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</si>
  <si>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</si>
  <si>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</si>
  <si>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t>Savivaldybės biudžetas, iš jo:</t>
  </si>
  <si>
    <t>05</t>
  </si>
  <si>
    <t>Projektas 2013-iesiems metams</t>
  </si>
  <si>
    <t xml:space="preserve"> P4.3.2.1</t>
  </si>
  <si>
    <t>P4.3.1.2</t>
  </si>
  <si>
    <t>2013-ųjų metų planas</t>
  </si>
  <si>
    <t>2. Ugdymo įstaigų, kuriose vykdoma vaikų sveikatos priežiūra, skaičius</t>
  </si>
  <si>
    <t>P-13-01-01-03</t>
  </si>
  <si>
    <t>3-ajam uždaviniui</t>
  </si>
  <si>
    <t>R-13-01-01</t>
  </si>
  <si>
    <t>R-13-01-02</t>
  </si>
  <si>
    <t>R-13-01-03</t>
  </si>
  <si>
    <r>
      <t xml:space="preserve">2.2.5. kiti finansavimo šaltiniai </t>
    </r>
    <r>
      <rPr>
        <b/>
        <sz val="10"/>
        <rFont val="Times New Roman"/>
        <family val="1"/>
      </rPr>
      <t>Kt</t>
    </r>
  </si>
  <si>
    <t>Projekto „Tiltas į geresnę visuomenės sveikatą“ įgyvendinimas</t>
  </si>
  <si>
    <t xml:space="preserve">VšĮ Klaipėdos vaikų ligoninės lifto keitimas (K. Donelaičio g.  9) 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</si>
  <si>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</si>
  <si>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</si>
  <si>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</si>
  <si>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Savivaldybės privatizavimo fondo lėšos </t>
    </r>
    <r>
      <rPr>
        <b/>
        <sz val="10"/>
        <rFont val="Times New Roman"/>
        <family val="1"/>
      </rPr>
      <t>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</si>
  <si>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</si>
  <si>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</si>
  <si>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</si>
  <si>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3</t>
  </si>
  <si>
    <t>5</t>
  </si>
  <si>
    <r>
      <t xml:space="preserve"> 2.1.1.4. pajamų įmokos už paslaugas  </t>
    </r>
    <r>
      <rPr>
        <b/>
        <sz val="10"/>
        <rFont val="Times New Roman"/>
        <family val="1"/>
      </rPr>
      <t>SB(SP)</t>
    </r>
  </si>
  <si>
    <t>Asignavimai 2011-iesiems metams</t>
  </si>
  <si>
    <t>Asignavimų poreikis biudžetiniams 2012-iesiems metams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</si>
  <si>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</si>
  <si>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2012-ųjų metų asignavimų planas</t>
  </si>
  <si>
    <t>Projektas 2014-iesiems metams</t>
  </si>
  <si>
    <t>VšĮ Klaipėdos universitetinės ligoninės centrinio korpuso operacinių rekonstrukcija</t>
  </si>
  <si>
    <t>Lėšų poreikis biudžetiniams 2012-iesiems metams</t>
  </si>
  <si>
    <t xml:space="preserve"> 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</si>
  <si>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</si>
  <si>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</si>
  <si>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</si>
  <si>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</si>
  <si>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</si>
  <si>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2013-ųjų metų lėšų poreikis</t>
  </si>
  <si>
    <t>2014-ųjų metų lėšų poreikis</t>
  </si>
  <si>
    <t>Asignavimai 2011-iesiems metams*</t>
  </si>
  <si>
    <t>1 lentelė</t>
  </si>
  <si>
    <t>Užtikrinti asmens sveikatos priežiūros paslaugų teikimą</t>
  </si>
  <si>
    <t>Sveikatos priežiūros įstaigų infrastruktūros tobulinimas:</t>
  </si>
  <si>
    <t>1 lentelės tęsinys</t>
  </si>
  <si>
    <t>6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</si>
  <si>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</si>
  <si>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</si>
  <si>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2.1.1.6. paskolos lėšos </t>
    </r>
    <r>
      <rPr>
        <b/>
        <sz val="10"/>
        <rFont val="Times New Roman"/>
        <family val="1"/>
      </rPr>
      <t>SB(P)</t>
    </r>
  </si>
  <si>
    <t xml:space="preserve">BĮ Priklausomybės ligų centro pastato fasado (Taikos pr. 46) einamasis  remontas </t>
  </si>
  <si>
    <t>10-12</t>
  </si>
  <si>
    <t>1. Apgyvendintų vaikų skaičius Klaipėdos sutrikusio vystymosi kūdikių namuose</t>
  </si>
  <si>
    <t>2. Lovadienių skaičius Klaipėdos sutrikusio vystymosi kūdikių namuose</t>
  </si>
  <si>
    <t>3. Apsilankymų Priklausomybės ligų centro ambulatorijoje skaičius</t>
  </si>
  <si>
    <t xml:space="preserve">4. Hospitalizacijų skaičius Priklausomybės ligų centre </t>
  </si>
  <si>
    <t>P-13-01-02-01</t>
  </si>
  <si>
    <t>P-13-01-02-02</t>
  </si>
  <si>
    <t>P-13-01-02-03</t>
  </si>
  <si>
    <t>P-13-01-02-04</t>
  </si>
  <si>
    <t>P-13-01-03-01</t>
  </si>
  <si>
    <t>P4.3.3.1</t>
  </si>
  <si>
    <t xml:space="preserve"> P4.3.2.3</t>
  </si>
  <si>
    <t>2014-ųjų metų planas</t>
  </si>
  <si>
    <r>
      <t xml:space="preserve"> </t>
    </r>
    <r>
      <rPr>
        <sz val="10"/>
        <rFont val="Times New Roman"/>
        <family val="1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</si>
  <si>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2010-ųjų metų faktas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</si>
  <si>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9-12
30-32
10-15</t>
  </si>
  <si>
    <t xml:space="preserve">                                        10-12                  27-30                         11-15</t>
  </si>
  <si>
    <t xml:space="preserve">                                        10-14                  30-35                         15-20</t>
  </si>
  <si>
    <t xml:space="preserve">                                       6,1                 22,2                         2,5</t>
  </si>
  <si>
    <t>3. Bendrojo ugdymo mokyklų, kuriose vykdoma mokinių sveikatos priežiūra, skaičius</t>
  </si>
  <si>
    <t>1. Asmenų, dalyvavusių Visuomenės sveikatos rėmimo specialiosios programos įgyvendinimo programoje, skaičius</t>
  </si>
  <si>
    <r>
      <t xml:space="preserve"> </t>
    </r>
    <r>
      <rPr>
        <sz val="10"/>
        <rFont val="Times New Roman"/>
        <family val="1"/>
      </rPr>
      <t>2011–2014</t>
    </r>
    <r>
      <rPr>
        <sz val="10"/>
        <rFont val="Times New Roman"/>
        <family val="1"/>
      </rPr>
      <t xml:space="preserve"> METŲ KLAIPĖDOS MIESTO SAVIVALDYBĖS 
</t>
    </r>
    <r>
      <rPr>
        <b/>
        <sz val="10"/>
        <rFont val="Times New Roman"/>
        <family val="1"/>
      </rPr>
      <t>SVEIKATOS APSAUGOS PROGRAMOS (NR. 13)</t>
    </r>
    <r>
      <rPr>
        <sz val="10"/>
        <rFont val="Times New Roman"/>
        <family val="1"/>
      </rPr>
      <t xml:space="preserve">
</t>
    </r>
  </si>
  <si>
    <t>n.d.</t>
  </si>
  <si>
    <t>augantis</t>
  </si>
  <si>
    <t>R-13-01-04</t>
  </si>
  <si>
    <t>R-13-01-05</t>
  </si>
  <si>
    <t>1. Klaipėdiečių mankštinimosi bendras dažnis, proc.</t>
  </si>
  <si>
    <t>2. Visų laisvalaikiu besimankštinančių asmenų dalis, proc.</t>
  </si>
  <si>
    <t>3. Vaikų, kuriems silantuoti dantys, procentas</t>
  </si>
  <si>
    <t xml:space="preserve">4. Vaikų procentas nuo apsilankiusiųjų ambulatorinėse sveikatos priežiūros įstaigose, kuriems nustatyta:
- skoliozė;
- regos sutrikimai;
- nenormali laikysena
</t>
  </si>
  <si>
    <t>5. Vienam gyventojui vidutiniškai tenkantis apsilankymų skaičius poliklinikose ir ambulatorijose sk./per metus</t>
  </si>
  <si>
    <t>1. Modernizuota sveikatos priežiūros įstaigų, skaičius</t>
  </si>
  <si>
    <t>13 Sveikatos apsaugos programa</t>
  </si>
  <si>
    <t>Keleivinio lifto įrengimas Klaipėdos sveikatos priežiūros centro 1-ajame padalinyje (Pievų Tako g. 38)</t>
  </si>
  <si>
    <t>Projekto „Pastato, adresu Taikos pr. 76, remontas (šilumos centro remontas ir lauko sienų apšiltinimas)“ įgyvendinimas</t>
  </si>
  <si>
    <r>
      <t>Projekto „</t>
    </r>
    <r>
      <rPr>
        <b/>
        <sz val="10"/>
        <rFont val="Times New Roman"/>
        <family val="1"/>
      </rPr>
      <t xml:space="preserve">Pastato III aukšto patalpų kapitalinis remontas, pritaikant BĮ Klaipėdos visuomenės sveikatos biurui (Taikos pr. 76)“ </t>
    </r>
    <r>
      <rPr>
        <sz val="10"/>
        <rFont val="Times New Roman"/>
        <family val="1"/>
      </rPr>
      <t>įgyvendinimas</t>
    </r>
  </si>
  <si>
    <r>
      <t xml:space="preserve">2.1.1.2. 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</si>
  <si>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 2.1.1.3. Savivaldybės aplinkos apsaugos rėmimo specialiosios programos lėšų likutis </t>
    </r>
    <r>
      <rPr>
        <b/>
        <sz val="10"/>
        <rFont val="Times New Roman"/>
        <family val="1"/>
      </rPr>
      <t>SB(AAL)</t>
    </r>
  </si>
  <si>
    <r>
      <t xml:space="preserve">2.2.4. Privalomojo sveikatos draudimo fondo lėšos </t>
    </r>
    <r>
      <rPr>
        <b/>
        <sz val="10"/>
        <rFont val="Times New Roman"/>
        <family val="1"/>
      </rPr>
      <t>PSDF</t>
    </r>
  </si>
  <si>
    <t>KLAIPĖDOS MIESTO SAVIVALDYBĖS SVEIKATOS APSAUGOS PROGRAMA  (Nr. 13)</t>
  </si>
  <si>
    <t>2012-ųjų asignavimų planas**</t>
  </si>
  <si>
    <r>
      <t>Projekto</t>
    </r>
    <r>
      <rPr>
        <b/>
        <sz val="10"/>
        <color indexed="10"/>
        <rFont val="Times New Roman"/>
        <family val="1"/>
      </rPr>
      <t xml:space="preserve"> „VšĮ Klaipėdos miesto stomatologijos poliklinikos pastato renovacija (energetinių priemonių įgyvendinimas)“ </t>
    </r>
    <r>
      <rPr>
        <sz val="10"/>
        <color indexed="10"/>
        <rFont val="Times New Roman"/>
        <family val="1"/>
      </rPr>
      <t>įgyvendinimas</t>
    </r>
  </si>
  <si>
    <t>2012-ųjų metų  asignavimų planas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</si>
</sst>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#,##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 Baltic"/>
      <family val="1"/>
    </font>
    <font>
      <sz val="10"/>
      <name val="TimesLT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Arial"/>
      <family val="2"/>
    </font>
    <font>
      <sz val="9"/>
      <name val="Times New Roman Baltic"/>
      <family val="1"/>
    </font>
    <font>
      <sz val="12"/>
      <name val="Times New Roman Baltic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 Baltic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16" borderId="4" applyNumberFormat="0" applyAlignment="0" applyProtection="0"/>
    <xf numFmtId="0" fontId="40" fillId="7" borderId="5" applyNumberFormat="0" applyAlignment="0" applyProtection="0"/>
    <xf numFmtId="0" fontId="41" fillId="17" borderId="0" applyNumberFormat="0" applyBorder="0" applyAlignment="0" applyProtection="0"/>
    <xf numFmtId="0" fontId="12" fillId="0" borderId="0">
      <alignment/>
      <protection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712">
    <xf numFmtId="0" fontId="0" fillId="0" borderId="0" xfId="0" applyAlignment="1">
      <alignment/>
    </xf>
    <xf numFmtId="172" fontId="4" fillId="4" borderId="10" xfId="0" applyNumberFormat="1" applyFont="1" applyFill="1" applyBorder="1" applyAlignment="1">
      <alignment horizontal="center" vertical="top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172" fontId="8" fillId="0" borderId="13" xfId="0" applyNumberFormat="1" applyFont="1" applyBorder="1" applyAlignment="1">
      <alignment horizontal="center" vertical="top" wrapText="1"/>
    </xf>
    <xf numFmtId="172" fontId="8" fillId="0" borderId="14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center" vertical="top" wrapText="1"/>
    </xf>
    <xf numFmtId="172" fontId="8" fillId="0" borderId="16" xfId="0" applyNumberFormat="1" applyFont="1" applyBorder="1" applyAlignment="1">
      <alignment horizontal="center" vertical="top" wrapText="1"/>
    </xf>
    <xf numFmtId="172" fontId="8" fillId="0" borderId="13" xfId="0" applyNumberFormat="1" applyFont="1" applyBorder="1" applyAlignment="1">
      <alignment horizontal="center" vertical="top"/>
    </xf>
    <xf numFmtId="172" fontId="8" fillId="0" borderId="17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top" wrapText="1"/>
    </xf>
    <xf numFmtId="172" fontId="3" fillId="24" borderId="18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172" fontId="8" fillId="0" borderId="19" xfId="0" applyNumberFormat="1" applyFont="1" applyBorder="1" applyAlignment="1">
      <alignment horizontal="center" vertical="top" wrapText="1"/>
    </xf>
    <xf numFmtId="172" fontId="8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72" fontId="8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24" borderId="27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top" wrapText="1"/>
    </xf>
    <xf numFmtId="172" fontId="3" fillId="0" borderId="19" xfId="0" applyNumberFormat="1" applyFont="1" applyBorder="1" applyAlignment="1">
      <alignment horizontal="center" vertical="top" wrapText="1"/>
    </xf>
    <xf numFmtId="0" fontId="2" fillId="24" borderId="27" xfId="0" applyFont="1" applyFill="1" applyBorder="1" applyAlignment="1">
      <alignment vertical="top" wrapText="1"/>
    </xf>
    <xf numFmtId="172" fontId="4" fillId="4" borderId="29" xfId="0" applyNumberFormat="1" applyFont="1" applyFill="1" applyBorder="1" applyAlignment="1">
      <alignment horizontal="center" vertical="top"/>
    </xf>
    <xf numFmtId="172" fontId="4" fillId="4" borderId="18" xfId="0" applyNumberFormat="1" applyFont="1" applyFill="1" applyBorder="1" applyAlignment="1">
      <alignment horizontal="center" vertical="top"/>
    </xf>
    <xf numFmtId="172" fontId="4" fillId="4" borderId="30" xfId="0" applyNumberFormat="1" applyFont="1" applyFill="1" applyBorder="1" applyAlignment="1">
      <alignment horizontal="center" vertical="top"/>
    </xf>
    <xf numFmtId="172" fontId="4" fillId="4" borderId="31" xfId="0" applyNumberFormat="1" applyFont="1" applyFill="1" applyBorder="1" applyAlignment="1">
      <alignment horizontal="center" vertical="top"/>
    </xf>
    <xf numFmtId="172" fontId="4" fillId="4" borderId="32" xfId="0" applyNumberFormat="1" applyFont="1" applyFill="1" applyBorder="1" applyAlignment="1">
      <alignment horizontal="center" vertical="top"/>
    </xf>
    <xf numFmtId="0" fontId="11" fillId="0" borderId="0" xfId="50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50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0" borderId="0" xfId="50" applyFont="1" applyAlignment="1">
      <alignment horizontal="center" vertical="center" wrapText="1"/>
      <protection/>
    </xf>
    <xf numFmtId="49" fontId="14" fillId="0" borderId="0" xfId="50" applyNumberFormat="1" applyFont="1" applyAlignment="1" applyProtection="1">
      <alignment horizontal="center" vertical="top"/>
      <protection/>
    </xf>
    <xf numFmtId="0" fontId="15" fillId="0" borderId="0" xfId="50" applyFont="1">
      <alignment/>
      <protection/>
    </xf>
    <xf numFmtId="0" fontId="16" fillId="0" borderId="37" xfId="50" applyFont="1" applyBorder="1" applyAlignment="1">
      <alignment horizontal="center" vertical="top"/>
      <protection/>
    </xf>
    <xf numFmtId="49" fontId="16" fillId="0" borderId="38" xfId="50" applyNumberFormat="1" applyFont="1" applyBorder="1" applyAlignment="1">
      <alignment horizontal="left"/>
      <protection/>
    </xf>
    <xf numFmtId="0" fontId="16" fillId="0" borderId="38" xfId="50" applyFont="1" applyBorder="1" applyAlignment="1">
      <alignment horizontal="center" vertical="top"/>
      <protection/>
    </xf>
    <xf numFmtId="0" fontId="16" fillId="0" borderId="38" xfId="50" applyFont="1" applyBorder="1" applyAlignment="1">
      <alignment horizontal="left"/>
      <protection/>
    </xf>
    <xf numFmtId="0" fontId="16" fillId="0" borderId="38" xfId="50" applyFont="1" applyFill="1" applyBorder="1" applyAlignment="1">
      <alignment horizontal="center" vertical="top"/>
      <protection/>
    </xf>
    <xf numFmtId="0" fontId="1" fillId="0" borderId="38" xfId="0" applyFont="1" applyBorder="1" applyAlignment="1">
      <alignment horizontal="center"/>
    </xf>
    <xf numFmtId="0" fontId="16" fillId="0" borderId="38" xfId="50" applyFont="1" applyBorder="1" applyAlignment="1">
      <alignment horizontal="center"/>
      <protection/>
    </xf>
    <xf numFmtId="0" fontId="2" fillId="0" borderId="33" xfId="0" applyFont="1" applyBorder="1" applyAlignment="1">
      <alignment horizontal="center" vertical="top" wrapText="1"/>
    </xf>
    <xf numFmtId="0" fontId="16" fillId="0" borderId="0" xfId="50" applyFont="1" applyBorder="1" applyAlignment="1">
      <alignment horizontal="left" vertical="top" wrapText="1"/>
      <protection/>
    </xf>
    <xf numFmtId="0" fontId="16" fillId="0" borderId="39" xfId="50" applyFont="1" applyBorder="1" applyAlignment="1">
      <alignment horizontal="center" vertical="top"/>
      <protection/>
    </xf>
    <xf numFmtId="0" fontId="16" fillId="0" borderId="0" xfId="50" applyFont="1" applyBorder="1" applyAlignment="1">
      <alignment horizontal="center" vertical="top"/>
      <protection/>
    </xf>
    <xf numFmtId="0" fontId="1" fillId="0" borderId="0" xfId="0" applyFont="1" applyBorder="1" applyAlignment="1">
      <alignment horizontal="center"/>
    </xf>
    <xf numFmtId="0" fontId="18" fillId="0" borderId="0" xfId="50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172" fontId="8" fillId="0" borderId="40" xfId="0" applyNumberFormat="1" applyFont="1" applyBorder="1" applyAlignment="1">
      <alignment horizontal="center" vertical="top" wrapText="1"/>
    </xf>
    <xf numFmtId="172" fontId="8" fillId="0" borderId="41" xfId="0" applyNumberFormat="1" applyFont="1" applyBorder="1" applyAlignment="1">
      <alignment horizontal="center" vertical="top"/>
    </xf>
    <xf numFmtId="172" fontId="8" fillId="0" borderId="4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9" fontId="21" fillId="0" borderId="37" xfId="50" applyNumberFormat="1" applyFont="1" applyBorder="1" applyAlignment="1">
      <alignment horizontal="center"/>
      <protection/>
    </xf>
    <xf numFmtId="0" fontId="15" fillId="0" borderId="43" xfId="50" applyFont="1" applyBorder="1" applyAlignment="1">
      <alignment horizontal="left" vertical="top" wrapText="1"/>
      <protection/>
    </xf>
    <xf numFmtId="0" fontId="16" fillId="0" borderId="37" xfId="50" applyFont="1" applyFill="1" applyBorder="1" applyAlignment="1">
      <alignment horizontal="center" vertical="top"/>
      <protection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distributed" wrapText="1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50" applyFont="1" applyBorder="1" applyAlignment="1">
      <alignment horizontal="left" vertical="top" wrapText="1"/>
      <protection/>
    </xf>
    <xf numFmtId="0" fontId="15" fillId="0" borderId="0" xfId="50" applyFont="1" applyAlignment="1">
      <alignment horizontal="center"/>
      <protection/>
    </xf>
    <xf numFmtId="0" fontId="16" fillId="0" borderId="44" xfId="50" applyFont="1" applyBorder="1" applyAlignment="1">
      <alignment horizontal="center" vertical="top"/>
      <protection/>
    </xf>
    <xf numFmtId="0" fontId="1" fillId="0" borderId="38" xfId="50" applyFont="1" applyBorder="1" applyAlignment="1">
      <alignment horizontal="center" vertical="top"/>
      <protection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49" fontId="2" fillId="8" borderId="32" xfId="0" applyNumberFormat="1" applyFont="1" applyFill="1" applyBorder="1" applyAlignment="1">
      <alignment horizontal="center" vertical="top" wrapText="1"/>
    </xf>
    <xf numFmtId="49" fontId="2" fillId="8" borderId="32" xfId="0" applyNumberFormat="1" applyFont="1" applyFill="1" applyBorder="1" applyAlignment="1">
      <alignment horizontal="center" vertical="top"/>
    </xf>
    <xf numFmtId="49" fontId="2" fillId="4" borderId="46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172" fontId="1" fillId="0" borderId="47" xfId="0" applyNumberFormat="1" applyFont="1" applyBorder="1" applyAlignment="1">
      <alignment horizontal="center" vertical="center"/>
    </xf>
    <xf numFmtId="172" fontId="1" fillId="0" borderId="48" xfId="0" applyNumberFormat="1" applyFont="1" applyBorder="1" applyAlignment="1">
      <alignment horizontal="center" vertical="center"/>
    </xf>
    <xf numFmtId="172" fontId="1" fillId="0" borderId="49" xfId="0" applyNumberFormat="1" applyFont="1" applyBorder="1" applyAlignment="1">
      <alignment horizontal="center" vertical="center"/>
    </xf>
    <xf numFmtId="172" fontId="1" fillId="25" borderId="50" xfId="0" applyNumberFormat="1" applyFont="1" applyFill="1" applyBorder="1" applyAlignment="1">
      <alignment horizontal="center" vertical="center" wrapText="1"/>
    </xf>
    <xf numFmtId="49" fontId="2" fillId="8" borderId="51" xfId="0" applyNumberFormat="1" applyFont="1" applyFill="1" applyBorder="1" applyAlignment="1">
      <alignment horizontal="center" vertical="top"/>
    </xf>
    <xf numFmtId="49" fontId="2" fillId="4" borderId="52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172" fontId="1" fillId="0" borderId="38" xfId="0" applyNumberFormat="1" applyFont="1" applyBorder="1" applyAlignment="1">
      <alignment horizontal="center" vertical="center"/>
    </xf>
    <xf numFmtId="172" fontId="1" fillId="0" borderId="51" xfId="0" applyNumberFormat="1" applyFont="1" applyBorder="1" applyAlignment="1">
      <alignment horizontal="center" vertical="center"/>
    </xf>
    <xf numFmtId="172" fontId="1" fillId="0" borderId="53" xfId="0" applyNumberFormat="1" applyFont="1" applyBorder="1" applyAlignment="1">
      <alignment horizontal="center" vertical="center"/>
    </xf>
    <xf numFmtId="172" fontId="1" fillId="25" borderId="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" fillId="0" borderId="37" xfId="0" applyNumberFormat="1" applyFont="1" applyFill="1" applyBorder="1" applyAlignment="1">
      <alignment horizontal="center" vertical="center"/>
    </xf>
    <xf numFmtId="172" fontId="1" fillId="0" borderId="54" xfId="0" applyNumberFormat="1" applyFont="1" applyFill="1" applyBorder="1" applyAlignment="1">
      <alignment horizontal="center" vertical="center"/>
    </xf>
    <xf numFmtId="172" fontId="1" fillId="0" borderId="55" xfId="0" applyNumberFormat="1" applyFont="1" applyFill="1" applyBorder="1" applyAlignment="1">
      <alignment horizontal="center" vertical="center"/>
    </xf>
    <xf numFmtId="172" fontId="1" fillId="0" borderId="3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 wrapText="1"/>
    </xf>
    <xf numFmtId="172" fontId="1" fillId="0" borderId="47" xfId="0" applyNumberFormat="1" applyFont="1" applyFill="1" applyBorder="1" applyAlignment="1">
      <alignment horizontal="center" vertical="top"/>
    </xf>
    <xf numFmtId="172" fontId="1" fillId="0" borderId="56" xfId="0" applyNumberFormat="1" applyFont="1" applyFill="1" applyBorder="1" applyAlignment="1">
      <alignment horizontal="center" vertical="top"/>
    </xf>
    <xf numFmtId="172" fontId="1" fillId="0" borderId="57" xfId="0" applyNumberFormat="1" applyFont="1" applyFill="1" applyBorder="1" applyAlignment="1">
      <alignment horizontal="center" vertical="top"/>
    </xf>
    <xf numFmtId="172" fontId="1" fillId="0" borderId="58" xfId="0" applyNumberFormat="1" applyFont="1" applyFill="1" applyBorder="1" applyAlignment="1">
      <alignment horizontal="center" vertical="top"/>
    </xf>
    <xf numFmtId="172" fontId="1" fillId="0" borderId="59" xfId="0" applyNumberFormat="1" applyFont="1" applyFill="1" applyBorder="1" applyAlignment="1">
      <alignment horizontal="center" vertical="top"/>
    </xf>
    <xf numFmtId="172" fontId="1" fillId="0" borderId="48" xfId="0" applyNumberFormat="1" applyFont="1" applyFill="1" applyBorder="1" applyAlignment="1">
      <alignment horizontal="center" vertical="top"/>
    </xf>
    <xf numFmtId="172" fontId="1" fillId="0" borderId="48" xfId="0" applyNumberFormat="1" applyFont="1" applyFill="1" applyBorder="1" applyAlignment="1">
      <alignment horizontal="center" vertical="top" wrapText="1"/>
    </xf>
    <xf numFmtId="172" fontId="1" fillId="0" borderId="49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172" fontId="1" fillId="0" borderId="38" xfId="0" applyNumberFormat="1" applyFont="1" applyFill="1" applyBorder="1" applyAlignment="1">
      <alignment horizontal="center" vertical="top"/>
    </xf>
    <xf numFmtId="172" fontId="1" fillId="0" borderId="51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172" fontId="1" fillId="0" borderId="22" xfId="0" applyNumberFormat="1" applyFont="1" applyFill="1" applyBorder="1" applyAlignment="1">
      <alignment horizontal="center" vertical="top"/>
    </xf>
    <xf numFmtId="172" fontId="1" fillId="0" borderId="60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172" fontId="1" fillId="0" borderId="54" xfId="0" applyNumberFormat="1" applyFont="1" applyFill="1" applyBorder="1" applyAlignment="1">
      <alignment horizontal="center" vertical="top"/>
    </xf>
    <xf numFmtId="172" fontId="1" fillId="0" borderId="37" xfId="0" applyNumberFormat="1" applyFont="1" applyFill="1" applyBorder="1" applyAlignment="1">
      <alignment horizontal="center" vertical="top"/>
    </xf>
    <xf numFmtId="172" fontId="2" fillId="0" borderId="61" xfId="0" applyNumberFormat="1" applyFont="1" applyFill="1" applyBorder="1" applyAlignment="1">
      <alignment horizontal="center" vertical="top"/>
    </xf>
    <xf numFmtId="172" fontId="1" fillId="25" borderId="17" xfId="0" applyNumberFormat="1" applyFont="1" applyFill="1" applyBorder="1" applyAlignment="1">
      <alignment horizontal="center" vertical="top"/>
    </xf>
    <xf numFmtId="172" fontId="1" fillId="0" borderId="62" xfId="0" applyNumberFormat="1" applyFont="1" applyFill="1" applyBorder="1" applyAlignment="1">
      <alignment horizontal="center" vertical="top"/>
    </xf>
    <xf numFmtId="172" fontId="1" fillId="25" borderId="22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172" fontId="1" fillId="0" borderId="63" xfId="0" applyNumberFormat="1" applyFont="1" applyFill="1" applyBorder="1" applyAlignment="1">
      <alignment horizontal="center" vertical="top"/>
    </xf>
    <xf numFmtId="172" fontId="1" fillId="0" borderId="33" xfId="0" applyNumberFormat="1" applyFont="1" applyFill="1" applyBorder="1" applyAlignment="1">
      <alignment horizontal="center" vertical="top"/>
    </xf>
    <xf numFmtId="172" fontId="1" fillId="0" borderId="64" xfId="0" applyNumberFormat="1" applyFont="1" applyFill="1" applyBorder="1" applyAlignment="1">
      <alignment horizontal="center" vertical="top"/>
    </xf>
    <xf numFmtId="172" fontId="1" fillId="25" borderId="16" xfId="0" applyNumberFormat="1" applyFont="1" applyFill="1" applyBorder="1" applyAlignment="1">
      <alignment horizontal="center" vertical="top"/>
    </xf>
    <xf numFmtId="172" fontId="1" fillId="0" borderId="65" xfId="0" applyNumberFormat="1" applyFont="1" applyFill="1" applyBorder="1" applyAlignment="1">
      <alignment horizontal="center" vertical="top"/>
    </xf>
    <xf numFmtId="49" fontId="2" fillId="8" borderId="27" xfId="0" applyNumberFormat="1" applyFont="1" applyFill="1" applyBorder="1" applyAlignment="1">
      <alignment horizontal="center" vertical="top"/>
    </xf>
    <xf numFmtId="0" fontId="1" fillId="0" borderId="66" xfId="0" applyFont="1" applyBorder="1" applyAlignment="1">
      <alignment horizontal="center" vertical="top" wrapText="1"/>
    </xf>
    <xf numFmtId="172" fontId="1" fillId="0" borderId="67" xfId="0" applyNumberFormat="1" applyFont="1" applyFill="1" applyBorder="1" applyAlignment="1">
      <alignment horizontal="center" vertical="top" wrapText="1"/>
    </xf>
    <xf numFmtId="172" fontId="1" fillId="0" borderId="68" xfId="0" applyNumberFormat="1" applyFont="1" applyFill="1" applyBorder="1" applyAlignment="1">
      <alignment horizontal="center" vertical="top" wrapText="1"/>
    </xf>
    <xf numFmtId="172" fontId="1" fillId="0" borderId="69" xfId="0" applyNumberFormat="1" applyFont="1" applyFill="1" applyBorder="1" applyAlignment="1">
      <alignment horizontal="center" vertical="top" wrapText="1"/>
    </xf>
    <xf numFmtId="172" fontId="1" fillId="0" borderId="70" xfId="0" applyNumberFormat="1" applyFont="1" applyFill="1" applyBorder="1" applyAlignment="1">
      <alignment horizontal="center" vertical="top" wrapText="1"/>
    </xf>
    <xf numFmtId="172" fontId="1" fillId="25" borderId="71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172" fontId="1" fillId="0" borderId="43" xfId="0" applyNumberFormat="1" applyFont="1" applyBorder="1" applyAlignment="1">
      <alignment horizontal="center" vertical="top"/>
    </xf>
    <xf numFmtId="172" fontId="1" fillId="0" borderId="37" xfId="0" applyNumberFormat="1" applyFont="1" applyBorder="1" applyAlignment="1">
      <alignment horizontal="center" vertical="top"/>
    </xf>
    <xf numFmtId="172" fontId="1" fillId="0" borderId="61" xfId="0" applyNumberFormat="1" applyFont="1" applyBorder="1" applyAlignment="1">
      <alignment horizontal="center" vertical="top"/>
    </xf>
    <xf numFmtId="172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172" fontId="1" fillId="0" borderId="33" xfId="0" applyNumberFormat="1" applyFont="1" applyBorder="1" applyAlignment="1">
      <alignment horizontal="center" vertical="top"/>
    </xf>
    <xf numFmtId="172" fontId="1" fillId="0" borderId="36" xfId="0" applyNumberFormat="1" applyFont="1" applyBorder="1" applyAlignment="1">
      <alignment horizontal="center" vertical="top"/>
    </xf>
    <xf numFmtId="172" fontId="1" fillId="0" borderId="34" xfId="0" applyNumberFormat="1" applyFont="1" applyBorder="1" applyAlignment="1">
      <alignment horizontal="center" vertical="top"/>
    </xf>
    <xf numFmtId="172" fontId="1" fillId="0" borderId="16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172" fontId="1" fillId="0" borderId="38" xfId="0" applyNumberFormat="1" applyFont="1" applyBorder="1" applyAlignment="1">
      <alignment horizontal="center" vertical="top"/>
    </xf>
    <xf numFmtId="172" fontId="1" fillId="0" borderId="44" xfId="0" applyNumberFormat="1" applyFont="1" applyBorder="1" applyAlignment="1">
      <alignment horizontal="center" vertical="top"/>
    </xf>
    <xf numFmtId="172" fontId="1" fillId="0" borderId="52" xfId="0" applyNumberFormat="1" applyFont="1" applyBorder="1" applyAlignment="1">
      <alignment horizontal="center" vertical="top"/>
    </xf>
    <xf numFmtId="172" fontId="1" fillId="0" borderId="38" xfId="0" applyNumberFormat="1" applyFont="1" applyFill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172" fontId="1" fillId="0" borderId="71" xfId="0" applyNumberFormat="1" applyFont="1" applyBorder="1" applyAlignment="1">
      <alignment horizontal="center" vertical="top"/>
    </xf>
    <xf numFmtId="172" fontId="1" fillId="0" borderId="47" xfId="0" applyNumberFormat="1" applyFont="1" applyFill="1" applyBorder="1" applyAlignment="1">
      <alignment horizontal="center" vertical="center"/>
    </xf>
    <xf numFmtId="49" fontId="2" fillId="4" borderId="68" xfId="0" applyNumberFormat="1" applyFont="1" applyFill="1" applyBorder="1" applyAlignment="1">
      <alignment horizontal="center" vertical="top"/>
    </xf>
    <xf numFmtId="49" fontId="2" fillId="24" borderId="32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72" fontId="24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top" wrapText="1"/>
    </xf>
    <xf numFmtId="172" fontId="1" fillId="0" borderId="48" xfId="0" applyNumberFormat="1" applyFont="1" applyFill="1" applyBorder="1" applyAlignment="1">
      <alignment horizontal="center" vertical="center"/>
    </xf>
    <xf numFmtId="172" fontId="1" fillId="0" borderId="49" xfId="0" applyNumberFormat="1" applyFont="1" applyFill="1" applyBorder="1" applyAlignment="1">
      <alignment horizontal="center" vertical="center"/>
    </xf>
    <xf numFmtId="172" fontId="1" fillId="0" borderId="51" xfId="0" applyNumberFormat="1" applyFont="1" applyFill="1" applyBorder="1" applyAlignment="1">
      <alignment horizontal="center" vertical="center"/>
    </xf>
    <xf numFmtId="172" fontId="1" fillId="0" borderId="53" xfId="0" applyNumberFormat="1" applyFont="1" applyFill="1" applyBorder="1" applyAlignment="1">
      <alignment horizontal="center" vertical="center"/>
    </xf>
    <xf numFmtId="172" fontId="1" fillId="0" borderId="53" xfId="0" applyNumberFormat="1" applyFont="1" applyFill="1" applyBorder="1" applyAlignment="1">
      <alignment horizontal="center" vertical="top"/>
    </xf>
    <xf numFmtId="172" fontId="1" fillId="0" borderId="37" xfId="0" applyNumberFormat="1" applyFont="1" applyFill="1" applyBorder="1" applyAlignment="1">
      <alignment horizontal="center" vertical="top"/>
    </xf>
    <xf numFmtId="172" fontId="2" fillId="0" borderId="55" xfId="0" applyNumberFormat="1" applyFont="1" applyFill="1" applyBorder="1" applyAlignment="1">
      <alignment horizontal="center" vertical="top"/>
    </xf>
    <xf numFmtId="172" fontId="1" fillId="0" borderId="33" xfId="0" applyNumberFormat="1" applyFont="1" applyFill="1" applyBorder="1" applyAlignment="1">
      <alignment horizontal="center" vertical="top"/>
    </xf>
    <xf numFmtId="0" fontId="1" fillId="0" borderId="55" xfId="0" applyNumberFormat="1" applyFont="1" applyFill="1" applyBorder="1" applyAlignment="1">
      <alignment horizontal="center" vertical="center"/>
    </xf>
    <xf numFmtId="172" fontId="4" fillId="4" borderId="72" xfId="0" applyNumberFormat="1" applyFont="1" applyFill="1" applyBorder="1" applyAlignment="1">
      <alignment horizontal="center" vertical="top"/>
    </xf>
    <xf numFmtId="172" fontId="4" fillId="4" borderId="32" xfId="0" applyNumberFormat="1" applyFont="1" applyFill="1" applyBorder="1" applyAlignment="1">
      <alignment horizontal="center" vertical="center"/>
    </xf>
    <xf numFmtId="172" fontId="4" fillId="4" borderId="27" xfId="0" applyNumberFormat="1" applyFont="1" applyFill="1" applyBorder="1" applyAlignment="1">
      <alignment horizontal="center" vertical="center" wrapText="1"/>
    </xf>
    <xf numFmtId="172" fontId="1" fillId="25" borderId="22" xfId="0" applyNumberFormat="1" applyFont="1" applyFill="1" applyBorder="1" applyAlignment="1">
      <alignment horizontal="center" vertical="center" wrapText="1"/>
    </xf>
    <xf numFmtId="172" fontId="1" fillId="25" borderId="15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/>
    </xf>
    <xf numFmtId="172" fontId="1" fillId="25" borderId="73" xfId="0" applyNumberFormat="1" applyFont="1" applyFill="1" applyBorder="1" applyAlignment="1">
      <alignment horizontal="center" vertical="top" wrapText="1"/>
    </xf>
    <xf numFmtId="172" fontId="4" fillId="4" borderId="74" xfId="0" applyNumberFormat="1" applyFont="1" applyFill="1" applyBorder="1" applyAlignment="1">
      <alignment horizontal="center" vertical="top"/>
    </xf>
    <xf numFmtId="172" fontId="1" fillId="0" borderId="22" xfId="0" applyNumberFormat="1" applyFont="1" applyFill="1" applyBorder="1" applyAlignment="1">
      <alignment horizontal="center" vertical="top" wrapText="1"/>
    </xf>
    <xf numFmtId="172" fontId="1" fillId="0" borderId="47" xfId="0" applyNumberFormat="1" applyFont="1" applyFill="1" applyBorder="1" applyAlignment="1">
      <alignment horizontal="center" vertical="top" wrapText="1"/>
    </xf>
    <xf numFmtId="172" fontId="1" fillId="0" borderId="49" xfId="0" applyNumberFormat="1" applyFont="1" applyFill="1" applyBorder="1" applyAlignment="1">
      <alignment horizontal="center" vertical="top" wrapText="1"/>
    </xf>
    <xf numFmtId="172" fontId="1" fillId="0" borderId="58" xfId="0" applyNumberFormat="1" applyFont="1" applyFill="1" applyBorder="1" applyAlignment="1">
      <alignment horizontal="center" vertical="top" wrapText="1"/>
    </xf>
    <xf numFmtId="172" fontId="1" fillId="0" borderId="75" xfId="0" applyNumberFormat="1" applyFont="1" applyFill="1" applyBorder="1" applyAlignment="1">
      <alignment horizontal="center" vertical="top" wrapText="1"/>
    </xf>
    <xf numFmtId="172" fontId="1" fillId="0" borderId="17" xfId="0" applyNumberFormat="1" applyFont="1" applyFill="1" applyBorder="1" applyAlignment="1">
      <alignment horizontal="center" vertical="top" wrapText="1"/>
    </xf>
    <xf numFmtId="172" fontId="1" fillId="0" borderId="54" xfId="0" applyNumberFormat="1" applyFont="1" applyFill="1" applyBorder="1" applyAlignment="1">
      <alignment horizontal="center" vertical="top" wrapText="1"/>
    </xf>
    <xf numFmtId="172" fontId="1" fillId="0" borderId="37" xfId="0" applyNumberFormat="1" applyFont="1" applyFill="1" applyBorder="1" applyAlignment="1">
      <alignment horizontal="center" vertical="top" wrapText="1"/>
    </xf>
    <xf numFmtId="172" fontId="1" fillId="0" borderId="55" xfId="0" applyNumberFormat="1" applyFont="1" applyFill="1" applyBorder="1" applyAlignment="1">
      <alignment horizontal="center" vertical="top" wrapText="1"/>
    </xf>
    <xf numFmtId="172" fontId="2" fillId="0" borderId="68" xfId="0" applyNumberFormat="1" applyFont="1" applyBorder="1" applyAlignment="1">
      <alignment horizontal="center" vertical="center" wrapText="1"/>
    </xf>
    <xf numFmtId="172" fontId="1" fillId="25" borderId="17" xfId="0" applyNumberFormat="1" applyFont="1" applyFill="1" applyBorder="1" applyAlignment="1">
      <alignment horizontal="center" vertical="top" wrapText="1"/>
    </xf>
    <xf numFmtId="172" fontId="1" fillId="25" borderId="76" xfId="0" applyNumberFormat="1" applyFont="1" applyFill="1" applyBorder="1" applyAlignment="1">
      <alignment horizontal="center" vertical="top" wrapText="1"/>
    </xf>
    <xf numFmtId="172" fontId="1" fillId="25" borderId="47" xfId="0" applyNumberFormat="1" applyFont="1" applyFill="1" applyBorder="1" applyAlignment="1">
      <alignment horizontal="center" vertical="top" wrapText="1"/>
    </xf>
    <xf numFmtId="172" fontId="1" fillId="25" borderId="56" xfId="0" applyNumberFormat="1" applyFont="1" applyFill="1" applyBorder="1" applyAlignment="1">
      <alignment horizontal="center" vertical="top" wrapText="1"/>
    </xf>
    <xf numFmtId="172" fontId="1" fillId="25" borderId="21" xfId="0" applyNumberFormat="1" applyFont="1" applyFill="1" applyBorder="1" applyAlignment="1">
      <alignment horizontal="center" vertical="top" wrapText="1"/>
    </xf>
    <xf numFmtId="172" fontId="1" fillId="25" borderId="22" xfId="0" applyNumberFormat="1" applyFont="1" applyFill="1" applyBorder="1" applyAlignment="1">
      <alignment horizontal="center" vertical="top" wrapText="1"/>
    </xf>
    <xf numFmtId="172" fontId="1" fillId="25" borderId="25" xfId="0" applyNumberFormat="1" applyFont="1" applyFill="1" applyBorder="1" applyAlignment="1">
      <alignment horizontal="center" vertical="top" wrapText="1"/>
    </xf>
    <xf numFmtId="172" fontId="1" fillId="0" borderId="51" xfId="0" applyNumberFormat="1" applyFont="1" applyFill="1" applyBorder="1" applyAlignment="1">
      <alignment horizontal="center" vertical="top" wrapText="1"/>
    </xf>
    <xf numFmtId="172" fontId="1" fillId="0" borderId="38" xfId="0" applyNumberFormat="1" applyFont="1" applyFill="1" applyBorder="1" applyAlignment="1">
      <alignment horizontal="center" vertical="top" wrapText="1"/>
    </xf>
    <xf numFmtId="172" fontId="1" fillId="0" borderId="53" xfId="0" applyNumberFormat="1" applyFont="1" applyFill="1" applyBorder="1" applyAlignment="1">
      <alignment horizontal="center" vertical="top" wrapText="1"/>
    </xf>
    <xf numFmtId="172" fontId="1" fillId="25" borderId="44" xfId="0" applyNumberFormat="1" applyFont="1" applyFill="1" applyBorder="1" applyAlignment="1">
      <alignment horizontal="center" vertical="top" wrapText="1"/>
    </xf>
    <xf numFmtId="172" fontId="1" fillId="25" borderId="0" xfId="0" applyNumberFormat="1" applyFont="1" applyFill="1" applyBorder="1" applyAlignment="1">
      <alignment horizontal="center" vertical="top" wrapText="1"/>
    </xf>
    <xf numFmtId="172" fontId="1" fillId="25" borderId="28" xfId="0" applyNumberFormat="1" applyFont="1" applyFill="1" applyBorder="1" applyAlignment="1">
      <alignment horizontal="center" vertical="top" wrapText="1"/>
    </xf>
    <xf numFmtId="172" fontId="1" fillId="25" borderId="15" xfId="0" applyNumberFormat="1" applyFont="1" applyFill="1" applyBorder="1" applyAlignment="1">
      <alignment horizontal="center" vertical="top" wrapText="1"/>
    </xf>
    <xf numFmtId="172" fontId="1" fillId="0" borderId="59" xfId="0" applyNumberFormat="1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center" vertical="top" wrapText="1"/>
    </xf>
    <xf numFmtId="172" fontId="1" fillId="0" borderId="62" xfId="0" applyNumberFormat="1" applyFont="1" applyFill="1" applyBorder="1" applyAlignment="1">
      <alignment horizontal="center" vertical="top" wrapText="1"/>
    </xf>
    <xf numFmtId="172" fontId="1" fillId="0" borderId="61" xfId="0" applyNumberFormat="1" applyFont="1" applyFill="1" applyBorder="1" applyAlignment="1">
      <alignment horizontal="center" vertical="top" wrapText="1"/>
    </xf>
    <xf numFmtId="172" fontId="1" fillId="0" borderId="56" xfId="0" applyNumberFormat="1" applyFont="1" applyFill="1" applyBorder="1" applyAlignment="1">
      <alignment horizontal="center" vertical="top" wrapText="1"/>
    </xf>
    <xf numFmtId="172" fontId="1" fillId="0" borderId="50" xfId="0" applyNumberFormat="1" applyFont="1" applyFill="1" applyBorder="1" applyAlignment="1">
      <alignment horizontal="center" vertical="top" wrapText="1"/>
    </xf>
    <xf numFmtId="49" fontId="2" fillId="8" borderId="67" xfId="0" applyNumberFormat="1" applyFont="1" applyFill="1" applyBorder="1" applyAlignment="1">
      <alignment vertical="top"/>
    </xf>
    <xf numFmtId="49" fontId="2" fillId="4" borderId="68" xfId="0" applyNumberFormat="1" applyFont="1" applyFill="1" applyBorder="1" applyAlignment="1">
      <alignment vertical="top"/>
    </xf>
    <xf numFmtId="49" fontId="2" fillId="25" borderId="68" xfId="0" applyNumberFormat="1" applyFont="1" applyFill="1" applyBorder="1" applyAlignment="1">
      <alignment vertical="top"/>
    </xf>
    <xf numFmtId="0" fontId="2" fillId="0" borderId="68" xfId="0" applyFont="1" applyBorder="1" applyAlignment="1">
      <alignment vertical="center" textRotation="90"/>
    </xf>
    <xf numFmtId="49" fontId="1" fillId="0" borderId="69" xfId="0" applyNumberFormat="1" applyFont="1" applyBorder="1" applyAlignment="1">
      <alignment vertical="top"/>
    </xf>
    <xf numFmtId="49" fontId="2" fillId="8" borderId="51" xfId="0" applyNumberFormat="1" applyFont="1" applyFill="1" applyBorder="1" applyAlignment="1">
      <alignment vertical="top"/>
    </xf>
    <xf numFmtId="49" fontId="2" fillId="4" borderId="38" xfId="0" applyNumberFormat="1" applyFont="1" applyFill="1" applyBorder="1" applyAlignment="1">
      <alignment vertical="top"/>
    </xf>
    <xf numFmtId="49" fontId="2" fillId="25" borderId="38" xfId="0" applyNumberFormat="1" applyFont="1" applyFill="1" applyBorder="1" applyAlignment="1">
      <alignment vertical="top"/>
    </xf>
    <xf numFmtId="0" fontId="2" fillId="0" borderId="38" xfId="0" applyFont="1" applyBorder="1" applyAlignment="1">
      <alignment vertical="center" textRotation="90"/>
    </xf>
    <xf numFmtId="49" fontId="1" fillId="0" borderId="53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/>
    </xf>
    <xf numFmtId="49" fontId="2" fillId="8" borderId="30" xfId="0" applyNumberFormat="1" applyFont="1" applyFill="1" applyBorder="1" applyAlignment="1">
      <alignment vertical="top"/>
    </xf>
    <xf numFmtId="49" fontId="2" fillId="4" borderId="10" xfId="0" applyNumberFormat="1" applyFont="1" applyFill="1" applyBorder="1" applyAlignment="1">
      <alignment vertical="top"/>
    </xf>
    <xf numFmtId="49" fontId="2" fillId="25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center" textRotation="90"/>
    </xf>
    <xf numFmtId="49" fontId="1" fillId="0" borderId="31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172" fontId="1" fillId="0" borderId="21" xfId="0" applyNumberFormat="1" applyFont="1" applyFill="1" applyBorder="1" applyAlignment="1">
      <alignment horizontal="center" vertical="top" wrapText="1"/>
    </xf>
    <xf numFmtId="172" fontId="1" fillId="0" borderId="25" xfId="0" applyNumberFormat="1" applyFont="1" applyFill="1" applyBorder="1" applyAlignment="1">
      <alignment horizontal="center" vertical="top" wrapText="1"/>
    </xf>
    <xf numFmtId="172" fontId="1" fillId="0" borderId="17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72" fontId="1" fillId="0" borderId="77" xfId="0" applyNumberFormat="1" applyFont="1" applyFill="1" applyBorder="1" applyAlignment="1">
      <alignment horizontal="center" vertical="top" wrapText="1"/>
    </xf>
    <xf numFmtId="49" fontId="2" fillId="0" borderId="7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172" fontId="4" fillId="8" borderId="27" xfId="0" applyNumberFormat="1" applyFont="1" applyFill="1" applyBorder="1" applyAlignment="1">
      <alignment horizontal="center" vertical="top"/>
    </xf>
    <xf numFmtId="172" fontId="4" fillId="24" borderId="27" xfId="0" applyNumberFormat="1" applyFont="1" applyFill="1" applyBorder="1" applyAlignment="1">
      <alignment horizontal="center" vertical="top"/>
    </xf>
    <xf numFmtId="172" fontId="4" fillId="4" borderId="74" xfId="0" applyNumberFormat="1" applyFont="1" applyFill="1" applyBorder="1" applyAlignment="1">
      <alignment horizontal="center" vertical="center" wrapText="1"/>
    </xf>
    <xf numFmtId="172" fontId="4" fillId="4" borderId="46" xfId="0" applyNumberFormat="1" applyFont="1" applyFill="1" applyBorder="1" applyAlignment="1">
      <alignment horizontal="center" vertical="center" wrapText="1"/>
    </xf>
    <xf numFmtId="172" fontId="4" fillId="8" borderId="46" xfId="0" applyNumberFormat="1" applyFont="1" applyFill="1" applyBorder="1" applyAlignment="1">
      <alignment horizontal="center" vertical="top"/>
    </xf>
    <xf numFmtId="172" fontId="4" fillId="24" borderId="46" xfId="0" applyNumberFormat="1" applyFont="1" applyFill="1" applyBorder="1" applyAlignment="1">
      <alignment horizontal="center" vertical="top"/>
    </xf>
    <xf numFmtId="172" fontId="4" fillId="8" borderId="74" xfId="0" applyNumberFormat="1" applyFont="1" applyFill="1" applyBorder="1" applyAlignment="1">
      <alignment horizontal="center" vertical="top"/>
    </xf>
    <xf numFmtId="172" fontId="4" fillId="24" borderId="74" xfId="0" applyNumberFormat="1" applyFont="1" applyFill="1" applyBorder="1" applyAlignment="1">
      <alignment horizontal="center" vertical="top"/>
    </xf>
    <xf numFmtId="172" fontId="4" fillId="4" borderId="78" xfId="0" applyNumberFormat="1" applyFont="1" applyFill="1" applyBorder="1" applyAlignment="1">
      <alignment horizontal="center" vertical="center" wrapText="1"/>
    </xf>
    <xf numFmtId="172" fontId="4" fillId="4" borderId="18" xfId="0" applyNumberFormat="1" applyFont="1" applyFill="1" applyBorder="1" applyAlignment="1">
      <alignment horizontal="center" vertical="center" wrapText="1"/>
    </xf>
    <xf numFmtId="172" fontId="4" fillId="8" borderId="18" xfId="0" applyNumberFormat="1" applyFont="1" applyFill="1" applyBorder="1" applyAlignment="1">
      <alignment horizontal="center" vertical="top"/>
    </xf>
    <xf numFmtId="172" fontId="4" fillId="24" borderId="18" xfId="0" applyNumberFormat="1" applyFont="1" applyFill="1" applyBorder="1" applyAlignment="1">
      <alignment horizontal="center" vertical="top"/>
    </xf>
    <xf numFmtId="172" fontId="1" fillId="0" borderId="60" xfId="0" applyNumberFormat="1" applyFont="1" applyFill="1" applyBorder="1" applyAlignment="1">
      <alignment horizontal="center" vertical="top" wrapText="1"/>
    </xf>
    <xf numFmtId="172" fontId="2" fillId="0" borderId="68" xfId="0" applyNumberFormat="1" applyFont="1" applyBorder="1" applyAlignment="1">
      <alignment vertical="top" wrapText="1"/>
    </xf>
    <xf numFmtId="172" fontId="4" fillId="4" borderId="79" xfId="0" applyNumberFormat="1" applyFont="1" applyFill="1" applyBorder="1" applyAlignment="1">
      <alignment horizontal="center" vertical="center" wrapText="1"/>
    </xf>
    <xf numFmtId="172" fontId="4" fillId="8" borderId="79" xfId="0" applyNumberFormat="1" applyFont="1" applyFill="1" applyBorder="1" applyAlignment="1">
      <alignment horizontal="center" vertical="top"/>
    </xf>
    <xf numFmtId="172" fontId="4" fillId="24" borderId="79" xfId="0" applyNumberFormat="1" applyFont="1" applyFill="1" applyBorder="1" applyAlignment="1">
      <alignment horizontal="center" vertical="top"/>
    </xf>
    <xf numFmtId="172" fontId="1" fillId="25" borderId="54" xfId="0" applyNumberFormat="1" applyFont="1" applyFill="1" applyBorder="1" applyAlignment="1">
      <alignment horizontal="center" vertical="top" wrapText="1"/>
    </xf>
    <xf numFmtId="172" fontId="1" fillId="25" borderId="43" xfId="0" applyNumberFormat="1" applyFont="1" applyFill="1" applyBorder="1" applyAlignment="1">
      <alignment horizontal="center" vertical="top" wrapText="1"/>
    </xf>
    <xf numFmtId="172" fontId="1" fillId="25" borderId="62" xfId="0" applyNumberFormat="1" applyFont="1" applyFill="1" applyBorder="1" applyAlignment="1">
      <alignment horizontal="center" vertical="top" wrapText="1"/>
    </xf>
    <xf numFmtId="172" fontId="2" fillId="0" borderId="38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top" wrapText="1"/>
    </xf>
    <xf numFmtId="172" fontId="1" fillId="25" borderId="67" xfId="0" applyNumberFormat="1" applyFont="1" applyFill="1" applyBorder="1" applyAlignment="1">
      <alignment horizontal="center" vertical="top" wrapText="1"/>
    </xf>
    <xf numFmtId="172" fontId="1" fillId="25" borderId="68" xfId="0" applyNumberFormat="1" applyFont="1" applyFill="1" applyBorder="1" applyAlignment="1">
      <alignment horizontal="center" vertical="top" wrapText="1"/>
    </xf>
    <xf numFmtId="172" fontId="1" fillId="25" borderId="69" xfId="0" applyNumberFormat="1" applyFont="1" applyFill="1" applyBorder="1" applyAlignment="1">
      <alignment horizontal="center" vertical="top" wrapText="1"/>
    </xf>
    <xf numFmtId="49" fontId="2" fillId="8" borderId="67" xfId="0" applyNumberFormat="1" applyFont="1" applyFill="1" applyBorder="1" applyAlignment="1">
      <alignment horizontal="center" vertical="top"/>
    </xf>
    <xf numFmtId="49" fontId="2" fillId="0" borderId="71" xfId="0" applyNumberFormat="1" applyFont="1" applyBorder="1" applyAlignment="1">
      <alignment vertical="top" wrapText="1"/>
    </xf>
    <xf numFmtId="49" fontId="2" fillId="8" borderId="67" xfId="0" applyNumberFormat="1" applyFont="1" applyFill="1" applyBorder="1" applyAlignment="1">
      <alignment vertical="top" wrapText="1"/>
    </xf>
    <xf numFmtId="49" fontId="2" fillId="8" borderId="51" xfId="0" applyNumberFormat="1" applyFont="1" applyFill="1" applyBorder="1" applyAlignment="1">
      <alignment vertical="top" wrapText="1"/>
    </xf>
    <xf numFmtId="49" fontId="2" fillId="8" borderId="30" xfId="0" applyNumberFormat="1" applyFont="1" applyFill="1" applyBorder="1" applyAlignment="1">
      <alignment vertical="top" wrapText="1"/>
    </xf>
    <xf numFmtId="49" fontId="1" fillId="0" borderId="53" xfId="0" applyNumberFormat="1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49" fontId="1" fillId="0" borderId="69" xfId="0" applyNumberFormat="1" applyFont="1" applyBorder="1" applyAlignment="1">
      <alignment horizontal="center" vertical="top" wrapText="1"/>
    </xf>
    <xf numFmtId="49" fontId="2" fillId="25" borderId="52" xfId="0" applyNumberFormat="1" applyFont="1" applyFill="1" applyBorder="1" applyAlignment="1">
      <alignment vertical="top"/>
    </xf>
    <xf numFmtId="172" fontId="1" fillId="0" borderId="44" xfId="0" applyNumberFormat="1" applyFont="1" applyFill="1" applyBorder="1" applyAlignment="1">
      <alignment horizontal="center" vertical="top" wrapText="1"/>
    </xf>
    <xf numFmtId="172" fontId="1" fillId="25" borderId="51" xfId="0" applyNumberFormat="1" applyFont="1" applyFill="1" applyBorder="1" applyAlignment="1">
      <alignment horizontal="center" vertical="top" wrapText="1"/>
    </xf>
    <xf numFmtId="172" fontId="1" fillId="25" borderId="80" xfId="0" applyNumberFormat="1" applyFont="1" applyFill="1" applyBorder="1" applyAlignment="1">
      <alignment horizontal="center" vertical="top" wrapText="1"/>
    </xf>
    <xf numFmtId="0" fontId="17" fillId="0" borderId="0" xfId="50" applyFont="1" applyBorder="1" applyAlignment="1">
      <alignment horizontal="left" vertical="top" wrapText="1"/>
      <protection/>
    </xf>
    <xf numFmtId="0" fontId="1" fillId="0" borderId="44" xfId="0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distributed" wrapText="1"/>
    </xf>
    <xf numFmtId="0" fontId="15" fillId="0" borderId="0" xfId="50" applyFont="1" applyBorder="1" applyAlignment="1">
      <alignment horizontal="left" vertical="top" wrapText="1"/>
      <protection/>
    </xf>
    <xf numFmtId="0" fontId="18" fillId="0" borderId="0" xfId="50" applyFont="1" applyBorder="1" applyAlignment="1">
      <alignment horizontal="left" vertical="top" wrapText="1"/>
      <protection/>
    </xf>
    <xf numFmtId="0" fontId="16" fillId="0" borderId="44" xfId="50" applyFont="1" applyFill="1" applyBorder="1" applyAlignment="1">
      <alignment horizontal="center" vertical="top"/>
      <protection/>
    </xf>
    <xf numFmtId="172" fontId="1" fillId="25" borderId="13" xfId="0" applyNumberFormat="1" applyFont="1" applyFill="1" applyBorder="1" applyAlignment="1">
      <alignment horizontal="center"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172" fontId="1" fillId="25" borderId="57" xfId="0" applyNumberFormat="1" applyFont="1" applyFill="1" applyBorder="1" applyAlignment="1">
      <alignment horizontal="center" vertical="top" wrapText="1"/>
    </xf>
    <xf numFmtId="172" fontId="1" fillId="25" borderId="11" xfId="0" applyNumberFormat="1" applyFont="1" applyFill="1" applyBorder="1" applyAlignment="1">
      <alignment horizontal="center" vertical="top" wrapText="1"/>
    </xf>
    <xf numFmtId="172" fontId="1" fillId="25" borderId="40" xfId="0" applyNumberFormat="1" applyFont="1" applyFill="1" applyBorder="1" applyAlignment="1">
      <alignment horizontal="center" vertical="top" wrapText="1"/>
    </xf>
    <xf numFmtId="49" fontId="2" fillId="25" borderId="70" xfId="0" applyNumberFormat="1" applyFont="1" applyFill="1" applyBorder="1" applyAlignment="1">
      <alignment vertical="top"/>
    </xf>
    <xf numFmtId="49" fontId="2" fillId="25" borderId="81" xfId="0" applyNumberFormat="1" applyFont="1" applyFill="1" applyBorder="1" applyAlignment="1">
      <alignment vertical="top"/>
    </xf>
    <xf numFmtId="172" fontId="1" fillId="0" borderId="57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6" fillId="0" borderId="58" xfId="50" applyFont="1" applyBorder="1" applyAlignment="1">
      <alignment horizontal="left"/>
      <protection/>
    </xf>
    <xf numFmtId="0" fontId="1" fillId="0" borderId="58" xfId="50" applyFont="1" applyBorder="1" applyAlignment="1">
      <alignment horizontal="center" vertical="top"/>
      <protection/>
    </xf>
    <xf numFmtId="0" fontId="1" fillId="0" borderId="5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38" xfId="0" applyFont="1" applyBorder="1" applyAlignment="1">
      <alignment horizontal="center" vertical="distributed" wrapText="1"/>
    </xf>
    <xf numFmtId="0" fontId="0" fillId="0" borderId="3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ont="1" applyAlignment="1">
      <alignment horizontal="center"/>
    </xf>
    <xf numFmtId="0" fontId="1" fillId="25" borderId="38" xfId="0" applyFont="1" applyFill="1" applyBorder="1" applyAlignment="1">
      <alignment horizontal="center" vertical="top"/>
    </xf>
    <xf numFmtId="16" fontId="1" fillId="0" borderId="0" xfId="0" applyNumberFormat="1" applyFont="1" applyBorder="1" applyAlignment="1">
      <alignment/>
    </xf>
    <xf numFmtId="0" fontId="1" fillId="25" borderId="38" xfId="0" applyFont="1" applyFill="1" applyBorder="1" applyAlignment="1">
      <alignment horizontal="center" vertical="center"/>
    </xf>
    <xf numFmtId="172" fontId="1" fillId="0" borderId="33" xfId="0" applyNumberFormat="1" applyFont="1" applyBorder="1" applyAlignment="1">
      <alignment vertical="top" wrapText="1"/>
    </xf>
    <xf numFmtId="172" fontId="1" fillId="0" borderId="17" xfId="0" applyNumberFormat="1" applyFont="1" applyBorder="1" applyAlignment="1">
      <alignment horizontal="center" vertical="top"/>
    </xf>
    <xf numFmtId="172" fontId="1" fillId="0" borderId="62" xfId="0" applyNumberFormat="1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2" fillId="16" borderId="23" xfId="0" applyFont="1" applyFill="1" applyBorder="1" applyAlignment="1">
      <alignment vertical="center" wrapText="1"/>
    </xf>
    <xf numFmtId="172" fontId="3" fillId="16" borderId="13" xfId="0" applyNumberFormat="1" applyFont="1" applyFill="1" applyBorder="1" applyAlignment="1">
      <alignment horizontal="center" vertical="top" wrapText="1"/>
    </xf>
    <xf numFmtId="172" fontId="3" fillId="16" borderId="11" xfId="0" applyNumberFormat="1" applyFont="1" applyFill="1" applyBorder="1" applyAlignment="1">
      <alignment horizontal="center" vertical="top" wrapText="1"/>
    </xf>
    <xf numFmtId="172" fontId="3" fillId="16" borderId="40" xfId="0" applyNumberFormat="1" applyFont="1" applyFill="1" applyBorder="1" applyAlignment="1">
      <alignment horizontal="center" vertical="top" wrapText="1"/>
    </xf>
    <xf numFmtId="0" fontId="2" fillId="16" borderId="28" xfId="0" applyFont="1" applyFill="1" applyBorder="1" applyAlignment="1">
      <alignment vertical="center" wrapText="1"/>
    </xf>
    <xf numFmtId="172" fontId="3" fillId="16" borderId="19" xfId="0" applyNumberFormat="1" applyFont="1" applyFill="1" applyBorder="1" applyAlignment="1">
      <alignment horizontal="center" vertical="top" wrapText="1"/>
    </xf>
    <xf numFmtId="172" fontId="8" fillId="16" borderId="13" xfId="0" applyNumberFormat="1" applyFont="1" applyFill="1" applyBorder="1" applyAlignment="1">
      <alignment horizontal="center" vertical="top" wrapText="1"/>
    </xf>
    <xf numFmtId="172" fontId="8" fillId="16" borderId="16" xfId="0" applyNumberFormat="1" applyFont="1" applyFill="1" applyBorder="1" applyAlignment="1">
      <alignment horizontal="center" vertical="top" wrapText="1"/>
    </xf>
    <xf numFmtId="172" fontId="8" fillId="16" borderId="82" xfId="0" applyNumberFormat="1" applyFont="1" applyFill="1" applyBorder="1" applyAlignment="1">
      <alignment horizontal="center" vertical="top" wrapText="1"/>
    </xf>
    <xf numFmtId="172" fontId="3" fillId="16" borderId="15" xfId="0" applyNumberFormat="1" applyFont="1" applyFill="1" applyBorder="1" applyAlignment="1">
      <alignment horizontal="center" vertical="top" wrapText="1"/>
    </xf>
    <xf numFmtId="172" fontId="8" fillId="16" borderId="13" xfId="0" applyNumberFormat="1" applyFont="1" applyFill="1" applyBorder="1" applyAlignment="1">
      <alignment horizontal="center" vertical="top"/>
    </xf>
    <xf numFmtId="172" fontId="8" fillId="16" borderId="22" xfId="0" applyNumberFormat="1" applyFont="1" applyFill="1" applyBorder="1" applyAlignment="1">
      <alignment horizontal="center" vertical="top" wrapText="1"/>
    </xf>
    <xf numFmtId="172" fontId="8" fillId="16" borderId="17" xfId="0" applyNumberFormat="1" applyFont="1" applyFill="1" applyBorder="1" applyAlignment="1">
      <alignment horizontal="center" vertical="top" wrapText="1"/>
    </xf>
    <xf numFmtId="172" fontId="8" fillId="16" borderId="19" xfId="0" applyNumberFormat="1" applyFont="1" applyFill="1" applyBorder="1" applyAlignment="1">
      <alignment horizontal="center" vertical="top" wrapText="1"/>
    </xf>
    <xf numFmtId="0" fontId="2" fillId="16" borderId="82" xfId="0" applyFont="1" applyFill="1" applyBorder="1" applyAlignment="1">
      <alignment horizontal="center" vertical="top"/>
    </xf>
    <xf numFmtId="172" fontId="2" fillId="16" borderId="83" xfId="0" applyNumberFormat="1" applyFont="1" applyFill="1" applyBorder="1" applyAlignment="1">
      <alignment horizontal="center" vertical="center"/>
    </xf>
    <xf numFmtId="172" fontId="2" fillId="16" borderId="45" xfId="0" applyNumberFormat="1" applyFont="1" applyFill="1" applyBorder="1" applyAlignment="1">
      <alignment horizontal="center" vertical="center"/>
    </xf>
    <xf numFmtId="172" fontId="2" fillId="16" borderId="84" xfId="0" applyNumberFormat="1" applyFont="1" applyFill="1" applyBorder="1" applyAlignment="1">
      <alignment horizontal="center" vertical="center"/>
    </xf>
    <xf numFmtId="172" fontId="2" fillId="16" borderId="82" xfId="0" applyNumberFormat="1" applyFont="1" applyFill="1" applyBorder="1" applyAlignment="1">
      <alignment horizontal="center" vertical="center"/>
    </xf>
    <xf numFmtId="172" fontId="2" fillId="16" borderId="85" xfId="0" applyNumberFormat="1" applyFont="1" applyFill="1" applyBorder="1" applyAlignment="1">
      <alignment horizontal="center" vertical="center"/>
    </xf>
    <xf numFmtId="172" fontId="2" fillId="16" borderId="83" xfId="0" applyNumberFormat="1" applyFont="1" applyFill="1" applyBorder="1" applyAlignment="1">
      <alignment horizontal="center" vertical="top"/>
    </xf>
    <xf numFmtId="172" fontId="2" fillId="16" borderId="45" xfId="0" applyNumberFormat="1" applyFont="1" applyFill="1" applyBorder="1" applyAlignment="1">
      <alignment horizontal="center" vertical="top"/>
    </xf>
    <xf numFmtId="172" fontId="2" fillId="16" borderId="84" xfId="0" applyNumberFormat="1" applyFont="1" applyFill="1" applyBorder="1" applyAlignment="1">
      <alignment horizontal="center" vertical="top"/>
    </xf>
    <xf numFmtId="172" fontId="2" fillId="16" borderId="86" xfId="0" applyNumberFormat="1" applyFont="1" applyFill="1" applyBorder="1" applyAlignment="1">
      <alignment horizontal="center" vertical="top" wrapText="1"/>
    </xf>
    <xf numFmtId="172" fontId="2" fillId="16" borderId="82" xfId="0" applyNumberFormat="1" applyFont="1" applyFill="1" applyBorder="1" applyAlignment="1">
      <alignment horizontal="center" vertical="top" wrapText="1"/>
    </xf>
    <xf numFmtId="172" fontId="2" fillId="16" borderId="87" xfId="0" applyNumberFormat="1" applyFont="1" applyFill="1" applyBorder="1" applyAlignment="1">
      <alignment horizontal="center" vertical="top"/>
    </xf>
    <xf numFmtId="172" fontId="2" fillId="16" borderId="88" xfId="0" applyNumberFormat="1" applyFont="1" applyFill="1" applyBorder="1" applyAlignment="1">
      <alignment horizontal="center" vertical="top"/>
    </xf>
    <xf numFmtId="172" fontId="2" fillId="16" borderId="82" xfId="0" applyNumberFormat="1" applyFont="1" applyFill="1" applyBorder="1" applyAlignment="1">
      <alignment horizontal="center" vertical="top"/>
    </xf>
    <xf numFmtId="172" fontId="2" fillId="16" borderId="85" xfId="0" applyNumberFormat="1" applyFont="1" applyFill="1" applyBorder="1" applyAlignment="1">
      <alignment horizontal="center" vertical="top"/>
    </xf>
    <xf numFmtId="0" fontId="2" fillId="16" borderId="82" xfId="0" applyFont="1" applyFill="1" applyBorder="1" applyAlignment="1">
      <alignment horizontal="right" vertical="top" wrapText="1"/>
    </xf>
    <xf numFmtId="172" fontId="1" fillId="16" borderId="48" xfId="0" applyNumberFormat="1" applyFont="1" applyFill="1" applyBorder="1" applyAlignment="1">
      <alignment horizontal="center" vertical="center"/>
    </xf>
    <xf numFmtId="172" fontId="1" fillId="16" borderId="47" xfId="0" applyNumberFormat="1" applyFont="1" applyFill="1" applyBorder="1" applyAlignment="1">
      <alignment horizontal="center" vertical="center"/>
    </xf>
    <xf numFmtId="172" fontId="1" fillId="16" borderId="49" xfId="0" applyNumberFormat="1" applyFont="1" applyFill="1" applyBorder="1" applyAlignment="1">
      <alignment horizontal="center" vertical="center"/>
    </xf>
    <xf numFmtId="172" fontId="1" fillId="16" borderId="51" xfId="0" applyNumberFormat="1" applyFont="1" applyFill="1" applyBorder="1" applyAlignment="1">
      <alignment horizontal="center" vertical="center"/>
    </xf>
    <xf numFmtId="172" fontId="1" fillId="16" borderId="38" xfId="0" applyNumberFormat="1" applyFont="1" applyFill="1" applyBorder="1" applyAlignment="1">
      <alignment horizontal="center" vertical="center"/>
    </xf>
    <xf numFmtId="172" fontId="1" fillId="16" borderId="53" xfId="0" applyNumberFormat="1" applyFont="1" applyFill="1" applyBorder="1" applyAlignment="1">
      <alignment horizontal="center" vertical="center"/>
    </xf>
    <xf numFmtId="172" fontId="1" fillId="16" borderId="63" xfId="0" applyNumberFormat="1" applyFont="1" applyFill="1" applyBorder="1" applyAlignment="1">
      <alignment horizontal="center" vertical="center"/>
    </xf>
    <xf numFmtId="172" fontId="1" fillId="16" borderId="33" xfId="0" applyNumberFormat="1" applyFont="1" applyFill="1" applyBorder="1" applyAlignment="1">
      <alignment horizontal="center" vertical="center"/>
    </xf>
    <xf numFmtId="172" fontId="1" fillId="16" borderId="37" xfId="0" applyNumberFormat="1" applyFont="1" applyFill="1" applyBorder="1" applyAlignment="1">
      <alignment horizontal="center" vertical="center"/>
    </xf>
    <xf numFmtId="172" fontId="1" fillId="16" borderId="55" xfId="0" applyNumberFormat="1" applyFont="1" applyFill="1" applyBorder="1" applyAlignment="1">
      <alignment horizontal="center" vertical="center"/>
    </xf>
    <xf numFmtId="172" fontId="1" fillId="16" borderId="49" xfId="0" applyNumberFormat="1" applyFont="1" applyFill="1" applyBorder="1" applyAlignment="1">
      <alignment horizontal="center" vertical="top"/>
    </xf>
    <xf numFmtId="172" fontId="1" fillId="16" borderId="51" xfId="0" applyNumberFormat="1" applyFont="1" applyFill="1" applyBorder="1" applyAlignment="1">
      <alignment horizontal="center" vertical="top"/>
    </xf>
    <xf numFmtId="172" fontId="1" fillId="16" borderId="38" xfId="0" applyNumberFormat="1" applyFont="1" applyFill="1" applyBorder="1" applyAlignment="1">
      <alignment horizontal="center" vertical="top"/>
    </xf>
    <xf numFmtId="172" fontId="1" fillId="16" borderId="53" xfId="0" applyNumberFormat="1" applyFont="1" applyFill="1" applyBorder="1" applyAlignment="1">
      <alignment horizontal="center" vertical="top"/>
    </xf>
    <xf numFmtId="172" fontId="1" fillId="16" borderId="54" xfId="0" applyNumberFormat="1" applyFont="1" applyFill="1" applyBorder="1" applyAlignment="1">
      <alignment horizontal="center" vertical="top"/>
    </xf>
    <xf numFmtId="172" fontId="1" fillId="16" borderId="37" xfId="0" applyNumberFormat="1" applyFont="1" applyFill="1" applyBorder="1" applyAlignment="1">
      <alignment horizontal="center" vertical="top"/>
    </xf>
    <xf numFmtId="172" fontId="2" fillId="16" borderId="55" xfId="0" applyNumberFormat="1" applyFont="1" applyFill="1" applyBorder="1" applyAlignment="1">
      <alignment horizontal="center" vertical="top"/>
    </xf>
    <xf numFmtId="172" fontId="1" fillId="16" borderId="63" xfId="0" applyNumberFormat="1" applyFont="1" applyFill="1" applyBorder="1" applyAlignment="1">
      <alignment horizontal="center" vertical="top"/>
    </xf>
    <xf numFmtId="172" fontId="1" fillId="16" borderId="33" xfId="0" applyNumberFormat="1" applyFont="1" applyFill="1" applyBorder="1" applyAlignment="1">
      <alignment horizontal="center" vertical="top"/>
    </xf>
    <xf numFmtId="172" fontId="1" fillId="16" borderId="64" xfId="0" applyNumberFormat="1" applyFont="1" applyFill="1" applyBorder="1" applyAlignment="1">
      <alignment horizontal="center" vertical="top"/>
    </xf>
    <xf numFmtId="172" fontId="4" fillId="16" borderId="83" xfId="0" applyNumberFormat="1" applyFont="1" applyFill="1" applyBorder="1" applyAlignment="1">
      <alignment horizontal="center" vertical="top"/>
    </xf>
    <xf numFmtId="172" fontId="4" fillId="16" borderId="45" xfId="0" applyNumberFormat="1" applyFont="1" applyFill="1" applyBorder="1" applyAlignment="1">
      <alignment horizontal="center" vertical="top"/>
    </xf>
    <xf numFmtId="172" fontId="4" fillId="16" borderId="87" xfId="0" applyNumberFormat="1" applyFont="1" applyFill="1" applyBorder="1" applyAlignment="1">
      <alignment horizontal="center" vertical="top"/>
    </xf>
    <xf numFmtId="172" fontId="4" fillId="16" borderId="88" xfId="0" applyNumberFormat="1" applyFont="1" applyFill="1" applyBorder="1" applyAlignment="1">
      <alignment horizontal="center" vertical="top"/>
    </xf>
    <xf numFmtId="172" fontId="4" fillId="16" borderId="82" xfId="0" applyNumberFormat="1" applyFont="1" applyFill="1" applyBorder="1" applyAlignment="1">
      <alignment horizontal="center" vertical="top"/>
    </xf>
    <xf numFmtId="172" fontId="4" fillId="16" borderId="85" xfId="0" applyNumberFormat="1" applyFont="1" applyFill="1" applyBorder="1" applyAlignment="1">
      <alignment horizontal="center" vertical="top"/>
    </xf>
    <xf numFmtId="0" fontId="2" fillId="16" borderId="19" xfId="0" applyFont="1" applyFill="1" applyBorder="1" applyAlignment="1">
      <alignment horizontal="right" vertical="top" wrapText="1"/>
    </xf>
    <xf numFmtId="172" fontId="4" fillId="16" borderId="89" xfId="0" applyNumberFormat="1" applyFont="1" applyFill="1" applyBorder="1" applyAlignment="1">
      <alignment horizontal="center" vertical="top"/>
    </xf>
    <xf numFmtId="0" fontId="2" fillId="16" borderId="86" xfId="0" applyFont="1" applyFill="1" applyBorder="1" applyAlignment="1">
      <alignment horizontal="center" vertical="top"/>
    </xf>
    <xf numFmtId="172" fontId="2" fillId="16" borderId="89" xfId="0" applyNumberFormat="1" applyFont="1" applyFill="1" applyBorder="1" applyAlignment="1">
      <alignment horizontal="center" vertical="top"/>
    </xf>
    <xf numFmtId="0" fontId="1" fillId="16" borderId="55" xfId="0" applyNumberFormat="1" applyFont="1" applyFill="1" applyBorder="1" applyAlignment="1">
      <alignment horizontal="center" vertical="center"/>
    </xf>
    <xf numFmtId="172" fontId="1" fillId="16" borderId="67" xfId="0" applyNumberFormat="1" applyFont="1" applyFill="1" applyBorder="1" applyAlignment="1">
      <alignment horizontal="center" vertical="top" wrapText="1"/>
    </xf>
    <xf numFmtId="172" fontId="1" fillId="16" borderId="68" xfId="0" applyNumberFormat="1" applyFont="1" applyFill="1" applyBorder="1" applyAlignment="1">
      <alignment horizontal="center" vertical="top" wrapText="1"/>
    </xf>
    <xf numFmtId="172" fontId="1" fillId="16" borderId="69" xfId="0" applyNumberFormat="1" applyFont="1" applyFill="1" applyBorder="1" applyAlignment="1">
      <alignment horizontal="center" vertical="top" wrapText="1"/>
    </xf>
    <xf numFmtId="172" fontId="2" fillId="16" borderId="83" xfId="0" applyNumberFormat="1" applyFont="1" applyFill="1" applyBorder="1" applyAlignment="1">
      <alignment horizontal="center" vertical="top" wrapText="1"/>
    </xf>
    <xf numFmtId="172" fontId="2" fillId="16" borderId="45" xfId="0" applyNumberFormat="1" applyFont="1" applyFill="1" applyBorder="1" applyAlignment="1">
      <alignment horizontal="center" vertical="top" wrapText="1"/>
    </xf>
    <xf numFmtId="172" fontId="2" fillId="16" borderId="87" xfId="0" applyNumberFormat="1" applyFont="1" applyFill="1" applyBorder="1" applyAlignment="1">
      <alignment horizontal="center" vertical="top" wrapText="1"/>
    </xf>
    <xf numFmtId="172" fontId="2" fillId="16" borderId="89" xfId="0" applyNumberFormat="1" applyFont="1" applyFill="1" applyBorder="1" applyAlignment="1">
      <alignment horizontal="center" vertical="top" wrapText="1"/>
    </xf>
    <xf numFmtId="172" fontId="2" fillId="16" borderId="85" xfId="0" applyNumberFormat="1" applyFont="1" applyFill="1" applyBorder="1" applyAlignment="1">
      <alignment horizontal="center" vertical="top" wrapText="1"/>
    </xf>
    <xf numFmtId="0" fontId="2" fillId="16" borderId="86" xfId="0" applyFont="1" applyFill="1" applyBorder="1" applyAlignment="1">
      <alignment horizontal="right" vertical="top" wrapText="1"/>
    </xf>
    <xf numFmtId="172" fontId="2" fillId="16" borderId="84" xfId="0" applyNumberFormat="1" applyFont="1" applyFill="1" applyBorder="1" applyAlignment="1">
      <alignment horizontal="center" vertical="top" wrapText="1"/>
    </xf>
    <xf numFmtId="172" fontId="2" fillId="16" borderId="88" xfId="0" applyNumberFormat="1" applyFont="1" applyFill="1" applyBorder="1" applyAlignment="1">
      <alignment horizontal="center" vertical="top" wrapText="1"/>
    </xf>
    <xf numFmtId="172" fontId="1" fillId="16" borderId="54" xfId="0" applyNumberFormat="1" applyFont="1" applyFill="1" applyBorder="1" applyAlignment="1">
      <alignment horizontal="center" vertical="top" wrapText="1"/>
    </xf>
    <xf numFmtId="172" fontId="1" fillId="16" borderId="37" xfId="0" applyNumberFormat="1" applyFont="1" applyFill="1" applyBorder="1" applyAlignment="1">
      <alignment horizontal="center" vertical="top" wrapText="1"/>
    </xf>
    <xf numFmtId="172" fontId="1" fillId="16" borderId="55" xfId="0" applyNumberFormat="1" applyFont="1" applyFill="1" applyBorder="1" applyAlignment="1">
      <alignment horizontal="center" vertical="top" wrapText="1"/>
    </xf>
    <xf numFmtId="172" fontId="1" fillId="16" borderId="57" xfId="0" applyNumberFormat="1" applyFont="1" applyFill="1" applyBorder="1" applyAlignment="1">
      <alignment horizontal="center" vertical="top" wrapText="1"/>
    </xf>
    <xf numFmtId="172" fontId="1" fillId="16" borderId="58" xfId="0" applyNumberFormat="1" applyFont="1" applyFill="1" applyBorder="1" applyAlignment="1">
      <alignment horizontal="center" vertical="top" wrapText="1"/>
    </xf>
    <xf numFmtId="172" fontId="1" fillId="16" borderId="75" xfId="0" applyNumberFormat="1" applyFont="1" applyFill="1" applyBorder="1" applyAlignment="1">
      <alignment horizontal="center" vertical="top" wrapText="1"/>
    </xf>
    <xf numFmtId="172" fontId="1" fillId="16" borderId="51" xfId="0" applyNumberFormat="1" applyFont="1" applyFill="1" applyBorder="1" applyAlignment="1">
      <alignment horizontal="center" vertical="top" wrapText="1"/>
    </xf>
    <xf numFmtId="172" fontId="1" fillId="16" borderId="38" xfId="0" applyNumberFormat="1" applyFont="1" applyFill="1" applyBorder="1" applyAlignment="1">
      <alignment horizontal="center" vertical="top" wrapText="1"/>
    </xf>
    <xf numFmtId="172" fontId="1" fillId="16" borderId="53" xfId="0" applyNumberFormat="1" applyFont="1" applyFill="1" applyBorder="1" applyAlignment="1">
      <alignment horizontal="center" vertical="top" wrapText="1"/>
    </xf>
    <xf numFmtId="172" fontId="1" fillId="16" borderId="48" xfId="0" applyNumberFormat="1" applyFont="1" applyFill="1" applyBorder="1" applyAlignment="1">
      <alignment horizontal="center" vertical="top" wrapText="1"/>
    </xf>
    <xf numFmtId="172" fontId="1" fillId="16" borderId="47" xfId="0" applyNumberFormat="1" applyFont="1" applyFill="1" applyBorder="1" applyAlignment="1">
      <alignment horizontal="center" vertical="top" wrapText="1"/>
    </xf>
    <xf numFmtId="172" fontId="1" fillId="16" borderId="49" xfId="0" applyNumberFormat="1" applyFont="1" applyFill="1" applyBorder="1" applyAlignment="1">
      <alignment horizontal="center" vertical="top" wrapText="1"/>
    </xf>
    <xf numFmtId="172" fontId="1" fillId="16" borderId="48" xfId="0" applyNumberFormat="1" applyFont="1" applyFill="1" applyBorder="1" applyAlignment="1">
      <alignment horizontal="center" vertical="top"/>
    </xf>
    <xf numFmtId="172" fontId="1" fillId="16" borderId="47" xfId="0" applyNumberFormat="1" applyFont="1" applyFill="1" applyBorder="1" applyAlignment="1">
      <alignment horizontal="center" vertical="top"/>
    </xf>
    <xf numFmtId="172" fontId="28" fillId="16" borderId="47" xfId="0" applyNumberFormat="1" applyFont="1" applyFill="1" applyBorder="1" applyAlignment="1">
      <alignment horizontal="center" vertical="top"/>
    </xf>
    <xf numFmtId="172" fontId="28" fillId="16" borderId="48" xfId="0" applyNumberFormat="1" applyFont="1" applyFill="1" applyBorder="1" applyAlignment="1">
      <alignment horizontal="center" vertical="top"/>
    </xf>
    <xf numFmtId="172" fontId="28" fillId="16" borderId="58" xfId="0" applyNumberFormat="1" applyFont="1" applyFill="1" applyBorder="1" applyAlignment="1">
      <alignment horizontal="center" vertical="top"/>
    </xf>
    <xf numFmtId="172" fontId="28" fillId="16" borderId="57" xfId="0" applyNumberFormat="1" applyFont="1" applyFill="1" applyBorder="1" applyAlignment="1">
      <alignment horizontal="center" vertical="top"/>
    </xf>
    <xf numFmtId="0" fontId="47" fillId="0" borderId="44" xfId="50" applyFont="1" applyBorder="1" applyAlignment="1">
      <alignment horizontal="center" vertical="top"/>
      <protection/>
    </xf>
    <xf numFmtId="0" fontId="47" fillId="0" borderId="0" xfId="50" applyFont="1" applyBorder="1" applyAlignment="1">
      <alignment horizontal="left" vertical="top" wrapText="1"/>
      <protection/>
    </xf>
    <xf numFmtId="172" fontId="4" fillId="4" borderId="18" xfId="0" applyNumberFormat="1" applyFont="1" applyFill="1" applyBorder="1" applyAlignment="1">
      <alignment horizontal="center" vertical="center"/>
    </xf>
    <xf numFmtId="172" fontId="28" fillId="16" borderId="49" xfId="0" applyNumberFormat="1" applyFont="1" applyFill="1" applyBorder="1" applyAlignment="1">
      <alignment horizontal="center" vertical="top" wrapText="1"/>
    </xf>
    <xf numFmtId="172" fontId="28" fillId="0" borderId="50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172" fontId="28" fillId="16" borderId="55" xfId="0" applyNumberFormat="1" applyFont="1" applyFill="1" applyBorder="1" applyAlignment="1">
      <alignment horizontal="center" vertical="top" wrapText="1"/>
    </xf>
    <xf numFmtId="172" fontId="28" fillId="0" borderId="39" xfId="0" applyNumberFormat="1" applyFont="1" applyFill="1" applyBorder="1" applyAlignment="1">
      <alignment horizontal="center" vertical="top" wrapText="1"/>
    </xf>
    <xf numFmtId="0" fontId="47" fillId="0" borderId="59" xfId="50" applyFont="1" applyBorder="1" applyAlignment="1">
      <alignment horizontal="left" vertical="top" wrapText="1"/>
      <protection/>
    </xf>
    <xf numFmtId="0" fontId="28" fillId="0" borderId="11" xfId="0" applyFont="1" applyBorder="1" applyAlignment="1">
      <alignment horizontal="center" vertical="top" wrapText="1"/>
    </xf>
    <xf numFmtId="172" fontId="2" fillId="16" borderId="0" xfId="0" applyNumberFormat="1" applyFont="1" applyFill="1" applyBorder="1" applyAlignment="1">
      <alignment horizontal="center" vertical="top" wrapText="1"/>
    </xf>
    <xf numFmtId="172" fontId="2" fillId="16" borderId="0" xfId="0" applyNumberFormat="1" applyFont="1" applyFill="1" applyAlignment="1">
      <alignment horizontal="center" vertical="top" wrapText="1"/>
    </xf>
    <xf numFmtId="172" fontId="2" fillId="16" borderId="80" xfId="0" applyNumberFormat="1" applyFont="1" applyFill="1" applyBorder="1" applyAlignment="1">
      <alignment horizontal="center" vertical="top" wrapText="1"/>
    </xf>
    <xf numFmtId="172" fontId="2" fillId="16" borderId="28" xfId="0" applyNumberFormat="1" applyFont="1" applyFill="1" applyBorder="1" applyAlignment="1">
      <alignment horizontal="center" vertical="top" wrapText="1"/>
    </xf>
    <xf numFmtId="172" fontId="2" fillId="24" borderId="27" xfId="0" applyNumberFormat="1" applyFont="1" applyFill="1" applyBorder="1" applyAlignment="1">
      <alignment horizontal="center" vertical="top" wrapText="1"/>
    </xf>
    <xf numFmtId="172" fontId="2" fillId="24" borderId="74" xfId="0" applyNumberFormat="1" applyFont="1" applyFill="1" applyBorder="1" applyAlignment="1">
      <alignment horizontal="center" vertical="top" wrapText="1"/>
    </xf>
    <xf numFmtId="172" fontId="2" fillId="24" borderId="72" xfId="0" applyNumberFormat="1" applyFont="1" applyFill="1" applyBorder="1" applyAlignment="1">
      <alignment horizontal="center" vertical="top" wrapText="1"/>
    </xf>
    <xf numFmtId="172" fontId="1" fillId="0" borderId="65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2" fillId="8" borderId="48" xfId="0" applyNumberFormat="1" applyFont="1" applyFill="1" applyBorder="1" applyAlignment="1">
      <alignment horizontal="left" vertical="top"/>
    </xf>
    <xf numFmtId="49" fontId="2" fillId="8" borderId="83" xfId="0" applyNumberFormat="1" applyFont="1" applyFill="1" applyBorder="1" applyAlignment="1">
      <alignment horizontal="left" vertical="top"/>
    </xf>
    <xf numFmtId="49" fontId="2" fillId="4" borderId="47" xfId="0" applyNumberFormat="1" applyFont="1" applyFill="1" applyBorder="1" applyAlignment="1">
      <alignment horizontal="center" vertical="top"/>
    </xf>
    <xf numFmtId="49" fontId="2" fillId="4" borderId="45" xfId="0" applyNumberFormat="1" applyFont="1" applyFill="1" applyBorder="1" applyAlignment="1">
      <alignment horizontal="center" vertical="top"/>
    </xf>
    <xf numFmtId="49" fontId="2" fillId="25" borderId="47" xfId="0" applyNumberFormat="1" applyFont="1" applyFill="1" applyBorder="1" applyAlignment="1">
      <alignment horizontal="left" vertical="top"/>
    </xf>
    <xf numFmtId="49" fontId="2" fillId="25" borderId="45" xfId="0" applyNumberFormat="1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82" xfId="0" applyNumberFormat="1" applyFont="1" applyBorder="1" applyAlignment="1">
      <alignment horizontal="center" vertical="top"/>
    </xf>
    <xf numFmtId="172" fontId="2" fillId="0" borderId="68" xfId="0" applyNumberFormat="1" applyFont="1" applyBorder="1" applyAlignment="1">
      <alignment horizontal="center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72" fontId="1" fillId="0" borderId="37" xfId="0" applyNumberFormat="1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left" vertical="top" wrapText="1"/>
    </xf>
    <xf numFmtId="0" fontId="2" fillId="0" borderId="68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49" fontId="1" fillId="0" borderId="70" xfId="0" applyNumberFormat="1" applyFont="1" applyBorder="1" applyAlignment="1">
      <alignment horizontal="center" vertical="top"/>
    </xf>
    <xf numFmtId="49" fontId="1" fillId="0" borderId="81" xfId="0" applyNumberFormat="1" applyFont="1" applyBorder="1" applyAlignment="1">
      <alignment horizontal="center" vertical="top"/>
    </xf>
    <xf numFmtId="172" fontId="1" fillId="0" borderId="35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65" xfId="0" applyFont="1" applyBorder="1" applyAlignment="1">
      <alignment horizontal="center" vertical="top" wrapText="1"/>
    </xf>
    <xf numFmtId="172" fontId="1" fillId="0" borderId="24" xfId="0" applyNumberFormat="1" applyFont="1" applyBorder="1" applyAlignment="1">
      <alignment horizontal="center" vertical="top" wrapText="1"/>
    </xf>
    <xf numFmtId="0" fontId="1" fillId="0" borderId="6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left" vertical="top" wrapText="1"/>
    </xf>
    <xf numFmtId="0" fontId="1" fillId="16" borderId="83" xfId="0" applyFont="1" applyFill="1" applyBorder="1" applyAlignment="1">
      <alignment horizontal="left" vertical="top" wrapText="1"/>
    </xf>
    <xf numFmtId="0" fontId="1" fillId="16" borderId="45" xfId="0" applyFont="1" applyFill="1" applyBorder="1" applyAlignment="1">
      <alignment horizontal="left" vertical="top" wrapText="1"/>
    </xf>
    <xf numFmtId="0" fontId="1" fillId="16" borderId="87" xfId="0" applyFont="1" applyFill="1" applyBorder="1" applyAlignment="1">
      <alignment horizontal="left" vertical="top" wrapText="1"/>
    </xf>
    <xf numFmtId="172" fontId="2" fillId="16" borderId="74" xfId="0" applyNumberFormat="1" applyFont="1" applyFill="1" applyBorder="1" applyAlignment="1">
      <alignment horizontal="center" vertical="top" wrapText="1"/>
    </xf>
    <xf numFmtId="172" fontId="2" fillId="16" borderId="72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172" fontId="1" fillId="0" borderId="59" xfId="0" applyNumberFormat="1" applyFont="1" applyBorder="1" applyAlignment="1">
      <alignment horizontal="center" vertical="top" wrapText="1"/>
    </xf>
    <xf numFmtId="172" fontId="1" fillId="0" borderId="40" xfId="0" applyNumberFormat="1" applyFont="1" applyBorder="1" applyAlignment="1">
      <alignment horizontal="center" vertical="top" wrapText="1"/>
    </xf>
    <xf numFmtId="0" fontId="2" fillId="16" borderId="27" xfId="0" applyFont="1" applyFill="1" applyBorder="1" applyAlignment="1">
      <alignment horizontal="right" vertical="top" wrapText="1"/>
    </xf>
    <xf numFmtId="0" fontId="2" fillId="16" borderId="74" xfId="0" applyFont="1" applyFill="1" applyBorder="1" applyAlignment="1">
      <alignment horizontal="right" vertical="top" wrapText="1"/>
    </xf>
    <xf numFmtId="0" fontId="2" fillId="16" borderId="72" xfId="0" applyFont="1" applyFill="1" applyBorder="1" applyAlignment="1">
      <alignment horizontal="right" vertical="top" wrapText="1"/>
    </xf>
    <xf numFmtId="0" fontId="1" fillId="25" borderId="48" xfId="0" applyFont="1" applyFill="1" applyBorder="1" applyAlignment="1">
      <alignment horizontal="left" vertical="top" wrapText="1"/>
    </xf>
    <xf numFmtId="0" fontId="1" fillId="25" borderId="47" xfId="0" applyFont="1" applyFill="1" applyBorder="1" applyAlignment="1">
      <alignment horizontal="left" vertical="top" wrapText="1"/>
    </xf>
    <xf numFmtId="0" fontId="1" fillId="25" borderId="49" xfId="0" applyFont="1" applyFill="1" applyBorder="1" applyAlignment="1">
      <alignment horizontal="left" vertical="top" wrapText="1"/>
    </xf>
    <xf numFmtId="172" fontId="1" fillId="0" borderId="39" xfId="0" applyNumberFormat="1" applyFont="1" applyBorder="1" applyAlignment="1">
      <alignment horizontal="center" vertical="top" wrapText="1"/>
    </xf>
    <xf numFmtId="172" fontId="1" fillId="0" borderId="62" xfId="0" applyNumberFormat="1" applyFont="1" applyBorder="1" applyAlignment="1">
      <alignment horizontal="center" vertical="top" wrapText="1"/>
    </xf>
    <xf numFmtId="0" fontId="2" fillId="24" borderId="51" xfId="0" applyFont="1" applyFill="1" applyBorder="1" applyAlignment="1">
      <alignment horizontal="center" vertical="top" wrapText="1"/>
    </xf>
    <xf numFmtId="0" fontId="2" fillId="24" borderId="38" xfId="0" applyFont="1" applyFill="1" applyBorder="1" applyAlignment="1">
      <alignment horizontal="center" vertical="top" wrapText="1"/>
    </xf>
    <xf numFmtId="0" fontId="2" fillId="24" borderId="53" xfId="0" applyFont="1" applyFill="1" applyBorder="1" applyAlignment="1">
      <alignment horizontal="center" vertical="top" wrapText="1"/>
    </xf>
    <xf numFmtId="0" fontId="1" fillId="0" borderId="83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8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83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90" xfId="0" applyFont="1" applyBorder="1" applyAlignment="1">
      <alignment horizontal="right" vertical="top"/>
    </xf>
    <xf numFmtId="0" fontId="1" fillId="0" borderId="7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72" fontId="2" fillId="16" borderId="27" xfId="0" applyNumberFormat="1" applyFont="1" applyFill="1" applyBorder="1" applyAlignment="1">
      <alignment horizontal="center" vertical="top" wrapText="1"/>
    </xf>
    <xf numFmtId="0" fontId="2" fillId="8" borderId="74" xfId="0" applyFont="1" applyFill="1" applyBorder="1" applyAlignment="1">
      <alignment horizontal="left" vertical="top"/>
    </xf>
    <xf numFmtId="0" fontId="2" fillId="8" borderId="72" xfId="0" applyFont="1" applyFill="1" applyBorder="1" applyAlignment="1">
      <alignment horizontal="left" vertical="top"/>
    </xf>
    <xf numFmtId="49" fontId="2" fillId="3" borderId="21" xfId="0" applyNumberFormat="1" applyFont="1" applyFill="1" applyBorder="1" applyAlignment="1">
      <alignment horizontal="left" vertical="top" wrapText="1"/>
    </xf>
    <xf numFmtId="0" fontId="0" fillId="0" borderId="50" xfId="0" applyFont="1" applyBorder="1" applyAlignment="1">
      <alignment/>
    </xf>
    <xf numFmtId="0" fontId="0" fillId="0" borderId="60" xfId="0" applyFont="1" applyBorder="1" applyAlignment="1">
      <alignment/>
    </xf>
    <xf numFmtId="0" fontId="1" fillId="0" borderId="71" xfId="0" applyNumberFormat="1" applyFont="1" applyBorder="1" applyAlignment="1">
      <alignment horizontal="center" vertical="center" textRotation="90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" fillId="0" borderId="19" xfId="0" applyNumberFormat="1" applyFont="1" applyBorder="1" applyAlignment="1">
      <alignment horizontal="center" vertical="center" textRotation="90" wrapText="1"/>
    </xf>
    <xf numFmtId="172" fontId="1" fillId="0" borderId="25" xfId="0" applyNumberFormat="1" applyFont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2" fillId="0" borderId="91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88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top" wrapText="1"/>
    </xf>
    <xf numFmtId="49" fontId="1" fillId="0" borderId="80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2" fillId="8" borderId="48" xfId="0" applyNumberFormat="1" applyFont="1" applyFill="1" applyBorder="1" applyAlignment="1">
      <alignment horizontal="center" vertical="top"/>
    </xf>
    <xf numFmtId="49" fontId="2" fillId="8" borderId="51" xfId="0" applyNumberFormat="1" applyFont="1" applyFill="1" applyBorder="1" applyAlignment="1">
      <alignment horizontal="center" vertical="top"/>
    </xf>
    <xf numFmtId="49" fontId="2" fillId="8" borderId="83" xfId="0" applyNumberFormat="1" applyFont="1" applyFill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2" fillId="0" borderId="45" xfId="0" applyNumberFormat="1" applyFont="1" applyBorder="1" applyAlignment="1">
      <alignment horizontal="center" vertical="top"/>
    </xf>
    <xf numFmtId="0" fontId="1" fillId="0" borderId="56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1" fillId="0" borderId="88" xfId="0" applyFont="1" applyFill="1" applyBorder="1" applyAlignment="1">
      <alignment vertical="top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4" borderId="76" xfId="0" applyNumberFormat="1" applyFont="1" applyFill="1" applyBorder="1" applyAlignment="1">
      <alignment horizontal="center" vertical="top"/>
    </xf>
    <xf numFmtId="49" fontId="2" fillId="4" borderId="44" xfId="0" applyNumberFormat="1" applyFont="1" applyFill="1" applyBorder="1" applyAlignment="1">
      <alignment horizontal="center" vertical="top"/>
    </xf>
    <xf numFmtId="49" fontId="2" fillId="4" borderId="89" xfId="0" applyNumberFormat="1" applyFont="1" applyFill="1" applyBorder="1" applyAlignment="1">
      <alignment horizontal="center" vertical="top"/>
    </xf>
    <xf numFmtId="0" fontId="28" fillId="0" borderId="56" xfId="0" applyFont="1" applyFill="1" applyBorder="1" applyAlignment="1">
      <alignment vertical="top" wrapText="1"/>
    </xf>
    <xf numFmtId="0" fontId="28" fillId="0" borderId="52" xfId="0" applyFont="1" applyFill="1" applyBorder="1" applyAlignment="1">
      <alignment vertical="top" wrapText="1"/>
    </xf>
    <xf numFmtId="0" fontId="28" fillId="0" borderId="88" xfId="0" applyFont="1" applyFill="1" applyBorder="1" applyAlignment="1">
      <alignment vertical="top" wrapText="1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0" borderId="81" xfId="0" applyFont="1" applyFill="1" applyBorder="1" applyAlignment="1">
      <alignment horizontal="center" vertical="center" textRotation="90" wrapText="1"/>
    </xf>
    <xf numFmtId="49" fontId="2" fillId="8" borderId="54" xfId="0" applyNumberFormat="1" applyFont="1" applyFill="1" applyBorder="1" applyAlignment="1">
      <alignment horizontal="center" vertical="top"/>
    </xf>
    <xf numFmtId="49" fontId="1" fillId="0" borderId="73" xfId="0" applyNumberFormat="1" applyFont="1" applyBorder="1" applyAlignment="1">
      <alignment horizontal="center" vertical="top"/>
    </xf>
    <xf numFmtId="49" fontId="1" fillId="0" borderId="80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2" fillId="4" borderId="56" xfId="0" applyNumberFormat="1" applyFont="1" applyFill="1" applyBorder="1" applyAlignment="1">
      <alignment horizontal="center" vertical="top"/>
    </xf>
    <xf numFmtId="49" fontId="2" fillId="4" borderId="52" xfId="0" applyNumberFormat="1" applyFont="1" applyFill="1" applyBorder="1" applyAlignment="1">
      <alignment horizontal="center" vertical="top"/>
    </xf>
    <xf numFmtId="49" fontId="2" fillId="4" borderId="61" xfId="0" applyNumberFormat="1" applyFont="1" applyFill="1" applyBorder="1" applyAlignment="1">
      <alignment horizontal="center" vertical="top"/>
    </xf>
    <xf numFmtId="49" fontId="2" fillId="4" borderId="88" xfId="0" applyNumberFormat="1" applyFont="1" applyFill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0" fontId="1" fillId="0" borderId="70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81" xfId="0" applyFont="1" applyFill="1" applyBorder="1" applyAlignment="1">
      <alignment horizontal="left" vertical="top" wrapText="1"/>
    </xf>
    <xf numFmtId="172" fontId="2" fillId="0" borderId="38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wrapText="1"/>
    </xf>
    <xf numFmtId="172" fontId="2" fillId="0" borderId="70" xfId="0" applyNumberFormat="1" applyFont="1" applyBorder="1" applyAlignment="1">
      <alignment horizontal="left" vertical="top" wrapText="1"/>
    </xf>
    <xf numFmtId="172" fontId="2" fillId="0" borderId="52" xfId="0" applyNumberFormat="1" applyFont="1" applyBorder="1" applyAlignment="1">
      <alignment horizontal="left" vertical="top" wrapText="1"/>
    </xf>
    <xf numFmtId="172" fontId="2" fillId="0" borderId="81" xfId="0" applyNumberFormat="1" applyFont="1" applyBorder="1" applyAlignment="1">
      <alignment horizontal="left" vertical="top" wrapText="1"/>
    </xf>
    <xf numFmtId="172" fontId="1" fillId="0" borderId="38" xfId="0" applyNumberFormat="1" applyFont="1" applyFill="1" applyBorder="1" applyAlignment="1">
      <alignment horizontal="left" vertical="top" wrapText="1"/>
    </xf>
    <xf numFmtId="172" fontId="2" fillId="0" borderId="38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172" fontId="2" fillId="0" borderId="38" xfId="0" applyNumberFormat="1" applyFont="1" applyFill="1" applyBorder="1" applyAlignment="1">
      <alignment horizontal="center" vertical="center" textRotation="90" wrapText="1"/>
    </xf>
    <xf numFmtId="172" fontId="2" fillId="0" borderId="10" xfId="0" applyNumberFormat="1" applyFont="1" applyFill="1" applyBorder="1" applyAlignment="1">
      <alignment horizontal="center" vertical="center" textRotation="90" wrapText="1"/>
    </xf>
    <xf numFmtId="49" fontId="2" fillId="4" borderId="29" xfId="0" applyNumberFormat="1" applyFont="1" applyFill="1" applyBorder="1" applyAlignment="1">
      <alignment horizontal="right" vertical="top"/>
    </xf>
    <xf numFmtId="49" fontId="2" fillId="4" borderId="46" xfId="0" applyNumberFormat="1" applyFont="1" applyFill="1" applyBorder="1" applyAlignment="1">
      <alignment horizontal="right" vertical="top"/>
    </xf>
    <xf numFmtId="49" fontId="2" fillId="4" borderId="79" xfId="0" applyNumberFormat="1" applyFont="1" applyFill="1" applyBorder="1" applyAlignment="1">
      <alignment horizontal="right" vertical="top"/>
    </xf>
    <xf numFmtId="0" fontId="1" fillId="0" borderId="68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82" xfId="0" applyNumberFormat="1" applyFont="1" applyBorder="1" applyAlignment="1">
      <alignment horizontal="center" vertical="top"/>
    </xf>
    <xf numFmtId="172" fontId="1" fillId="0" borderId="38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8" borderId="67" xfId="0" applyNumberFormat="1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49" fontId="4" fillId="4" borderId="70" xfId="0" applyNumberFormat="1" applyFont="1" applyFill="1" applyBorder="1" applyAlignment="1">
      <alignment horizontal="center" vertical="top" wrapText="1"/>
    </xf>
    <xf numFmtId="0" fontId="19" fillId="0" borderId="81" xfId="0" applyFont="1" applyBorder="1" applyAlignment="1">
      <alignment horizontal="center" vertical="top" wrapText="1"/>
    </xf>
    <xf numFmtId="49" fontId="4" fillId="0" borderId="68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2" fillId="0" borderId="58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25" borderId="47" xfId="0" applyNumberFormat="1" applyFont="1" applyFill="1" applyBorder="1" applyAlignment="1">
      <alignment horizontal="center" vertical="top"/>
    </xf>
    <xf numFmtId="49" fontId="2" fillId="25" borderId="38" xfId="0" applyNumberFormat="1" applyFont="1" applyFill="1" applyBorder="1" applyAlignment="1">
      <alignment horizontal="center" vertical="top"/>
    </xf>
    <xf numFmtId="49" fontId="2" fillId="25" borderId="45" xfId="0" applyNumberFormat="1" applyFont="1" applyFill="1" applyBorder="1" applyAlignment="1">
      <alignment horizontal="center" vertical="top"/>
    </xf>
    <xf numFmtId="49" fontId="2" fillId="25" borderId="68" xfId="0" applyNumberFormat="1" applyFont="1" applyFill="1" applyBorder="1" applyAlignment="1">
      <alignment horizontal="center" vertical="top"/>
    </xf>
    <xf numFmtId="49" fontId="2" fillId="25" borderId="10" xfId="0" applyNumberFormat="1" applyFont="1" applyFill="1" applyBorder="1" applyAlignment="1">
      <alignment horizontal="center" vertical="top"/>
    </xf>
    <xf numFmtId="49" fontId="2" fillId="8" borderId="67" xfId="0" applyNumberFormat="1" applyFont="1" applyFill="1" applyBorder="1" applyAlignment="1">
      <alignment horizontal="center" vertical="top" wrapText="1"/>
    </xf>
    <xf numFmtId="49" fontId="2" fillId="8" borderId="51" xfId="0" applyNumberFormat="1" applyFont="1" applyFill="1" applyBorder="1" applyAlignment="1">
      <alignment horizontal="center" vertical="top" wrapText="1"/>
    </xf>
    <xf numFmtId="49" fontId="2" fillId="8" borderId="30" xfId="0" applyNumberFormat="1" applyFont="1" applyFill="1" applyBorder="1" applyAlignment="1">
      <alignment horizontal="center" vertical="top" wrapText="1"/>
    </xf>
    <xf numFmtId="49" fontId="2" fillId="8" borderId="57" xfId="0" applyNumberFormat="1" applyFont="1" applyFill="1" applyBorder="1" applyAlignment="1">
      <alignment horizontal="center" vertical="top" wrapText="1"/>
    </xf>
    <xf numFmtId="49" fontId="2" fillId="8" borderId="83" xfId="0" applyNumberFormat="1" applyFont="1" applyFill="1" applyBorder="1" applyAlignment="1">
      <alignment horizontal="center" vertical="top" wrapText="1"/>
    </xf>
    <xf numFmtId="49" fontId="2" fillId="4" borderId="78" xfId="0" applyNumberFormat="1" applyFont="1" applyFill="1" applyBorder="1" applyAlignment="1">
      <alignment horizontal="right" vertical="top" wrapText="1"/>
    </xf>
    <xf numFmtId="49" fontId="2" fillId="4" borderId="74" xfId="0" applyNumberFormat="1" applyFont="1" applyFill="1" applyBorder="1" applyAlignment="1">
      <alignment horizontal="right" vertical="top" wrapText="1"/>
    </xf>
    <xf numFmtId="49" fontId="2" fillId="4" borderId="72" xfId="0" applyNumberFormat="1" applyFont="1" applyFill="1" applyBorder="1" applyAlignment="1">
      <alignment horizontal="right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84" xfId="0" applyNumberFormat="1" applyFont="1" applyBorder="1" applyAlignment="1">
      <alignment horizontal="center" vertical="top" wrapText="1"/>
    </xf>
    <xf numFmtId="172" fontId="2" fillId="0" borderId="68" xfId="0" applyNumberFormat="1" applyFont="1" applyBorder="1" applyAlignment="1">
      <alignment horizontal="center" vertical="top" wrapText="1"/>
    </xf>
    <xf numFmtId="172" fontId="2" fillId="0" borderId="38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49" fontId="2" fillId="4" borderId="66" xfId="0" applyNumberFormat="1" applyFont="1" applyFill="1" applyBorder="1" applyAlignment="1">
      <alignment horizontal="left" vertical="top" wrapText="1"/>
    </xf>
    <xf numFmtId="49" fontId="2" fillId="4" borderId="0" xfId="0" applyNumberFormat="1" applyFont="1" applyFill="1" applyBorder="1" applyAlignment="1">
      <alignment horizontal="left" vertical="top" wrapText="1"/>
    </xf>
    <xf numFmtId="49" fontId="2" fillId="4" borderId="80" xfId="0" applyNumberFormat="1" applyFont="1" applyFill="1" applyBorder="1" applyAlignment="1">
      <alignment horizontal="left" vertical="top" wrapText="1"/>
    </xf>
    <xf numFmtId="49" fontId="2" fillId="4" borderId="11" xfId="0" applyNumberFormat="1" applyFont="1" applyFill="1" applyBorder="1" applyAlignment="1">
      <alignment horizontal="center" vertical="top"/>
    </xf>
    <xf numFmtId="49" fontId="2" fillId="8" borderId="48" xfId="0" applyNumberFormat="1" applyFont="1" applyFill="1" applyBorder="1" applyAlignment="1">
      <alignment horizontal="center" vertical="top" wrapText="1"/>
    </xf>
    <xf numFmtId="49" fontId="2" fillId="4" borderId="68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1" fillId="0" borderId="56" xfId="0" applyNumberFormat="1" applyFont="1" applyBorder="1" applyAlignment="1">
      <alignment horizontal="center" vertical="top" wrapText="1"/>
    </xf>
    <xf numFmtId="49" fontId="1" fillId="0" borderId="88" xfId="0" applyNumberFormat="1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top" wrapText="1"/>
    </xf>
    <xf numFmtId="0" fontId="2" fillId="24" borderId="46" xfId="0" applyFont="1" applyFill="1" applyBorder="1" applyAlignment="1">
      <alignment horizontal="center" vertical="top" wrapText="1"/>
    </xf>
    <xf numFmtId="0" fontId="2" fillId="24" borderId="79" xfId="0" applyFont="1" applyFill="1" applyBorder="1" applyAlignment="1">
      <alignment horizontal="center" vertical="top" wrapText="1"/>
    </xf>
    <xf numFmtId="0" fontId="2" fillId="16" borderId="51" xfId="0" applyFont="1" applyFill="1" applyBorder="1" applyAlignment="1">
      <alignment horizontal="center" vertical="top" wrapText="1"/>
    </xf>
    <xf numFmtId="0" fontId="2" fillId="16" borderId="38" xfId="0" applyFont="1" applyFill="1" applyBorder="1" applyAlignment="1">
      <alignment horizontal="center" vertical="top" wrapText="1"/>
    </xf>
    <xf numFmtId="0" fontId="2" fillId="16" borderId="53" xfId="0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left" vertical="top" wrapText="1"/>
    </xf>
    <xf numFmtId="172" fontId="1" fillId="0" borderId="90" xfId="0" applyNumberFormat="1" applyFont="1" applyFill="1" applyBorder="1" applyAlignment="1">
      <alignment horizontal="right" vertical="top"/>
    </xf>
    <xf numFmtId="0" fontId="2" fillId="0" borderId="71" xfId="0" applyNumberFormat="1" applyFont="1" applyBorder="1" applyAlignment="1">
      <alignment horizontal="center" vertical="top"/>
    </xf>
    <xf numFmtId="0" fontId="24" fillId="0" borderId="19" xfId="0" applyNumberFormat="1" applyFont="1" applyBorder="1" applyAlignment="1">
      <alignment horizontal="center" vertical="top"/>
    </xf>
    <xf numFmtId="0" fontId="2" fillId="0" borderId="68" xfId="0" applyFont="1" applyFill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vertical="top" wrapText="1"/>
    </xf>
    <xf numFmtId="49" fontId="1" fillId="0" borderId="92" xfId="0" applyNumberFormat="1" applyFont="1" applyBorder="1" applyAlignment="1">
      <alignment horizontal="center" vertical="top" wrapText="1"/>
    </xf>
    <xf numFmtId="49" fontId="2" fillId="24" borderId="78" xfId="0" applyNumberFormat="1" applyFont="1" applyFill="1" applyBorder="1" applyAlignment="1">
      <alignment horizontal="right" vertical="top"/>
    </xf>
    <xf numFmtId="49" fontId="2" fillId="24" borderId="74" xfId="0" applyNumberFormat="1" applyFont="1" applyFill="1" applyBorder="1" applyAlignment="1">
      <alignment horizontal="right" vertical="top"/>
    </xf>
    <xf numFmtId="49" fontId="2" fillId="0" borderId="22" xfId="0" applyNumberFormat="1" applyFont="1" applyBorder="1" applyAlignment="1">
      <alignment horizontal="center" vertical="top"/>
    </xf>
    <xf numFmtId="49" fontId="2" fillId="4" borderId="3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23" fillId="24" borderId="86" xfId="0" applyFont="1" applyFill="1" applyBorder="1" applyAlignment="1">
      <alignment horizontal="left" vertical="top" wrapText="1"/>
    </xf>
    <xf numFmtId="0" fontId="23" fillId="24" borderId="84" xfId="0" applyFont="1" applyFill="1" applyBorder="1" applyAlignment="1">
      <alignment horizontal="left" vertical="top" wrapText="1"/>
    </xf>
    <xf numFmtId="0" fontId="23" fillId="24" borderId="85" xfId="0" applyFont="1" applyFill="1" applyBorder="1" applyAlignment="1">
      <alignment horizontal="left" vertical="top" wrapText="1"/>
    </xf>
    <xf numFmtId="49" fontId="2" fillId="0" borderId="6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8" fillId="0" borderId="70" xfId="0" applyFont="1" applyFill="1" applyBorder="1" applyAlignment="1">
      <alignment horizontal="left" vertical="top" wrapText="1"/>
    </xf>
    <xf numFmtId="0" fontId="28" fillId="0" borderId="52" xfId="0" applyFont="1" applyFill="1" applyBorder="1" applyAlignment="1">
      <alignment horizontal="left" vertical="top" wrapText="1"/>
    </xf>
    <xf numFmtId="0" fontId="28" fillId="0" borderId="81" xfId="0" applyFont="1" applyFill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49" fontId="2" fillId="0" borderId="84" xfId="0" applyNumberFormat="1" applyFont="1" applyBorder="1" applyAlignment="1">
      <alignment horizontal="center" vertical="top"/>
    </xf>
    <xf numFmtId="0" fontId="2" fillId="4" borderId="46" xfId="0" applyFont="1" applyFill="1" applyBorder="1" applyAlignment="1">
      <alignment horizontal="left" vertical="top" wrapText="1"/>
    </xf>
    <xf numFmtId="0" fontId="2" fillId="4" borderId="46" xfId="0" applyFont="1" applyFill="1" applyBorder="1" applyAlignment="1">
      <alignment horizontal="left" vertical="top" wrapText="1"/>
    </xf>
    <xf numFmtId="0" fontId="2" fillId="4" borderId="79" xfId="0" applyFont="1" applyFill="1" applyBorder="1" applyAlignment="1">
      <alignment horizontal="left" vertical="top" wrapText="1"/>
    </xf>
    <xf numFmtId="49" fontId="2" fillId="4" borderId="78" xfId="0" applyNumberFormat="1" applyFont="1" applyFill="1" applyBorder="1" applyAlignment="1">
      <alignment horizontal="left" vertical="top"/>
    </xf>
    <xf numFmtId="49" fontId="2" fillId="4" borderId="74" xfId="0" applyNumberFormat="1" applyFont="1" applyFill="1" applyBorder="1" applyAlignment="1">
      <alignment horizontal="left" vertical="top"/>
    </xf>
    <xf numFmtId="49" fontId="2" fillId="4" borderId="72" xfId="0" applyNumberFormat="1" applyFont="1" applyFill="1" applyBorder="1" applyAlignment="1">
      <alignment horizontal="left" vertical="top"/>
    </xf>
    <xf numFmtId="172" fontId="2" fillId="0" borderId="68" xfId="0" applyNumberFormat="1" applyFont="1" applyFill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172" fontId="1" fillId="0" borderId="23" xfId="0" applyNumberFormat="1" applyFont="1" applyBorder="1" applyAlignment="1">
      <alignment horizontal="center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2" fontId="28" fillId="0" borderId="68" xfId="0" applyNumberFormat="1" applyFont="1" applyFill="1" applyBorder="1" applyAlignment="1">
      <alignment horizontal="left" vertical="top" wrapText="1"/>
    </xf>
    <xf numFmtId="172" fontId="29" fillId="0" borderId="38" xfId="0" applyNumberFormat="1" applyFont="1" applyFill="1" applyBorder="1" applyAlignment="1">
      <alignment horizontal="left" vertical="top" wrapText="1"/>
    </xf>
    <xf numFmtId="172" fontId="29" fillId="0" borderId="10" xfId="0" applyNumberFormat="1" applyFont="1" applyFill="1" applyBorder="1" applyAlignment="1">
      <alignment horizontal="left" vertical="top" wrapText="1"/>
    </xf>
    <xf numFmtId="172" fontId="2" fillId="8" borderId="66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wrapText="1"/>
    </xf>
    <xf numFmtId="0" fontId="2" fillId="25" borderId="71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9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6" fillId="0" borderId="39" xfId="50" applyFont="1" applyBorder="1" applyAlignment="1">
      <alignment horizontal="center" vertical="center" wrapText="1"/>
      <protection/>
    </xf>
    <xf numFmtId="0" fontId="0" fillId="0" borderId="59" xfId="0" applyFont="1" applyBorder="1" applyAlignment="1">
      <alignment horizontal="center" vertical="center" wrapText="1"/>
    </xf>
    <xf numFmtId="0" fontId="16" fillId="0" borderId="33" xfId="50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20" fillId="0" borderId="37" xfId="50" applyFont="1" applyBorder="1" applyAlignment="1">
      <alignment horizontal="center" vertical="center" wrapText="1"/>
      <protection/>
    </xf>
    <xf numFmtId="0" fontId="19" fillId="0" borderId="58" xfId="0" applyFont="1" applyBorder="1" applyAlignment="1">
      <alignment horizontal="center" vertical="center"/>
    </xf>
    <xf numFmtId="0" fontId="16" fillId="0" borderId="36" xfId="50" applyFont="1" applyBorder="1" applyAlignment="1">
      <alignment horizontal="center" vertical="center" wrapText="1"/>
      <protection/>
    </xf>
    <xf numFmtId="0" fontId="16" fillId="0" borderId="35" xfId="50" applyFont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/>
    </xf>
    <xf numFmtId="0" fontId="16" fillId="0" borderId="37" xfId="50" applyFont="1" applyBorder="1" applyAlignment="1">
      <alignment horizontal="center" vertical="center" wrapText="1"/>
      <protection/>
    </xf>
    <xf numFmtId="0" fontId="0" fillId="0" borderId="58" xfId="0" applyFont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90" customWidth="1"/>
    <col min="2" max="3" width="2.57421875" style="90" customWidth="1"/>
    <col min="4" max="4" width="32.28125" style="90" customWidth="1"/>
    <col min="5" max="5" width="3.28125" style="90" customWidth="1"/>
    <col min="6" max="6" width="3.140625" style="90" customWidth="1"/>
    <col min="7" max="7" width="2.57421875" style="91" customWidth="1"/>
    <col min="8" max="8" width="7.421875" style="89" customWidth="1"/>
    <col min="9" max="9" width="7.00390625" style="90" customWidth="1"/>
    <col min="10" max="10" width="6.7109375" style="90" customWidth="1"/>
    <col min="11" max="11" width="6.421875" style="90" customWidth="1"/>
    <col min="12" max="12" width="7.00390625" style="90" customWidth="1"/>
    <col min="13" max="13" width="6.57421875" style="90" customWidth="1"/>
    <col min="14" max="15" width="6.421875" style="90" customWidth="1"/>
    <col min="16" max="16" width="6.57421875" style="90" customWidth="1"/>
    <col min="17" max="18" width="6.140625" style="90" customWidth="1"/>
    <col min="19" max="19" width="6.57421875" style="90" customWidth="1"/>
    <col min="20" max="20" width="6.140625" style="90" customWidth="1"/>
    <col min="21" max="21" width="6.57421875" style="90" customWidth="1"/>
    <col min="22" max="22" width="7.140625" style="90" customWidth="1"/>
    <col min="23" max="16384" width="9.140625" style="66" customWidth="1"/>
  </cols>
  <sheetData>
    <row r="1" spans="21:22" ht="13.5" customHeight="1">
      <c r="U1" s="678" t="s">
        <v>123</v>
      </c>
      <c r="V1" s="678"/>
    </row>
    <row r="2" spans="1:22" ht="26.25" customHeight="1">
      <c r="A2" s="492" t="s">
        <v>153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</row>
    <row r="3" spans="1:22" ht="16.5" customHeight="1">
      <c r="A3" s="653" t="s">
        <v>145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</row>
    <row r="4" spans="1:22" ht="13.5" customHeight="1" thickBot="1">
      <c r="A4" s="506" t="s">
        <v>0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</row>
    <row r="5" spans="1:22" ht="36.75" customHeight="1">
      <c r="A5" s="494" t="s">
        <v>1</v>
      </c>
      <c r="B5" s="497" t="s">
        <v>2</v>
      </c>
      <c r="C5" s="497" t="s">
        <v>3</v>
      </c>
      <c r="D5" s="500" t="s">
        <v>18</v>
      </c>
      <c r="E5" s="503" t="s">
        <v>4</v>
      </c>
      <c r="F5" s="530" t="s">
        <v>97</v>
      </c>
      <c r="G5" s="520" t="s">
        <v>5</v>
      </c>
      <c r="H5" s="507" t="s">
        <v>6</v>
      </c>
      <c r="I5" s="510" t="s">
        <v>107</v>
      </c>
      <c r="J5" s="511"/>
      <c r="K5" s="511"/>
      <c r="L5" s="512"/>
      <c r="M5" s="510" t="s">
        <v>113</v>
      </c>
      <c r="N5" s="511"/>
      <c r="O5" s="511"/>
      <c r="P5" s="513"/>
      <c r="Q5" s="538" t="s">
        <v>174</v>
      </c>
      <c r="R5" s="511"/>
      <c r="S5" s="511"/>
      <c r="T5" s="512"/>
      <c r="U5" s="507" t="s">
        <v>120</v>
      </c>
      <c r="V5" s="507" t="s">
        <v>121</v>
      </c>
    </row>
    <row r="6" spans="1:22" ht="15" customHeight="1">
      <c r="A6" s="495"/>
      <c r="B6" s="498"/>
      <c r="C6" s="498"/>
      <c r="D6" s="501"/>
      <c r="E6" s="504"/>
      <c r="F6" s="531"/>
      <c r="G6" s="521"/>
      <c r="H6" s="508"/>
      <c r="I6" s="536" t="s">
        <v>7</v>
      </c>
      <c r="J6" s="535" t="s">
        <v>8</v>
      </c>
      <c r="K6" s="535"/>
      <c r="L6" s="560" t="s">
        <v>29</v>
      </c>
      <c r="M6" s="536" t="s">
        <v>7</v>
      </c>
      <c r="N6" s="535" t="s">
        <v>8</v>
      </c>
      <c r="O6" s="535"/>
      <c r="P6" s="655" t="s">
        <v>29</v>
      </c>
      <c r="Q6" s="533" t="s">
        <v>7</v>
      </c>
      <c r="R6" s="535" t="s">
        <v>8</v>
      </c>
      <c r="S6" s="535"/>
      <c r="T6" s="560" t="s">
        <v>29</v>
      </c>
      <c r="U6" s="508"/>
      <c r="V6" s="508"/>
    </row>
    <row r="7" spans="1:22" ht="94.5" customHeight="1" thickBot="1">
      <c r="A7" s="496"/>
      <c r="B7" s="499"/>
      <c r="C7" s="499"/>
      <c r="D7" s="502"/>
      <c r="E7" s="505"/>
      <c r="F7" s="532"/>
      <c r="G7" s="522"/>
      <c r="H7" s="509"/>
      <c r="I7" s="537"/>
      <c r="J7" s="93" t="s">
        <v>7</v>
      </c>
      <c r="K7" s="94" t="s">
        <v>19</v>
      </c>
      <c r="L7" s="561"/>
      <c r="M7" s="537"/>
      <c r="N7" s="92" t="s">
        <v>7</v>
      </c>
      <c r="O7" s="94" t="s">
        <v>19</v>
      </c>
      <c r="P7" s="656"/>
      <c r="Q7" s="534"/>
      <c r="R7" s="92" t="s">
        <v>7</v>
      </c>
      <c r="S7" s="94" t="s">
        <v>19</v>
      </c>
      <c r="T7" s="561"/>
      <c r="U7" s="509"/>
      <c r="V7" s="509"/>
    </row>
    <row r="8" spans="1:22" ht="14.25" customHeight="1">
      <c r="A8" s="517" t="s">
        <v>68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9"/>
    </row>
    <row r="9" spans="1:22" ht="14.25" customHeight="1" thickBot="1">
      <c r="A9" s="657" t="s">
        <v>164</v>
      </c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9"/>
    </row>
    <row r="10" spans="1:22" ht="14.25" customHeight="1" thickBot="1">
      <c r="A10" s="95" t="s">
        <v>9</v>
      </c>
      <c r="B10" s="515" t="s">
        <v>115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6"/>
    </row>
    <row r="11" spans="1:22" ht="14.25" customHeight="1" thickBot="1">
      <c r="A11" s="96" t="s">
        <v>9</v>
      </c>
      <c r="B11" s="97" t="s">
        <v>9</v>
      </c>
      <c r="C11" s="669" t="s">
        <v>71</v>
      </c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1"/>
    </row>
    <row r="12" spans="1:22" ht="14.25" customHeight="1">
      <c r="A12" s="542" t="s">
        <v>9</v>
      </c>
      <c r="B12" s="566" t="s">
        <v>9</v>
      </c>
      <c r="C12" s="545" t="s">
        <v>9</v>
      </c>
      <c r="D12" s="571" t="s">
        <v>32</v>
      </c>
      <c r="E12" s="551" t="s">
        <v>143</v>
      </c>
      <c r="F12" s="539" t="s">
        <v>33</v>
      </c>
      <c r="G12" s="665" t="s">
        <v>104</v>
      </c>
      <c r="H12" s="98" t="s">
        <v>34</v>
      </c>
      <c r="I12" s="184">
        <f>J12+L12</f>
        <v>40.8</v>
      </c>
      <c r="J12" s="169">
        <v>40.8</v>
      </c>
      <c r="K12" s="169"/>
      <c r="L12" s="185"/>
      <c r="M12" s="100">
        <f>N12+P12</f>
        <v>46</v>
      </c>
      <c r="N12" s="99">
        <v>46</v>
      </c>
      <c r="O12" s="99"/>
      <c r="P12" s="101"/>
      <c r="Q12" s="361">
        <f>R12+T12</f>
        <v>36.8</v>
      </c>
      <c r="R12" s="362">
        <v>36.8</v>
      </c>
      <c r="S12" s="362"/>
      <c r="T12" s="363"/>
      <c r="U12" s="102">
        <v>40</v>
      </c>
      <c r="V12" s="196">
        <v>40</v>
      </c>
    </row>
    <row r="13" spans="1:24" ht="14.25" customHeight="1">
      <c r="A13" s="543"/>
      <c r="B13" s="567"/>
      <c r="C13" s="546"/>
      <c r="D13" s="572"/>
      <c r="E13" s="552"/>
      <c r="F13" s="540"/>
      <c r="G13" s="666"/>
      <c r="H13" s="105" t="s">
        <v>35</v>
      </c>
      <c r="I13" s="186">
        <f>J13+L13</f>
        <v>266</v>
      </c>
      <c r="J13" s="165">
        <v>266</v>
      </c>
      <c r="K13" s="165"/>
      <c r="L13" s="187"/>
      <c r="M13" s="107">
        <f>N13+P13</f>
        <v>300</v>
      </c>
      <c r="N13" s="106">
        <v>300</v>
      </c>
      <c r="O13" s="106"/>
      <c r="P13" s="108"/>
      <c r="Q13" s="364">
        <f>R13+T13</f>
        <v>298</v>
      </c>
      <c r="R13" s="365">
        <v>298</v>
      </c>
      <c r="S13" s="365"/>
      <c r="T13" s="366"/>
      <c r="U13" s="109">
        <v>280</v>
      </c>
      <c r="V13" s="197">
        <v>280</v>
      </c>
      <c r="X13" s="426"/>
    </row>
    <row r="14" spans="1:24" ht="14.25" customHeight="1">
      <c r="A14" s="562"/>
      <c r="B14" s="568"/>
      <c r="C14" s="570"/>
      <c r="D14" s="572"/>
      <c r="E14" s="552"/>
      <c r="F14" s="540"/>
      <c r="G14" s="667"/>
      <c r="H14" s="67" t="s">
        <v>118</v>
      </c>
      <c r="I14" s="112">
        <f>L14+J14</f>
        <v>0</v>
      </c>
      <c r="J14" s="111"/>
      <c r="K14" s="111"/>
      <c r="L14" s="113"/>
      <c r="M14" s="112">
        <f>N14+P14</f>
        <v>54</v>
      </c>
      <c r="N14" s="111">
        <v>54</v>
      </c>
      <c r="O14" s="111"/>
      <c r="P14" s="113"/>
      <c r="Q14" s="367">
        <f>R14+T14</f>
        <v>70</v>
      </c>
      <c r="R14" s="368">
        <v>70</v>
      </c>
      <c r="S14" s="369"/>
      <c r="T14" s="370"/>
      <c r="U14" s="114">
        <v>30</v>
      </c>
      <c r="V14" s="198">
        <v>30</v>
      </c>
      <c r="X14" s="426"/>
    </row>
    <row r="15" spans="1:22" ht="14.25" customHeight="1">
      <c r="A15" s="562"/>
      <c r="B15" s="568"/>
      <c r="C15" s="570"/>
      <c r="D15" s="572"/>
      <c r="E15" s="552"/>
      <c r="F15" s="540"/>
      <c r="G15" s="667"/>
      <c r="H15" s="110" t="s">
        <v>36</v>
      </c>
      <c r="I15" s="112">
        <f>J15+L15</f>
        <v>108.1</v>
      </c>
      <c r="J15" s="111">
        <v>108.1</v>
      </c>
      <c r="K15" s="111"/>
      <c r="L15" s="113"/>
      <c r="M15" s="112">
        <f>N15+P15</f>
        <v>100</v>
      </c>
      <c r="N15" s="111">
        <v>100</v>
      </c>
      <c r="O15" s="111"/>
      <c r="P15" s="113"/>
      <c r="Q15" s="364">
        <f>R15+T15</f>
        <v>108</v>
      </c>
      <c r="R15" s="365">
        <v>108</v>
      </c>
      <c r="S15" s="369"/>
      <c r="T15" s="370"/>
      <c r="U15" s="114">
        <v>100</v>
      </c>
      <c r="V15" s="198">
        <v>100</v>
      </c>
    </row>
    <row r="16" spans="1:22" ht="14.25" customHeight="1" thickBot="1">
      <c r="A16" s="544"/>
      <c r="B16" s="569"/>
      <c r="C16" s="547"/>
      <c r="D16" s="573"/>
      <c r="E16" s="553"/>
      <c r="F16" s="541"/>
      <c r="G16" s="668"/>
      <c r="H16" s="345" t="s">
        <v>10</v>
      </c>
      <c r="I16" s="346">
        <f>SUM(I12:I15)</f>
        <v>414.9</v>
      </c>
      <c r="J16" s="347">
        <f>SUM(J12:J15)</f>
        <v>414.9</v>
      </c>
      <c r="K16" s="347"/>
      <c r="L16" s="347"/>
      <c r="M16" s="346">
        <f>SUM(M12:M15)</f>
        <v>500</v>
      </c>
      <c r="N16" s="347">
        <f>SUM(N12:N15)</f>
        <v>500</v>
      </c>
      <c r="O16" s="347"/>
      <c r="P16" s="348"/>
      <c r="Q16" s="346">
        <f>SUM(Q12:Q15)</f>
        <v>512.8</v>
      </c>
      <c r="R16" s="347">
        <f>SUM(R12:R15)</f>
        <v>512.8</v>
      </c>
      <c r="S16" s="347"/>
      <c r="T16" s="347"/>
      <c r="U16" s="349">
        <f>SUM(U12:U15)</f>
        <v>450</v>
      </c>
      <c r="V16" s="350">
        <f>V14+V13+V12+V15</f>
        <v>450</v>
      </c>
    </row>
    <row r="17" spans="1:22" ht="31.5" customHeight="1">
      <c r="A17" s="103" t="s">
        <v>9</v>
      </c>
      <c r="B17" s="104" t="s">
        <v>9</v>
      </c>
      <c r="C17" s="660" t="s">
        <v>11</v>
      </c>
      <c r="D17" s="662" t="s">
        <v>37</v>
      </c>
      <c r="E17" s="524"/>
      <c r="F17" s="563" t="s">
        <v>33</v>
      </c>
      <c r="G17" s="527" t="s">
        <v>104</v>
      </c>
      <c r="H17" s="115" t="s">
        <v>34</v>
      </c>
      <c r="I17" s="118">
        <f>J17+L17</f>
        <v>6.7</v>
      </c>
      <c r="J17" s="119">
        <v>6.7</v>
      </c>
      <c r="K17" s="119">
        <v>5.2</v>
      </c>
      <c r="L17" s="123"/>
      <c r="M17" s="118">
        <f>N17+P17</f>
        <v>5.5</v>
      </c>
      <c r="N17" s="119">
        <v>5.5</v>
      </c>
      <c r="O17" s="119">
        <v>4.2</v>
      </c>
      <c r="P17" s="120"/>
      <c r="Q17" s="420">
        <f>R17+T17</f>
        <v>7.4</v>
      </c>
      <c r="R17" s="419">
        <f>5.5+1.9</f>
        <v>7.4</v>
      </c>
      <c r="S17" s="419">
        <f>4.2+1.4</f>
        <v>5.6</v>
      </c>
      <c r="T17" s="371"/>
      <c r="U17" s="248">
        <v>5.5</v>
      </c>
      <c r="V17" s="129">
        <v>5.5</v>
      </c>
    </row>
    <row r="18" spans="1:22" ht="31.5" customHeight="1">
      <c r="A18" s="103"/>
      <c r="B18" s="104"/>
      <c r="C18" s="546"/>
      <c r="D18" s="663"/>
      <c r="E18" s="525"/>
      <c r="F18" s="564"/>
      <c r="G18" s="528"/>
      <c r="H18" s="124" t="s">
        <v>36</v>
      </c>
      <c r="I18" s="126">
        <f>L18+J18</f>
        <v>61.7</v>
      </c>
      <c r="J18" s="125">
        <v>61.7</v>
      </c>
      <c r="K18" s="125">
        <v>47.1</v>
      </c>
      <c r="L18" s="188"/>
      <c r="M18" s="126">
        <f>N18+P18</f>
        <v>61.7</v>
      </c>
      <c r="N18" s="125">
        <v>61.7</v>
      </c>
      <c r="O18" s="125">
        <v>47.1</v>
      </c>
      <c r="P18" s="127"/>
      <c r="Q18" s="372">
        <f>R18+T18</f>
        <v>51.4</v>
      </c>
      <c r="R18" s="373">
        <v>51.4</v>
      </c>
      <c r="S18" s="373">
        <v>39.2</v>
      </c>
      <c r="T18" s="374"/>
      <c r="U18" s="249">
        <v>61.7</v>
      </c>
      <c r="V18" s="250">
        <v>61.7</v>
      </c>
    </row>
    <row r="19" spans="1:22" ht="18.75" customHeight="1" thickBot="1">
      <c r="A19" s="103"/>
      <c r="B19" s="104"/>
      <c r="C19" s="661"/>
      <c r="D19" s="664"/>
      <c r="E19" s="526"/>
      <c r="F19" s="565"/>
      <c r="G19" s="529"/>
      <c r="H19" s="345" t="s">
        <v>10</v>
      </c>
      <c r="I19" s="351">
        <f>I17+I18</f>
        <v>68.4</v>
      </c>
      <c r="J19" s="352">
        <f>J17+J18</f>
        <v>68.4</v>
      </c>
      <c r="K19" s="352">
        <f>K17+K18</f>
        <v>52.300000000000004</v>
      </c>
      <c r="L19" s="352"/>
      <c r="M19" s="351">
        <f>SUM(M17:M18)</f>
        <v>67.2</v>
      </c>
      <c r="N19" s="352">
        <f>SUM(N17:N18)</f>
        <v>67.2</v>
      </c>
      <c r="O19" s="352">
        <f>SUM(O17:O18)</f>
        <v>51.300000000000004</v>
      </c>
      <c r="P19" s="353"/>
      <c r="Q19" s="351">
        <f>R19+T19</f>
        <v>58.8</v>
      </c>
      <c r="R19" s="352">
        <f>SUM(R17:R18)</f>
        <v>58.8</v>
      </c>
      <c r="S19" s="352">
        <f>SUM(S17:S18)</f>
        <v>44.800000000000004</v>
      </c>
      <c r="T19" s="352"/>
      <c r="U19" s="354">
        <f>SUM(U17:U18)</f>
        <v>67.2</v>
      </c>
      <c r="V19" s="355">
        <f>V17+V18</f>
        <v>67.2</v>
      </c>
    </row>
    <row r="20" spans="1:22" ht="18" customHeight="1">
      <c r="A20" s="542" t="s">
        <v>9</v>
      </c>
      <c r="B20" s="554" t="s">
        <v>9</v>
      </c>
      <c r="C20" s="545" t="s">
        <v>40</v>
      </c>
      <c r="D20" s="557" t="s">
        <v>76</v>
      </c>
      <c r="E20" s="551"/>
      <c r="F20" s="539" t="s">
        <v>33</v>
      </c>
      <c r="G20" s="527" t="s">
        <v>104</v>
      </c>
      <c r="H20" s="128" t="s">
        <v>34</v>
      </c>
      <c r="I20" s="121">
        <f>J20+L20</f>
        <v>193.5</v>
      </c>
      <c r="J20" s="116">
        <v>193.5</v>
      </c>
      <c r="K20" s="116">
        <v>147.7</v>
      </c>
      <c r="L20" s="123"/>
      <c r="M20" s="121">
        <f>N20+P20</f>
        <v>130.5</v>
      </c>
      <c r="N20" s="116">
        <v>130.5</v>
      </c>
      <c r="O20" s="116">
        <v>99.6</v>
      </c>
      <c r="P20" s="117"/>
      <c r="Q20" s="418">
        <f>R20+T20</f>
        <v>170.2</v>
      </c>
      <c r="R20" s="417">
        <f>124+48.1-1.9</f>
        <v>170.2</v>
      </c>
      <c r="S20" s="417">
        <f>94.7+36.7-1.4</f>
        <v>130</v>
      </c>
      <c r="T20" s="371"/>
      <c r="U20" s="129">
        <v>130.5</v>
      </c>
      <c r="V20" s="130">
        <v>130.5</v>
      </c>
    </row>
    <row r="21" spans="1:22" ht="20.25" customHeight="1">
      <c r="A21" s="543"/>
      <c r="B21" s="555"/>
      <c r="C21" s="546"/>
      <c r="D21" s="558"/>
      <c r="E21" s="552"/>
      <c r="F21" s="540"/>
      <c r="G21" s="528"/>
      <c r="H21" s="131" t="s">
        <v>36</v>
      </c>
      <c r="I21" s="132">
        <f>J21+L21</f>
        <v>329.8</v>
      </c>
      <c r="J21" s="133">
        <v>329.8</v>
      </c>
      <c r="K21" s="189">
        <v>251.8</v>
      </c>
      <c r="L21" s="190"/>
      <c r="M21" s="132">
        <f>N21+P21</f>
        <v>264.9</v>
      </c>
      <c r="N21" s="133">
        <v>264.9</v>
      </c>
      <c r="O21" s="133">
        <v>202.3</v>
      </c>
      <c r="P21" s="134"/>
      <c r="Q21" s="375">
        <f>R21+T21</f>
        <v>344.2</v>
      </c>
      <c r="R21" s="376">
        <v>344.2</v>
      </c>
      <c r="S21" s="376">
        <v>262.8</v>
      </c>
      <c r="T21" s="377"/>
      <c r="U21" s="135">
        <v>264.9</v>
      </c>
      <c r="V21" s="136">
        <v>264.9</v>
      </c>
    </row>
    <row r="22" spans="1:22" ht="18" customHeight="1" thickBot="1">
      <c r="A22" s="544"/>
      <c r="B22" s="556"/>
      <c r="C22" s="547"/>
      <c r="D22" s="559"/>
      <c r="E22" s="553"/>
      <c r="F22" s="541"/>
      <c r="G22" s="529"/>
      <c r="H22" s="345" t="s">
        <v>10</v>
      </c>
      <c r="I22" s="351">
        <f>SUM(I20:I21)</f>
        <v>523.3</v>
      </c>
      <c r="J22" s="352">
        <f>SUM(J20:J21)</f>
        <v>523.3</v>
      </c>
      <c r="K22" s="352">
        <f>SUM(K20:K21)</f>
        <v>399.5</v>
      </c>
      <c r="L22" s="356"/>
      <c r="M22" s="351">
        <f>SUM(M20:M21)</f>
        <v>395.4</v>
      </c>
      <c r="N22" s="352">
        <f>SUM(N20:N21)</f>
        <v>395.4</v>
      </c>
      <c r="O22" s="352">
        <f>SUM(O20:O21)</f>
        <v>301.9</v>
      </c>
      <c r="P22" s="357"/>
      <c r="Q22" s="351">
        <f>SUM(Q20:Q21)</f>
        <v>514.4</v>
      </c>
      <c r="R22" s="352">
        <f>SUM(R20:R21)</f>
        <v>514.4</v>
      </c>
      <c r="S22" s="352">
        <f>SUM(S20:S21)</f>
        <v>392.8</v>
      </c>
      <c r="T22" s="356"/>
      <c r="U22" s="358">
        <f>SUM(U20:U21)</f>
        <v>395.4</v>
      </c>
      <c r="V22" s="358">
        <f>SUM(V20:V21)</f>
        <v>395.4</v>
      </c>
    </row>
    <row r="23" spans="1:22" ht="15" customHeight="1">
      <c r="A23" s="542" t="s">
        <v>9</v>
      </c>
      <c r="B23" s="554" t="s">
        <v>9</v>
      </c>
      <c r="C23" s="545" t="s">
        <v>41</v>
      </c>
      <c r="D23" s="548" t="s">
        <v>77</v>
      </c>
      <c r="E23" s="551" t="s">
        <v>85</v>
      </c>
      <c r="F23" s="539" t="s">
        <v>33</v>
      </c>
      <c r="G23" s="527" t="s">
        <v>104</v>
      </c>
      <c r="H23" s="128" t="s">
        <v>34</v>
      </c>
      <c r="I23" s="121">
        <f>J23+L23</f>
        <v>296.70000000000005</v>
      </c>
      <c r="J23" s="116">
        <v>277.6</v>
      </c>
      <c r="K23" s="116">
        <v>139.3</v>
      </c>
      <c r="L23" s="123">
        <v>19.1</v>
      </c>
      <c r="M23" s="121">
        <f>N23+P23</f>
        <v>341.8</v>
      </c>
      <c r="N23" s="116">
        <v>341.8</v>
      </c>
      <c r="O23" s="116">
        <v>186.5</v>
      </c>
      <c r="P23" s="123"/>
      <c r="Q23" s="415">
        <f>R23+T23</f>
        <v>281.09999999999997</v>
      </c>
      <c r="R23" s="416">
        <f>329.2-48.1</f>
        <v>281.09999999999997</v>
      </c>
      <c r="S23" s="416">
        <f>177.2-36.7</f>
        <v>140.5</v>
      </c>
      <c r="T23" s="371"/>
      <c r="U23" s="137">
        <v>341.8</v>
      </c>
      <c r="V23" s="130">
        <v>341.8</v>
      </c>
    </row>
    <row r="24" spans="1:22" ht="15" customHeight="1">
      <c r="A24" s="543"/>
      <c r="B24" s="555"/>
      <c r="C24" s="546"/>
      <c r="D24" s="549"/>
      <c r="E24" s="552"/>
      <c r="F24" s="540"/>
      <c r="G24" s="528"/>
      <c r="H24" s="138" t="s">
        <v>43</v>
      </c>
      <c r="I24" s="139">
        <f>J24+L24</f>
        <v>223.3</v>
      </c>
      <c r="J24" s="140">
        <v>223.3</v>
      </c>
      <c r="K24" s="191"/>
      <c r="L24" s="141"/>
      <c r="M24" s="139">
        <f>N24+P24</f>
        <v>223.5</v>
      </c>
      <c r="N24" s="140">
        <v>223.5</v>
      </c>
      <c r="O24" s="140"/>
      <c r="P24" s="141"/>
      <c r="Q24" s="378">
        <f>R24+T24</f>
        <v>214.4</v>
      </c>
      <c r="R24" s="379">
        <v>214.4</v>
      </c>
      <c r="S24" s="379">
        <v>36.7</v>
      </c>
      <c r="T24" s="380"/>
      <c r="U24" s="142">
        <v>223.3</v>
      </c>
      <c r="V24" s="143">
        <v>223.3</v>
      </c>
    </row>
    <row r="25" spans="1:22" ht="15" customHeight="1" thickBot="1">
      <c r="A25" s="544"/>
      <c r="B25" s="556"/>
      <c r="C25" s="547"/>
      <c r="D25" s="550"/>
      <c r="E25" s="553"/>
      <c r="F25" s="541"/>
      <c r="G25" s="529"/>
      <c r="H25" s="345" t="s">
        <v>10</v>
      </c>
      <c r="I25" s="357">
        <f aca="true" t="shared" si="0" ref="I25:O25">SUM(I23:I24)</f>
        <v>520</v>
      </c>
      <c r="J25" s="352">
        <f t="shared" si="0"/>
        <v>500.90000000000003</v>
      </c>
      <c r="K25" s="352">
        <f t="shared" si="0"/>
        <v>139.3</v>
      </c>
      <c r="L25" s="359">
        <f t="shared" si="0"/>
        <v>19.1</v>
      </c>
      <c r="M25" s="351">
        <f t="shared" si="0"/>
        <v>565.3</v>
      </c>
      <c r="N25" s="352">
        <f t="shared" si="0"/>
        <v>565.3</v>
      </c>
      <c r="O25" s="352">
        <f t="shared" si="0"/>
        <v>186.5</v>
      </c>
      <c r="P25" s="356"/>
      <c r="Q25" s="357">
        <f>R25+T25</f>
        <v>495.5</v>
      </c>
      <c r="R25" s="352">
        <f>SUM(R23:R24)</f>
        <v>495.5</v>
      </c>
      <c r="S25" s="352">
        <f>SUM(S23:S24)</f>
        <v>177.2</v>
      </c>
      <c r="T25" s="359"/>
      <c r="U25" s="358">
        <f>SUM(U23:U24)</f>
        <v>565.1</v>
      </c>
      <c r="V25" s="358">
        <f>SUM(V23:V24)</f>
        <v>565.1</v>
      </c>
    </row>
    <row r="26" spans="1:22" ht="26.25" customHeight="1">
      <c r="A26" s="440" t="s">
        <v>9</v>
      </c>
      <c r="B26" s="442" t="s">
        <v>9</v>
      </c>
      <c r="C26" s="444" t="s">
        <v>83</v>
      </c>
      <c r="D26" s="446" t="s">
        <v>95</v>
      </c>
      <c r="E26" s="457" t="s">
        <v>142</v>
      </c>
      <c r="F26" s="459" t="s">
        <v>33</v>
      </c>
      <c r="G26" s="448" t="s">
        <v>104</v>
      </c>
      <c r="H26" s="167" t="s">
        <v>34</v>
      </c>
      <c r="I26" s="126">
        <f>J26+L26</f>
        <v>11</v>
      </c>
      <c r="J26" s="125">
        <v>11</v>
      </c>
      <c r="K26" s="125"/>
      <c r="L26" s="188"/>
      <c r="M26" s="163"/>
      <c r="N26" s="162"/>
      <c r="O26" s="162"/>
      <c r="P26" s="164"/>
      <c r="Q26" s="372"/>
      <c r="R26" s="373"/>
      <c r="S26" s="373"/>
      <c r="T26" s="374"/>
      <c r="U26" s="168"/>
      <c r="V26" s="168"/>
    </row>
    <row r="27" spans="1:22" ht="18" customHeight="1" thickBot="1">
      <c r="A27" s="441"/>
      <c r="B27" s="443"/>
      <c r="C27" s="445"/>
      <c r="D27" s="447"/>
      <c r="E27" s="458"/>
      <c r="F27" s="460"/>
      <c r="G27" s="449"/>
      <c r="H27" s="360" t="s">
        <v>10</v>
      </c>
      <c r="I27" s="351">
        <f>SUM(I26:I26)</f>
        <v>11</v>
      </c>
      <c r="J27" s="352">
        <f>SUM(J26:J26)</f>
        <v>11</v>
      </c>
      <c r="K27" s="352"/>
      <c r="L27" s="356"/>
      <c r="M27" s="351"/>
      <c r="N27" s="352"/>
      <c r="O27" s="352"/>
      <c r="P27" s="357"/>
      <c r="Q27" s="351"/>
      <c r="R27" s="352"/>
      <c r="S27" s="352"/>
      <c r="T27" s="356"/>
      <c r="U27" s="358"/>
      <c r="V27" s="358"/>
    </row>
    <row r="28" spans="1:22" ht="14.25" customHeight="1" thickBot="1">
      <c r="A28" s="144" t="s">
        <v>9</v>
      </c>
      <c r="B28" s="97" t="s">
        <v>9</v>
      </c>
      <c r="C28" s="584" t="s">
        <v>12</v>
      </c>
      <c r="D28" s="585"/>
      <c r="E28" s="585"/>
      <c r="F28" s="585"/>
      <c r="G28" s="585"/>
      <c r="H28" s="586"/>
      <c r="I28" s="33">
        <f>L28+J28</f>
        <v>1537.6</v>
      </c>
      <c r="J28" s="29">
        <f>+J25+J22+J19+J16+J27</f>
        <v>1518.5</v>
      </c>
      <c r="K28" s="29">
        <f>+K25+K22+K19+K16</f>
        <v>591.0999999999999</v>
      </c>
      <c r="L28" s="193">
        <f>+L25+L22+L19+L16</f>
        <v>19.1</v>
      </c>
      <c r="M28" s="31">
        <f>M25+M22+M19+M16</f>
        <v>1527.8999999999999</v>
      </c>
      <c r="N28" s="1">
        <f>N25+N22+N19+N16</f>
        <v>1527.8999999999999</v>
      </c>
      <c r="O28" s="1">
        <f>O25+O22+O19+O16</f>
        <v>539.6999999999999</v>
      </c>
      <c r="P28" s="32"/>
      <c r="Q28" s="29">
        <f>R28+T28</f>
        <v>1581.5</v>
      </c>
      <c r="R28" s="29">
        <f>R27+R25+R22+R19+R16</f>
        <v>1581.5</v>
      </c>
      <c r="S28" s="29">
        <f>S27+S25+S22+S19+S16</f>
        <v>614.8</v>
      </c>
      <c r="T28" s="200"/>
      <c r="U28" s="30">
        <f>+U25+U22+U19+U16</f>
        <v>1477.7</v>
      </c>
      <c r="V28" s="30">
        <f>+V25+V22+V19+V16</f>
        <v>1477.7</v>
      </c>
    </row>
    <row r="29" spans="1:22" ht="14.25" customHeight="1" thickBot="1">
      <c r="A29" s="96" t="s">
        <v>9</v>
      </c>
      <c r="B29" s="97" t="s">
        <v>11</v>
      </c>
      <c r="C29" s="672" t="s">
        <v>124</v>
      </c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3"/>
      <c r="V29" s="674"/>
    </row>
    <row r="30" spans="1:22" ht="25.5" customHeight="1">
      <c r="A30" s="231" t="s">
        <v>9</v>
      </c>
      <c r="B30" s="232" t="s">
        <v>11</v>
      </c>
      <c r="C30" s="233" t="s">
        <v>9</v>
      </c>
      <c r="D30" s="680" t="s">
        <v>79</v>
      </c>
      <c r="E30" s="234"/>
      <c r="F30" s="235" t="s">
        <v>33</v>
      </c>
      <c r="G30" s="253" t="s">
        <v>104</v>
      </c>
      <c r="H30" s="151" t="s">
        <v>81</v>
      </c>
      <c r="I30" s="132">
        <f>J30+L30</f>
        <v>3007</v>
      </c>
      <c r="J30" s="133">
        <v>3007</v>
      </c>
      <c r="K30" s="133">
        <v>1924.6</v>
      </c>
      <c r="L30" s="192"/>
      <c r="M30" s="152">
        <f>N30+P30</f>
        <v>3294.8</v>
      </c>
      <c r="N30" s="153">
        <v>3282.3</v>
      </c>
      <c r="O30" s="153">
        <v>2032.1</v>
      </c>
      <c r="P30" s="154">
        <v>12.5</v>
      </c>
      <c r="Q30" s="375">
        <f>R30+T30</f>
        <v>2887</v>
      </c>
      <c r="R30" s="376">
        <v>2887</v>
      </c>
      <c r="S30" s="376">
        <v>1847.8</v>
      </c>
      <c r="T30" s="391"/>
      <c r="U30" s="327">
        <v>3691.7</v>
      </c>
      <c r="V30" s="328">
        <v>3691.7</v>
      </c>
    </row>
    <row r="31" spans="1:22" ht="17.25" customHeight="1" thickBot="1">
      <c r="A31" s="242"/>
      <c r="B31" s="243"/>
      <c r="C31" s="244"/>
      <c r="D31" s="681"/>
      <c r="E31" s="245"/>
      <c r="F31" s="246"/>
      <c r="G31" s="254"/>
      <c r="H31" s="360" t="s">
        <v>10</v>
      </c>
      <c r="I31" s="381">
        <f>SUM(I30:I30)</f>
        <v>3007</v>
      </c>
      <c r="J31" s="382">
        <f>SUM(J30:J30)</f>
        <v>3007</v>
      </c>
      <c r="K31" s="382">
        <f>SUM(K30:K30)</f>
        <v>1924.6</v>
      </c>
      <c r="L31" s="383"/>
      <c r="M31" s="381">
        <f>SUM(M30:M30)</f>
        <v>3294.8</v>
      </c>
      <c r="N31" s="382">
        <f>SUM(N30:N30)</f>
        <v>3282.3</v>
      </c>
      <c r="O31" s="382">
        <f>SUM(O30:O30)</f>
        <v>2032.1</v>
      </c>
      <c r="P31" s="384">
        <f>SUM(P30)</f>
        <v>12.5</v>
      </c>
      <c r="Q31" s="381">
        <f>R31+T31</f>
        <v>2887</v>
      </c>
      <c r="R31" s="382">
        <f>SUM(R30)</f>
        <v>2887</v>
      </c>
      <c r="S31" s="382">
        <f>SUM(S30)</f>
        <v>1847.8</v>
      </c>
      <c r="T31" s="383"/>
      <c r="U31" s="385">
        <f>SUM(U30:U30)</f>
        <v>3691.7</v>
      </c>
      <c r="V31" s="386">
        <f>SUM(V30:V30)</f>
        <v>3691.7</v>
      </c>
    </row>
    <row r="32" spans="1:22" ht="14.25" customHeight="1">
      <c r="A32" s="231" t="s">
        <v>9</v>
      </c>
      <c r="B32" s="232" t="s">
        <v>11</v>
      </c>
      <c r="C32" s="233" t="s">
        <v>11</v>
      </c>
      <c r="D32" s="587" t="s">
        <v>80</v>
      </c>
      <c r="E32" s="234"/>
      <c r="F32" s="235" t="s">
        <v>33</v>
      </c>
      <c r="G32" s="253" t="s">
        <v>104</v>
      </c>
      <c r="H32" s="156" t="s">
        <v>36</v>
      </c>
      <c r="I32" s="139">
        <f>J32+L32</f>
        <v>273.1</v>
      </c>
      <c r="J32" s="140">
        <v>273.1</v>
      </c>
      <c r="K32" s="140">
        <v>83.4</v>
      </c>
      <c r="L32" s="141"/>
      <c r="M32" s="158"/>
      <c r="N32" s="157"/>
      <c r="O32" s="157"/>
      <c r="P32" s="159"/>
      <c r="Q32" s="378"/>
      <c r="R32" s="379"/>
      <c r="S32" s="379"/>
      <c r="T32" s="380"/>
      <c r="U32" s="160">
        <v>261.9</v>
      </c>
      <c r="V32" s="160">
        <v>261.9</v>
      </c>
    </row>
    <row r="33" spans="1:22" ht="14.25" customHeight="1">
      <c r="A33" s="236"/>
      <c r="B33" s="237"/>
      <c r="C33" s="238"/>
      <c r="D33" s="588"/>
      <c r="E33" s="239"/>
      <c r="F33" s="240"/>
      <c r="G33" s="251"/>
      <c r="H33" s="161" t="s">
        <v>78</v>
      </c>
      <c r="I33" s="126">
        <f>J33+L33</f>
        <v>100</v>
      </c>
      <c r="J33" s="125">
        <v>100</v>
      </c>
      <c r="K33" s="125">
        <v>30</v>
      </c>
      <c r="L33" s="188"/>
      <c r="M33" s="163">
        <f>N33+P33</f>
        <v>115</v>
      </c>
      <c r="N33" s="162">
        <v>115</v>
      </c>
      <c r="O33" s="162">
        <v>28.7</v>
      </c>
      <c r="P33" s="164"/>
      <c r="Q33" s="372">
        <f>R33+T33</f>
        <v>115</v>
      </c>
      <c r="R33" s="373">
        <v>115</v>
      </c>
      <c r="S33" s="373">
        <v>28.7</v>
      </c>
      <c r="T33" s="374"/>
      <c r="U33" s="166">
        <v>100</v>
      </c>
      <c r="V33" s="166">
        <v>100</v>
      </c>
    </row>
    <row r="34" spans="1:22" ht="14.25" customHeight="1">
      <c r="A34" s="236"/>
      <c r="B34" s="237"/>
      <c r="C34" s="238"/>
      <c r="D34" s="588"/>
      <c r="E34" s="239"/>
      <c r="F34" s="240"/>
      <c r="G34" s="241"/>
      <c r="H34" s="156" t="s">
        <v>81</v>
      </c>
      <c r="I34" s="132">
        <f>J34+L34</f>
        <v>2015</v>
      </c>
      <c r="J34" s="133">
        <v>2015</v>
      </c>
      <c r="K34" s="133">
        <v>1307</v>
      </c>
      <c r="L34" s="113"/>
      <c r="M34" s="152">
        <f>N34+P34</f>
        <v>2015</v>
      </c>
      <c r="N34" s="153">
        <v>2015</v>
      </c>
      <c r="O34" s="153">
        <v>1319.6</v>
      </c>
      <c r="P34" s="154"/>
      <c r="Q34" s="375">
        <f>R34+T34</f>
        <v>1934</v>
      </c>
      <c r="R34" s="376">
        <v>1934</v>
      </c>
      <c r="S34" s="376">
        <v>1272.4</v>
      </c>
      <c r="T34" s="370"/>
      <c r="U34" s="155">
        <v>2347</v>
      </c>
      <c r="V34" s="155">
        <v>2347</v>
      </c>
    </row>
    <row r="35" spans="1:22" ht="14.25" customHeight="1" thickBot="1">
      <c r="A35" s="242"/>
      <c r="B35" s="243"/>
      <c r="C35" s="244"/>
      <c r="D35" s="589"/>
      <c r="E35" s="245"/>
      <c r="F35" s="246"/>
      <c r="G35" s="247"/>
      <c r="H35" s="387" t="s">
        <v>10</v>
      </c>
      <c r="I35" s="381">
        <f>SUM(I32:I34)</f>
        <v>2388.1</v>
      </c>
      <c r="J35" s="382">
        <f>SUM(J32:J34)</f>
        <v>2388.1</v>
      </c>
      <c r="K35" s="382">
        <f>SUM(K32:K34)</f>
        <v>1420.4</v>
      </c>
      <c r="L35" s="383"/>
      <c r="M35" s="381">
        <f>SUM(M32:M34)</f>
        <v>2130</v>
      </c>
      <c r="N35" s="388">
        <f>SUM(N32:N34)</f>
        <v>2130</v>
      </c>
      <c r="O35" s="388">
        <f>SUM(O32:O34)</f>
        <v>1348.3</v>
      </c>
      <c r="P35" s="383"/>
      <c r="Q35" s="381">
        <f>R35+T35</f>
        <v>2049</v>
      </c>
      <c r="R35" s="382">
        <f>SUM(R33:R34)</f>
        <v>2049</v>
      </c>
      <c r="S35" s="382">
        <f>SUM(S33:S34)</f>
        <v>1301.1000000000001</v>
      </c>
      <c r="T35" s="383"/>
      <c r="U35" s="385">
        <f>SUM(U32:U34)</f>
        <v>2708.9</v>
      </c>
      <c r="V35" s="385">
        <f>SUM(V32:V34)</f>
        <v>2708.9</v>
      </c>
    </row>
    <row r="36" spans="1:22" ht="26.25" customHeight="1">
      <c r="A36" s="595" t="s">
        <v>9</v>
      </c>
      <c r="B36" s="597" t="s">
        <v>11</v>
      </c>
      <c r="C36" s="599" t="s">
        <v>40</v>
      </c>
      <c r="D36" s="571" t="s">
        <v>38</v>
      </c>
      <c r="E36" s="645" t="s">
        <v>86</v>
      </c>
      <c r="F36" s="539" t="s">
        <v>33</v>
      </c>
      <c r="G36" s="643">
        <v>3</v>
      </c>
      <c r="H36" s="145" t="s">
        <v>34</v>
      </c>
      <c r="I36" s="146">
        <f>J36+L36</f>
        <v>100</v>
      </c>
      <c r="J36" s="147">
        <v>100</v>
      </c>
      <c r="K36" s="147"/>
      <c r="L36" s="148"/>
      <c r="M36" s="252"/>
      <c r="N36" s="147"/>
      <c r="O36" s="147"/>
      <c r="P36" s="149"/>
      <c r="Q36" s="392"/>
      <c r="R36" s="393"/>
      <c r="S36" s="393"/>
      <c r="T36" s="394"/>
      <c r="U36" s="150">
        <v>300</v>
      </c>
      <c r="V36" s="199">
        <v>300</v>
      </c>
    </row>
    <row r="37" spans="1:22" ht="18" customHeight="1" thickBot="1">
      <c r="A37" s="596"/>
      <c r="B37" s="598"/>
      <c r="C37" s="600"/>
      <c r="D37" s="573"/>
      <c r="E37" s="646"/>
      <c r="F37" s="647"/>
      <c r="G37" s="644"/>
      <c r="H37" s="389" t="s">
        <v>10</v>
      </c>
      <c r="I37" s="351">
        <f>I36</f>
        <v>100</v>
      </c>
      <c r="J37" s="352">
        <f>J36</f>
        <v>100</v>
      </c>
      <c r="K37" s="352"/>
      <c r="L37" s="356"/>
      <c r="M37" s="390"/>
      <c r="N37" s="352"/>
      <c r="O37" s="352"/>
      <c r="P37" s="357"/>
      <c r="Q37" s="351"/>
      <c r="R37" s="352"/>
      <c r="S37" s="352"/>
      <c r="T37" s="356"/>
      <c r="U37" s="358">
        <f>+U36</f>
        <v>300</v>
      </c>
      <c r="V37" s="358">
        <f>+V36</f>
        <v>300</v>
      </c>
    </row>
    <row r="38" spans="1:22" ht="12" customHeight="1" thickBot="1">
      <c r="A38" s="96" t="s">
        <v>9</v>
      </c>
      <c r="B38" s="97" t="s">
        <v>11</v>
      </c>
      <c r="C38" s="613" t="s">
        <v>12</v>
      </c>
      <c r="D38" s="614"/>
      <c r="E38" s="614"/>
      <c r="F38" s="614"/>
      <c r="G38" s="614"/>
      <c r="H38" s="615"/>
      <c r="I38" s="194">
        <f>I35+I31+I37</f>
        <v>5495.1</v>
      </c>
      <c r="J38" s="194">
        <f aca="true" t="shared" si="1" ref="J38:T38">J35+J31+J37</f>
        <v>5495.1</v>
      </c>
      <c r="K38" s="194">
        <f t="shared" si="1"/>
        <v>3345</v>
      </c>
      <c r="L38" s="194"/>
      <c r="M38" s="194">
        <f>M35+M31+M37</f>
        <v>5424.8</v>
      </c>
      <c r="N38" s="194">
        <f t="shared" si="1"/>
        <v>5412.3</v>
      </c>
      <c r="O38" s="194">
        <f t="shared" si="1"/>
        <v>3380.3999999999996</v>
      </c>
      <c r="P38" s="194">
        <f t="shared" si="1"/>
        <v>12.5</v>
      </c>
      <c r="Q38" s="194">
        <f t="shared" si="1"/>
        <v>4936</v>
      </c>
      <c r="R38" s="194">
        <f t="shared" si="1"/>
        <v>4936</v>
      </c>
      <c r="S38" s="194">
        <f t="shared" si="1"/>
        <v>3148.9</v>
      </c>
      <c r="T38" s="194">
        <f t="shared" si="1"/>
        <v>0</v>
      </c>
      <c r="U38" s="194">
        <f>U35+U31+U37</f>
        <v>6700.6</v>
      </c>
      <c r="V38" s="423">
        <f>V35+V31+V37</f>
        <v>6700.6</v>
      </c>
    </row>
    <row r="39" spans="1:22" ht="14.25" customHeight="1" thickBot="1">
      <c r="A39" s="280" t="s">
        <v>9</v>
      </c>
      <c r="B39" s="170" t="s">
        <v>40</v>
      </c>
      <c r="C39" s="622" t="s">
        <v>69</v>
      </c>
      <c r="D39" s="622"/>
      <c r="E39" s="622"/>
      <c r="F39" s="622"/>
      <c r="G39" s="622"/>
      <c r="H39" s="622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4"/>
    </row>
    <row r="40" spans="1:22" ht="30" customHeight="1">
      <c r="A40" s="282" t="s">
        <v>9</v>
      </c>
      <c r="B40" s="232" t="s">
        <v>40</v>
      </c>
      <c r="C40" s="304" t="s">
        <v>9</v>
      </c>
      <c r="D40" s="268" t="s">
        <v>125</v>
      </c>
      <c r="E40" s="450" t="s">
        <v>63</v>
      </c>
      <c r="F40" s="287" t="s">
        <v>33</v>
      </c>
      <c r="G40" s="281"/>
      <c r="H40" s="150"/>
      <c r="I40" s="252"/>
      <c r="J40" s="147"/>
      <c r="K40" s="147"/>
      <c r="L40" s="148"/>
      <c r="M40" s="277"/>
      <c r="N40" s="278"/>
      <c r="O40" s="278"/>
      <c r="P40" s="279"/>
      <c r="Q40" s="392"/>
      <c r="R40" s="393"/>
      <c r="S40" s="393"/>
      <c r="T40" s="394"/>
      <c r="U40" s="150"/>
      <c r="V40" s="150"/>
    </row>
    <row r="41" spans="1:22" ht="41.25" customHeight="1">
      <c r="A41" s="283"/>
      <c r="B41" s="237"/>
      <c r="C41" s="288"/>
      <c r="D41" s="326" t="s">
        <v>165</v>
      </c>
      <c r="E41" s="451"/>
      <c r="F41" s="285"/>
      <c r="G41" s="453" t="s">
        <v>105</v>
      </c>
      <c r="H41" s="211" t="s">
        <v>128</v>
      </c>
      <c r="I41" s="207"/>
      <c r="J41" s="208"/>
      <c r="K41" s="208"/>
      <c r="L41" s="209"/>
      <c r="M41" s="272">
        <f>N41+P41</f>
        <v>100</v>
      </c>
      <c r="N41" s="273"/>
      <c r="O41" s="273"/>
      <c r="P41" s="274">
        <v>100</v>
      </c>
      <c r="Q41" s="403"/>
      <c r="R41" s="404"/>
      <c r="S41" s="404"/>
      <c r="T41" s="405"/>
      <c r="U41" s="211">
        <v>301</v>
      </c>
      <c r="V41" s="211"/>
    </row>
    <row r="42" spans="1:22" ht="21.75" customHeight="1">
      <c r="A42" s="283"/>
      <c r="B42" s="237"/>
      <c r="C42" s="288"/>
      <c r="D42" s="592" t="s">
        <v>166</v>
      </c>
      <c r="E42" s="451"/>
      <c r="F42" s="285"/>
      <c r="G42" s="593"/>
      <c r="H42" s="211"/>
      <c r="I42" s="207"/>
      <c r="J42" s="208"/>
      <c r="K42" s="208"/>
      <c r="L42" s="209"/>
      <c r="M42" s="272"/>
      <c r="N42" s="273"/>
      <c r="O42" s="273"/>
      <c r="P42" s="274"/>
      <c r="Q42" s="403"/>
      <c r="R42" s="404"/>
      <c r="S42" s="404"/>
      <c r="T42" s="405"/>
      <c r="U42" s="211"/>
      <c r="V42" s="211"/>
    </row>
    <row r="43" spans="1:22" ht="21.75" customHeight="1">
      <c r="A43" s="283"/>
      <c r="B43" s="237"/>
      <c r="C43" s="288"/>
      <c r="D43" s="592"/>
      <c r="E43" s="451"/>
      <c r="F43" s="285"/>
      <c r="G43" s="594"/>
      <c r="H43" s="299" t="s">
        <v>64</v>
      </c>
      <c r="I43" s="300"/>
      <c r="J43" s="204"/>
      <c r="K43" s="204"/>
      <c r="L43" s="205"/>
      <c r="M43" s="301">
        <f>P43+N43</f>
        <v>35</v>
      </c>
      <c r="N43" s="302"/>
      <c r="O43" s="302"/>
      <c r="P43" s="303">
        <v>35</v>
      </c>
      <c r="Q43" s="406"/>
      <c r="R43" s="407"/>
      <c r="S43" s="407"/>
      <c r="T43" s="408"/>
      <c r="U43" s="299">
        <v>215</v>
      </c>
      <c r="V43" s="299">
        <v>1655</v>
      </c>
    </row>
    <row r="44" spans="1:22" ht="25.5" customHeight="1">
      <c r="A44" s="283"/>
      <c r="B44" s="237"/>
      <c r="C44" s="288"/>
      <c r="D44" s="455" t="s">
        <v>131</v>
      </c>
      <c r="E44" s="451"/>
      <c r="F44" s="285"/>
      <c r="G44" s="453" t="s">
        <v>127</v>
      </c>
      <c r="H44" s="224" t="s">
        <v>34</v>
      </c>
      <c r="I44" s="289">
        <f>J44+L44</f>
        <v>20</v>
      </c>
      <c r="J44" s="219">
        <v>20</v>
      </c>
      <c r="K44" s="219"/>
      <c r="L44" s="220"/>
      <c r="M44" s="290">
        <f>N44+P44</f>
        <v>50</v>
      </c>
      <c r="N44" s="221">
        <v>50</v>
      </c>
      <c r="O44" s="221"/>
      <c r="P44" s="291"/>
      <c r="Q44" s="409"/>
      <c r="R44" s="410"/>
      <c r="S44" s="410"/>
      <c r="T44" s="411"/>
      <c r="U44" s="224"/>
      <c r="V44" s="224"/>
    </row>
    <row r="45" spans="1:22" ht="15" customHeight="1" thickBot="1">
      <c r="A45" s="284"/>
      <c r="B45" s="243"/>
      <c r="C45" s="305"/>
      <c r="D45" s="456"/>
      <c r="E45" s="452"/>
      <c r="F45" s="286"/>
      <c r="G45" s="454"/>
      <c r="H45" s="360" t="s">
        <v>10</v>
      </c>
      <c r="I45" s="395">
        <f>J45+L45</f>
        <v>20</v>
      </c>
      <c r="J45" s="396">
        <f>SUM(J40:J44)</f>
        <v>20</v>
      </c>
      <c r="K45" s="396"/>
      <c r="L45" s="397"/>
      <c r="M45" s="395">
        <f>N45+P45</f>
        <v>185</v>
      </c>
      <c r="N45" s="398">
        <f>SUM(N40:N44)</f>
        <v>50</v>
      </c>
      <c r="O45" s="398"/>
      <c r="P45" s="399">
        <f>SUM(P40:P44)</f>
        <v>135</v>
      </c>
      <c r="Q45" s="395">
        <f>R45+T45</f>
        <v>0</v>
      </c>
      <c r="R45" s="396"/>
      <c r="S45" s="396"/>
      <c r="T45" s="397">
        <f>SUM(T41:T44)</f>
        <v>0</v>
      </c>
      <c r="U45" s="355">
        <f>SUM(U41:U44)</f>
        <v>516</v>
      </c>
      <c r="V45" s="355">
        <f>SUM(V41:V44)</f>
        <v>1655</v>
      </c>
    </row>
    <row r="46" spans="1:22" ht="13.5" customHeight="1">
      <c r="A46" s="611" t="s">
        <v>9</v>
      </c>
      <c r="B46" s="625" t="s">
        <v>40</v>
      </c>
      <c r="C46" s="601" t="s">
        <v>11</v>
      </c>
      <c r="D46" s="579" t="s">
        <v>167</v>
      </c>
      <c r="E46" s="275" t="s">
        <v>65</v>
      </c>
      <c r="F46" s="648" t="s">
        <v>33</v>
      </c>
      <c r="G46" s="590" t="s">
        <v>105</v>
      </c>
      <c r="H46" s="226" t="s">
        <v>43</v>
      </c>
      <c r="I46" s="306">
        <f>J46+L46</f>
        <v>154.1</v>
      </c>
      <c r="J46" s="204"/>
      <c r="K46" s="204"/>
      <c r="L46" s="205">
        <v>154.1</v>
      </c>
      <c r="M46" s="306">
        <f>N46+P46</f>
        <v>12.4</v>
      </c>
      <c r="N46" s="204"/>
      <c r="O46" s="204"/>
      <c r="P46" s="205">
        <v>12.4</v>
      </c>
      <c r="Q46" s="406">
        <f>R46+T46</f>
        <v>12.4</v>
      </c>
      <c r="R46" s="407"/>
      <c r="S46" s="407"/>
      <c r="T46" s="408">
        <v>12.4</v>
      </c>
      <c r="U46" s="225"/>
      <c r="V46" s="226"/>
    </row>
    <row r="47" spans="1:22" ht="13.5" customHeight="1">
      <c r="A47" s="611"/>
      <c r="B47" s="625"/>
      <c r="C47" s="601"/>
      <c r="D47" s="579"/>
      <c r="E47" s="275"/>
      <c r="F47" s="648"/>
      <c r="G47" s="590"/>
      <c r="H47" s="276" t="s">
        <v>128</v>
      </c>
      <c r="I47" s="218">
        <f>J47+L47</f>
        <v>190.7</v>
      </c>
      <c r="J47" s="219"/>
      <c r="K47" s="219"/>
      <c r="L47" s="220">
        <v>190.7</v>
      </c>
      <c r="M47" s="218"/>
      <c r="N47" s="219"/>
      <c r="O47" s="219"/>
      <c r="P47" s="220"/>
      <c r="Q47" s="406"/>
      <c r="R47" s="407"/>
      <c r="S47" s="407"/>
      <c r="T47" s="408"/>
      <c r="U47" s="225"/>
      <c r="V47" s="226"/>
    </row>
    <row r="48" spans="1:22" ht="13.5" customHeight="1">
      <c r="A48" s="611"/>
      <c r="B48" s="625"/>
      <c r="C48" s="601"/>
      <c r="D48" s="580"/>
      <c r="E48" s="582"/>
      <c r="F48" s="648"/>
      <c r="G48" s="590"/>
      <c r="H48" s="206" t="s">
        <v>39</v>
      </c>
      <c r="I48" s="207">
        <f>J48+L48</f>
        <v>812.3</v>
      </c>
      <c r="J48" s="208"/>
      <c r="K48" s="208"/>
      <c r="L48" s="209">
        <v>812.3</v>
      </c>
      <c r="M48" s="207">
        <f>N48+P48</f>
        <v>70.1</v>
      </c>
      <c r="N48" s="208"/>
      <c r="O48" s="208"/>
      <c r="P48" s="209">
        <v>70.1</v>
      </c>
      <c r="Q48" s="406">
        <f>R48+T48</f>
        <v>70.1</v>
      </c>
      <c r="R48" s="407"/>
      <c r="S48" s="407"/>
      <c r="T48" s="408">
        <v>70.1</v>
      </c>
      <c r="U48" s="225"/>
      <c r="V48" s="226"/>
    </row>
    <row r="49" spans="1:22" ht="13.5" customHeight="1" thickBot="1">
      <c r="A49" s="612"/>
      <c r="B49" s="556"/>
      <c r="C49" s="602"/>
      <c r="D49" s="581"/>
      <c r="E49" s="583"/>
      <c r="F49" s="631"/>
      <c r="G49" s="591"/>
      <c r="H49" s="360" t="s">
        <v>10</v>
      </c>
      <c r="I49" s="395">
        <f>SUM(I46:I48)</f>
        <v>1157.1</v>
      </c>
      <c r="J49" s="396"/>
      <c r="K49" s="396"/>
      <c r="L49" s="397">
        <f>SUM(L46:L48)</f>
        <v>1157.1</v>
      </c>
      <c r="M49" s="395">
        <f>SUM(M46:M48)</f>
        <v>82.5</v>
      </c>
      <c r="N49" s="398"/>
      <c r="O49" s="398"/>
      <c r="P49" s="399">
        <f>SUM(P46:P48)</f>
        <v>82.5</v>
      </c>
      <c r="Q49" s="395">
        <f>R49+T49</f>
        <v>82.5</v>
      </c>
      <c r="R49" s="396"/>
      <c r="S49" s="396"/>
      <c r="T49" s="397">
        <f>SUM(T46:T48)</f>
        <v>82.5</v>
      </c>
      <c r="U49" s="399"/>
      <c r="V49" s="399"/>
    </row>
    <row r="50" spans="1:22" ht="15" customHeight="1">
      <c r="A50" s="626" t="s">
        <v>9</v>
      </c>
      <c r="B50" s="554" t="s">
        <v>40</v>
      </c>
      <c r="C50" s="603" t="s">
        <v>40</v>
      </c>
      <c r="D50" s="576" t="s">
        <v>112</v>
      </c>
      <c r="E50" s="210" t="s">
        <v>65</v>
      </c>
      <c r="F50" s="616" t="s">
        <v>33</v>
      </c>
      <c r="G50" s="651" t="s">
        <v>105</v>
      </c>
      <c r="H50" s="150" t="s">
        <v>64</v>
      </c>
      <c r="I50" s="122"/>
      <c r="J50" s="202"/>
      <c r="K50" s="202"/>
      <c r="L50" s="203"/>
      <c r="M50" s="212">
        <f>N50+P50</f>
        <v>1881.8</v>
      </c>
      <c r="N50" s="213"/>
      <c r="O50" s="213"/>
      <c r="P50" s="214">
        <v>1881.8</v>
      </c>
      <c r="Q50" s="412">
        <f>R50+T50</f>
        <v>1881.8</v>
      </c>
      <c r="R50" s="413"/>
      <c r="S50" s="413"/>
      <c r="T50" s="414">
        <v>1881.8</v>
      </c>
      <c r="U50" s="215"/>
      <c r="V50" s="216"/>
    </row>
    <row r="51" spans="1:22" ht="15" customHeight="1">
      <c r="A51" s="609"/>
      <c r="B51" s="555"/>
      <c r="C51" s="604"/>
      <c r="D51" s="577"/>
      <c r="E51" s="574"/>
      <c r="F51" s="617"/>
      <c r="G51" s="590"/>
      <c r="H51" s="217" t="s">
        <v>128</v>
      </c>
      <c r="I51" s="218">
        <f>J51+L51</f>
        <v>1300</v>
      </c>
      <c r="J51" s="219"/>
      <c r="K51" s="219"/>
      <c r="L51" s="220">
        <v>1300</v>
      </c>
      <c r="M51" s="221"/>
      <c r="N51" s="221"/>
      <c r="O51" s="221"/>
      <c r="P51" s="222"/>
      <c r="Q51" s="409"/>
      <c r="R51" s="410"/>
      <c r="S51" s="410"/>
      <c r="T51" s="411"/>
      <c r="U51" s="223"/>
      <c r="V51" s="224"/>
    </row>
    <row r="52" spans="1:22" ht="15" customHeight="1" thickBot="1">
      <c r="A52" s="612"/>
      <c r="B52" s="556"/>
      <c r="C52" s="605"/>
      <c r="D52" s="578"/>
      <c r="E52" s="575"/>
      <c r="F52" s="618"/>
      <c r="G52" s="591"/>
      <c r="H52" s="400" t="s">
        <v>10</v>
      </c>
      <c r="I52" s="395">
        <f>SUM(I50:I51)</f>
        <v>1300</v>
      </c>
      <c r="J52" s="396"/>
      <c r="K52" s="396"/>
      <c r="L52" s="397">
        <f>SUM(L50:L51)</f>
        <v>1300</v>
      </c>
      <c r="M52" s="398">
        <f>SUM(M50:M51)</f>
        <v>1881.8</v>
      </c>
      <c r="N52" s="398"/>
      <c r="O52" s="398"/>
      <c r="P52" s="401">
        <f>SUM(P50:P51)</f>
        <v>1881.8</v>
      </c>
      <c r="Q52" s="395">
        <f>SUM(Q50:Q51)</f>
        <v>1881.8</v>
      </c>
      <c r="R52" s="396"/>
      <c r="S52" s="396"/>
      <c r="T52" s="397">
        <f>SUM(T50:T51)</f>
        <v>1881.8</v>
      </c>
      <c r="U52" s="354"/>
      <c r="V52" s="355"/>
    </row>
    <row r="53" spans="1:22" ht="20.25" customHeight="1">
      <c r="A53" s="608" t="s">
        <v>9</v>
      </c>
      <c r="B53" s="627" t="s">
        <v>40</v>
      </c>
      <c r="C53" s="606" t="s">
        <v>41</v>
      </c>
      <c r="D53" s="682" t="s">
        <v>173</v>
      </c>
      <c r="E53" s="619" t="s">
        <v>63</v>
      </c>
      <c r="F53" s="630" t="s">
        <v>33</v>
      </c>
      <c r="G53" s="651" t="s">
        <v>105</v>
      </c>
      <c r="H53" s="267" t="s">
        <v>39</v>
      </c>
      <c r="I53" s="122"/>
      <c r="J53" s="202"/>
      <c r="K53" s="202"/>
      <c r="L53" s="203"/>
      <c r="M53" s="122">
        <f>N53+P53</f>
        <v>200</v>
      </c>
      <c r="N53" s="202"/>
      <c r="O53" s="202"/>
      <c r="P53" s="229">
        <v>200</v>
      </c>
      <c r="Q53" s="412">
        <f>R53+T53</f>
        <v>0</v>
      </c>
      <c r="R53" s="413"/>
      <c r="S53" s="413"/>
      <c r="T53" s="424">
        <f>200-200</f>
        <v>0</v>
      </c>
      <c r="U53" s="425">
        <f>236.4-236.4</f>
        <v>0</v>
      </c>
      <c r="V53" s="201"/>
    </row>
    <row r="54" spans="1:22" ht="18.75" customHeight="1">
      <c r="A54" s="609"/>
      <c r="B54" s="652"/>
      <c r="C54" s="604"/>
      <c r="D54" s="683"/>
      <c r="E54" s="620"/>
      <c r="F54" s="676"/>
      <c r="G54" s="677"/>
      <c r="H54" s="227" t="s">
        <v>64</v>
      </c>
      <c r="I54" s="207"/>
      <c r="J54" s="208"/>
      <c r="K54" s="208"/>
      <c r="L54" s="209" t="s">
        <v>114</v>
      </c>
      <c r="M54" s="207">
        <f>N54+P54</f>
        <v>1.9</v>
      </c>
      <c r="N54" s="208"/>
      <c r="O54" s="208"/>
      <c r="P54" s="228">
        <v>1.9</v>
      </c>
      <c r="Q54" s="403">
        <f>R54+T54</f>
        <v>0</v>
      </c>
      <c r="R54" s="404"/>
      <c r="S54" s="404"/>
      <c r="T54" s="427">
        <f>1.9-1.9</f>
        <v>0</v>
      </c>
      <c r="U54" s="428">
        <f>101.7-101.7</f>
        <v>0</v>
      </c>
      <c r="V54" s="206"/>
    </row>
    <row r="55" spans="1:22" ht="17.25" customHeight="1" thickBot="1">
      <c r="A55" s="610"/>
      <c r="B55" s="628"/>
      <c r="C55" s="607"/>
      <c r="D55" s="684"/>
      <c r="E55" s="621"/>
      <c r="F55" s="631"/>
      <c r="G55" s="591"/>
      <c r="H55" s="360" t="s">
        <v>10</v>
      </c>
      <c r="I55" s="395"/>
      <c r="J55" s="396"/>
      <c r="K55" s="396"/>
      <c r="L55" s="397"/>
      <c r="M55" s="395">
        <f>SUM(M53:M54)</f>
        <v>201.9</v>
      </c>
      <c r="N55" s="396"/>
      <c r="O55" s="396"/>
      <c r="P55" s="402">
        <f>SUM(P53:P54)</f>
        <v>201.9</v>
      </c>
      <c r="Q55" s="395">
        <f>R55+T55</f>
        <v>0</v>
      </c>
      <c r="R55" s="396"/>
      <c r="S55" s="396"/>
      <c r="T55" s="397">
        <f>SUM(T53:T54)</f>
        <v>0</v>
      </c>
      <c r="U55" s="354">
        <f>SUM(U53:U54)</f>
        <v>0</v>
      </c>
      <c r="V55" s="355"/>
    </row>
    <row r="56" spans="1:22" ht="18.75" customHeight="1">
      <c r="A56" s="608" t="s">
        <v>9</v>
      </c>
      <c r="B56" s="627" t="s">
        <v>40</v>
      </c>
      <c r="C56" s="606" t="s">
        <v>83</v>
      </c>
      <c r="D56" s="675" t="s">
        <v>96</v>
      </c>
      <c r="E56" s="619" t="s">
        <v>63</v>
      </c>
      <c r="F56" s="630" t="s">
        <v>33</v>
      </c>
      <c r="G56" s="651" t="s">
        <v>105</v>
      </c>
      <c r="H56" s="230" t="s">
        <v>42</v>
      </c>
      <c r="I56" s="122">
        <f>J56+L56</f>
        <v>23.8</v>
      </c>
      <c r="J56" s="202"/>
      <c r="K56" s="202"/>
      <c r="L56" s="229">
        <v>23.8</v>
      </c>
      <c r="M56" s="122"/>
      <c r="N56" s="202"/>
      <c r="O56" s="202"/>
      <c r="P56" s="229"/>
      <c r="Q56" s="412"/>
      <c r="R56" s="413"/>
      <c r="S56" s="413"/>
      <c r="T56" s="414"/>
      <c r="U56" s="230"/>
      <c r="V56" s="201"/>
    </row>
    <row r="57" spans="1:22" ht="16.5" customHeight="1" thickBot="1">
      <c r="A57" s="610"/>
      <c r="B57" s="628"/>
      <c r="C57" s="607"/>
      <c r="D57" s="581"/>
      <c r="E57" s="621"/>
      <c r="F57" s="631"/>
      <c r="G57" s="591"/>
      <c r="H57" s="400" t="s">
        <v>10</v>
      </c>
      <c r="I57" s="395">
        <f>SUM(I56)</f>
        <v>23.8</v>
      </c>
      <c r="J57" s="396"/>
      <c r="K57" s="396"/>
      <c r="L57" s="402">
        <f>SUM(L56)</f>
        <v>23.8</v>
      </c>
      <c r="M57" s="395"/>
      <c r="N57" s="396"/>
      <c r="O57" s="396"/>
      <c r="P57" s="402"/>
      <c r="Q57" s="395"/>
      <c r="R57" s="396"/>
      <c r="S57" s="396"/>
      <c r="T57" s="397"/>
      <c r="U57" s="354"/>
      <c r="V57" s="355"/>
    </row>
    <row r="58" spans="1:22" ht="14.25" customHeight="1" thickBot="1">
      <c r="A58" s="95" t="s">
        <v>9</v>
      </c>
      <c r="B58" s="170" t="s">
        <v>40</v>
      </c>
      <c r="C58" s="614" t="s">
        <v>12</v>
      </c>
      <c r="D58" s="614"/>
      <c r="E58" s="614"/>
      <c r="F58" s="614"/>
      <c r="G58" s="614"/>
      <c r="H58" s="614"/>
      <c r="I58" s="195">
        <f>J58+L58</f>
        <v>2500.8999999999996</v>
      </c>
      <c r="J58" s="258">
        <f>J45</f>
        <v>20</v>
      </c>
      <c r="K58" s="257">
        <f>K57+K55++K52+K49</f>
        <v>0</v>
      </c>
      <c r="L58" s="263">
        <f>L57+L55+L52+L49+L45</f>
        <v>2480.8999999999996</v>
      </c>
      <c r="M58" s="195">
        <f>N58+P58</f>
        <v>2351.2</v>
      </c>
      <c r="N58" s="258">
        <f>N45</f>
        <v>50</v>
      </c>
      <c r="O58" s="257">
        <f>O57+O55++O52+O49</f>
        <v>0</v>
      </c>
      <c r="P58" s="263">
        <f>P57+P55+P52+P49+P45</f>
        <v>2301.2</v>
      </c>
      <c r="Q58" s="195">
        <f>R58+T58</f>
        <v>1964.3</v>
      </c>
      <c r="R58" s="258">
        <f>R57+R55+R52+R49</f>
        <v>0</v>
      </c>
      <c r="S58" s="257">
        <f>S57+S55++S52+S49</f>
        <v>0</v>
      </c>
      <c r="T58" s="269">
        <f>T57+T55+T52+T49+T45</f>
        <v>1964.3</v>
      </c>
      <c r="U58" s="257">
        <f>U57+U55++U52+U49+U45</f>
        <v>516</v>
      </c>
      <c r="V58" s="264">
        <f>V57+V55+V52+V49+V45</f>
        <v>1655</v>
      </c>
    </row>
    <row r="59" spans="1:22" ht="15.75" customHeight="1" thickBot="1">
      <c r="A59" s="103" t="s">
        <v>9</v>
      </c>
      <c r="B59" s="685" t="s">
        <v>13</v>
      </c>
      <c r="C59" s="685"/>
      <c r="D59" s="685"/>
      <c r="E59" s="685"/>
      <c r="F59" s="685"/>
      <c r="G59" s="685"/>
      <c r="H59" s="685"/>
      <c r="I59" s="255">
        <f aca="true" t="shared" si="2" ref="I59:V59">I58+I38+I28</f>
        <v>9533.6</v>
      </c>
      <c r="J59" s="259">
        <f t="shared" si="2"/>
        <v>7033.6</v>
      </c>
      <c r="K59" s="261">
        <f t="shared" si="2"/>
        <v>3936.1</v>
      </c>
      <c r="L59" s="259">
        <f t="shared" si="2"/>
        <v>2499.9999999999995</v>
      </c>
      <c r="M59" s="255">
        <f t="shared" si="2"/>
        <v>9303.9</v>
      </c>
      <c r="N59" s="259">
        <f t="shared" si="2"/>
        <v>6990.2</v>
      </c>
      <c r="O59" s="261">
        <f t="shared" si="2"/>
        <v>3920.0999999999995</v>
      </c>
      <c r="P59" s="259">
        <f t="shared" si="2"/>
        <v>2313.7</v>
      </c>
      <c r="Q59" s="255">
        <f t="shared" si="2"/>
        <v>8481.8</v>
      </c>
      <c r="R59" s="259">
        <f t="shared" si="2"/>
        <v>6517.5</v>
      </c>
      <c r="S59" s="261">
        <f t="shared" si="2"/>
        <v>3763.7</v>
      </c>
      <c r="T59" s="270">
        <f t="shared" si="2"/>
        <v>1964.3</v>
      </c>
      <c r="U59" s="261">
        <f t="shared" si="2"/>
        <v>8694.300000000001</v>
      </c>
      <c r="V59" s="265">
        <f t="shared" si="2"/>
        <v>9833.300000000001</v>
      </c>
    </row>
    <row r="60" spans="1:22" ht="13.5" customHeight="1" thickBot="1">
      <c r="A60" s="171" t="s">
        <v>44</v>
      </c>
      <c r="B60" s="649" t="s">
        <v>14</v>
      </c>
      <c r="C60" s="650"/>
      <c r="D60" s="650"/>
      <c r="E60" s="650"/>
      <c r="F60" s="650"/>
      <c r="G60" s="650"/>
      <c r="H60" s="650"/>
      <c r="I60" s="256">
        <f>I59</f>
        <v>9533.6</v>
      </c>
      <c r="J60" s="260">
        <f>J59</f>
        <v>7033.6</v>
      </c>
      <c r="K60" s="262">
        <f>K59</f>
        <v>3936.1</v>
      </c>
      <c r="L60" s="260">
        <f>L59</f>
        <v>2499.9999999999995</v>
      </c>
      <c r="M60" s="256">
        <f aca="true" t="shared" si="3" ref="M60:V60">M59</f>
        <v>9303.9</v>
      </c>
      <c r="N60" s="260">
        <f t="shared" si="3"/>
        <v>6990.2</v>
      </c>
      <c r="O60" s="262">
        <f t="shared" si="3"/>
        <v>3920.0999999999995</v>
      </c>
      <c r="P60" s="260">
        <f t="shared" si="3"/>
        <v>2313.7</v>
      </c>
      <c r="Q60" s="256">
        <f t="shared" si="3"/>
        <v>8481.8</v>
      </c>
      <c r="R60" s="260">
        <f t="shared" si="3"/>
        <v>6517.5</v>
      </c>
      <c r="S60" s="262">
        <f t="shared" si="3"/>
        <v>3763.7</v>
      </c>
      <c r="T60" s="271">
        <f t="shared" si="3"/>
        <v>1964.3</v>
      </c>
      <c r="U60" s="262">
        <f>U59</f>
        <v>8694.300000000001</v>
      </c>
      <c r="V60" s="266">
        <f t="shared" si="3"/>
        <v>9833.300000000001</v>
      </c>
    </row>
    <row r="61" spans="1:22" ht="15" customHeight="1">
      <c r="A61" s="641"/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</row>
    <row r="62" spans="1:22" ht="15" customHeight="1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</row>
    <row r="63" spans="1:22" ht="14.25" customHeight="1">
      <c r="A63" s="629" t="s">
        <v>20</v>
      </c>
      <c r="B63" s="629"/>
      <c r="C63" s="629"/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29"/>
      <c r="Q63" s="629"/>
      <c r="R63" s="629"/>
      <c r="S63" s="629"/>
      <c r="T63" s="629"/>
      <c r="U63" s="174"/>
      <c r="V63" s="176"/>
    </row>
    <row r="64" spans="1:22" ht="12.75" customHeight="1" thickBot="1">
      <c r="A64" s="172"/>
      <c r="B64" s="173"/>
      <c r="C64" s="173"/>
      <c r="D64" s="173"/>
      <c r="E64" s="173"/>
      <c r="F64" s="173"/>
      <c r="G64" s="173"/>
      <c r="H64" s="177"/>
      <c r="I64" s="174"/>
      <c r="J64" s="174"/>
      <c r="K64" s="174"/>
      <c r="L64" s="174"/>
      <c r="M64" s="174"/>
      <c r="N64" s="174"/>
      <c r="O64" s="175"/>
      <c r="P64" s="174"/>
      <c r="Q64" s="642" t="s">
        <v>126</v>
      </c>
      <c r="R64" s="642"/>
      <c r="S64" s="642"/>
      <c r="T64" s="642"/>
      <c r="U64" s="174"/>
      <c r="V64" s="176"/>
    </row>
    <row r="65" spans="1:22" ht="25.5" customHeight="1" thickBot="1">
      <c r="A65" s="632" t="s">
        <v>15</v>
      </c>
      <c r="B65" s="633"/>
      <c r="C65" s="633"/>
      <c r="D65" s="633"/>
      <c r="E65" s="633"/>
      <c r="F65" s="633"/>
      <c r="G65" s="633"/>
      <c r="H65" s="634"/>
      <c r="I65" s="538" t="s">
        <v>107</v>
      </c>
      <c r="J65" s="511"/>
      <c r="K65" s="511"/>
      <c r="L65" s="512"/>
      <c r="M65" s="510" t="s">
        <v>108</v>
      </c>
      <c r="N65" s="511"/>
      <c r="O65" s="511"/>
      <c r="P65" s="513"/>
      <c r="Q65" s="510" t="s">
        <v>110</v>
      </c>
      <c r="R65" s="511"/>
      <c r="S65" s="511"/>
      <c r="T65" s="513"/>
      <c r="U65" s="178"/>
      <c r="V65" s="179"/>
    </row>
    <row r="66" spans="1:22" ht="12.75" customHeight="1" thickBot="1">
      <c r="A66" s="635" t="s">
        <v>21</v>
      </c>
      <c r="B66" s="636"/>
      <c r="C66" s="636"/>
      <c r="D66" s="636"/>
      <c r="E66" s="636"/>
      <c r="F66" s="636"/>
      <c r="G66" s="636"/>
      <c r="H66" s="637"/>
      <c r="I66" s="436">
        <f>I67+I74</f>
        <v>7571.2</v>
      </c>
      <c r="J66" s="436"/>
      <c r="K66" s="436"/>
      <c r="L66" s="437"/>
      <c r="M66" s="435">
        <f>M67+M74</f>
        <v>6452.6</v>
      </c>
      <c r="N66" s="436"/>
      <c r="O66" s="436"/>
      <c r="P66" s="437"/>
      <c r="Q66" s="435">
        <f>Q67+Q74</f>
        <v>5799.5</v>
      </c>
      <c r="R66" s="436"/>
      <c r="S66" s="436"/>
      <c r="T66" s="437"/>
      <c r="U66" s="180"/>
      <c r="V66" s="180"/>
    </row>
    <row r="67" spans="1:22" ht="12.75" customHeight="1" thickBot="1">
      <c r="A67" s="638" t="s">
        <v>82</v>
      </c>
      <c r="B67" s="639"/>
      <c r="C67" s="639"/>
      <c r="D67" s="639"/>
      <c r="E67" s="639"/>
      <c r="F67" s="639"/>
      <c r="G67" s="639"/>
      <c r="H67" s="640"/>
      <c r="I67" s="471">
        <f>SUM(I68:L73)</f>
        <v>7547.4</v>
      </c>
      <c r="J67" s="471"/>
      <c r="K67" s="471"/>
      <c r="L67" s="472"/>
      <c r="M67" s="514">
        <f>SUM(M68:P73)</f>
        <v>6452.6</v>
      </c>
      <c r="N67" s="471"/>
      <c r="O67" s="471"/>
      <c r="P67" s="472"/>
      <c r="Q67" s="514">
        <f>SUM(Q68:T73)</f>
        <v>5799.5</v>
      </c>
      <c r="R67" s="471"/>
      <c r="S67" s="471"/>
      <c r="T67" s="472"/>
      <c r="U67" s="180"/>
      <c r="V67" s="180"/>
    </row>
    <row r="68" spans="1:22" ht="13.5" customHeight="1">
      <c r="A68" s="473" t="s">
        <v>98</v>
      </c>
      <c r="B68" s="474"/>
      <c r="C68" s="474"/>
      <c r="D68" s="474"/>
      <c r="E68" s="474"/>
      <c r="F68" s="474"/>
      <c r="G68" s="474"/>
      <c r="H68" s="475"/>
      <c r="I68" s="476">
        <f>SUMIF(H12:H57,"SB",I12:I57)</f>
        <v>668.7</v>
      </c>
      <c r="J68" s="476"/>
      <c r="K68" s="476"/>
      <c r="L68" s="477"/>
      <c r="M68" s="679">
        <f>SUMIF(H12:H56,"SB",M12:M56)</f>
        <v>573.8</v>
      </c>
      <c r="N68" s="476"/>
      <c r="O68" s="476"/>
      <c r="P68" s="477"/>
      <c r="Q68" s="679">
        <f>SUMIF(H12:H56,"SB",Q12:Q57)</f>
        <v>495.49999999999994</v>
      </c>
      <c r="R68" s="476"/>
      <c r="S68" s="476"/>
      <c r="T68" s="477"/>
      <c r="U68" s="181"/>
      <c r="V68" s="181"/>
    </row>
    <row r="69" spans="1:22" ht="26.25" customHeight="1">
      <c r="A69" s="465" t="s">
        <v>99</v>
      </c>
      <c r="B69" s="466"/>
      <c r="C69" s="466"/>
      <c r="D69" s="466"/>
      <c r="E69" s="466"/>
      <c r="F69" s="466"/>
      <c r="G69" s="466"/>
      <c r="H69" s="467"/>
      <c r="I69" s="461">
        <f>SUMIF(H12:H56,"SB(AA)",I12:I56)</f>
        <v>266</v>
      </c>
      <c r="J69" s="461"/>
      <c r="K69" s="461"/>
      <c r="L69" s="438"/>
      <c r="M69" s="464">
        <f>SUMIF(H12:H56,"SB(AA)",M12:M56)</f>
        <v>300</v>
      </c>
      <c r="N69" s="461"/>
      <c r="O69" s="461"/>
      <c r="P69" s="438"/>
      <c r="Q69" s="464">
        <f>SUMIF(H12:H58,"SB(AA)",Q12:Q58)</f>
        <v>298</v>
      </c>
      <c r="R69" s="461"/>
      <c r="S69" s="461"/>
      <c r="T69" s="438"/>
      <c r="U69" s="181"/>
      <c r="V69" s="181"/>
    </row>
    <row r="70" spans="1:23" ht="27" customHeight="1">
      <c r="A70" s="465" t="s">
        <v>119</v>
      </c>
      <c r="B70" s="466"/>
      <c r="C70" s="466"/>
      <c r="D70" s="466"/>
      <c r="E70" s="466"/>
      <c r="F70" s="466"/>
      <c r="G70" s="466"/>
      <c r="H70" s="467"/>
      <c r="I70" s="461">
        <f>SUMIF(H12:H56,"SB(AAL)",I12:I56)</f>
        <v>0</v>
      </c>
      <c r="J70" s="461"/>
      <c r="K70" s="461"/>
      <c r="L70" s="438"/>
      <c r="M70" s="464">
        <f>SUMIF(H12:H56,"SB(AAL)",M12:M56)</f>
        <v>54</v>
      </c>
      <c r="N70" s="461"/>
      <c r="O70" s="461"/>
      <c r="P70" s="438"/>
      <c r="Q70" s="464">
        <f>SUMIF(H12:H56,"SB(AAL)",Q12:Q56)</f>
        <v>70</v>
      </c>
      <c r="R70" s="461"/>
      <c r="S70" s="461"/>
      <c r="T70" s="438"/>
      <c r="U70" s="181"/>
      <c r="V70" s="181" t="s">
        <v>114</v>
      </c>
      <c r="W70" s="426"/>
    </row>
    <row r="71" spans="1:22" ht="13.5" customHeight="1">
      <c r="A71" s="465" t="s">
        <v>117</v>
      </c>
      <c r="B71" s="466"/>
      <c r="C71" s="466"/>
      <c r="D71" s="466"/>
      <c r="E71" s="466"/>
      <c r="F71" s="466"/>
      <c r="G71" s="466"/>
      <c r="H71" s="467"/>
      <c r="I71" s="461">
        <f>SUMIF(H12:H56,"SB(SP)",I12:I56)</f>
        <v>100</v>
      </c>
      <c r="J71" s="461"/>
      <c r="K71" s="461"/>
      <c r="L71" s="438"/>
      <c r="M71" s="464">
        <f>SUMIF(H12:H56,"SB(SP)",M12:M56)</f>
        <v>115</v>
      </c>
      <c r="N71" s="461"/>
      <c r="O71" s="461"/>
      <c r="P71" s="438"/>
      <c r="Q71" s="464">
        <f>SUMIF(H12:H56,"SB(SP)",Q12:Q56)</f>
        <v>115</v>
      </c>
      <c r="R71" s="461"/>
      <c r="S71" s="461"/>
      <c r="T71" s="438"/>
      <c r="U71" s="181"/>
      <c r="V71" s="181"/>
    </row>
    <row r="72" spans="1:22" ht="27.75" customHeight="1">
      <c r="A72" s="465" t="s">
        <v>116</v>
      </c>
      <c r="B72" s="466"/>
      <c r="C72" s="466"/>
      <c r="D72" s="466"/>
      <c r="E72" s="466"/>
      <c r="F72" s="466"/>
      <c r="G72" s="466"/>
      <c r="H72" s="467"/>
      <c r="I72" s="461">
        <f>SUMIF(H12:H56,"SB(VB)",I12:I56)</f>
        <v>5022</v>
      </c>
      <c r="J72" s="461"/>
      <c r="K72" s="461"/>
      <c r="L72" s="438"/>
      <c r="M72" s="464">
        <f>SUMIF(H12:H56,"SB(VB)",M12:M56)</f>
        <v>5309.8</v>
      </c>
      <c r="N72" s="461"/>
      <c r="O72" s="461"/>
      <c r="P72" s="438"/>
      <c r="Q72" s="464">
        <f>SUMIF(H12:H56,"SB(VB)",Q12:Q56)</f>
        <v>4821</v>
      </c>
      <c r="R72" s="461"/>
      <c r="S72" s="461"/>
      <c r="T72" s="438"/>
      <c r="U72" s="182"/>
      <c r="V72" s="178"/>
    </row>
    <row r="73" spans="1:22" ht="12.75" customHeight="1">
      <c r="A73" s="465" t="s">
        <v>129</v>
      </c>
      <c r="B73" s="466"/>
      <c r="C73" s="466"/>
      <c r="D73" s="466"/>
      <c r="E73" s="466"/>
      <c r="F73" s="466"/>
      <c r="G73" s="466"/>
      <c r="H73" s="467"/>
      <c r="I73" s="461">
        <f>SUMIF(H12:H56,"sb(P)",I12:I56)</f>
        <v>1490.7</v>
      </c>
      <c r="J73" s="462"/>
      <c r="K73" s="462"/>
      <c r="L73" s="463"/>
      <c r="M73" s="464">
        <f>SUMIF(H12:H56,"sb(P)",M12:M56)</f>
        <v>100</v>
      </c>
      <c r="N73" s="462"/>
      <c r="O73" s="462"/>
      <c r="P73" s="463"/>
      <c r="Q73" s="464">
        <f>SUMIF(H12:H58,"SB(P)",Q12:Q58)</f>
        <v>0</v>
      </c>
      <c r="R73" s="462"/>
      <c r="S73" s="462"/>
      <c r="T73" s="463"/>
      <c r="U73" s="183"/>
      <c r="V73" s="183"/>
    </row>
    <row r="74" spans="1:22" ht="13.5" customHeight="1" thickBot="1">
      <c r="A74" s="468" t="s">
        <v>100</v>
      </c>
      <c r="B74" s="469"/>
      <c r="C74" s="469"/>
      <c r="D74" s="469"/>
      <c r="E74" s="469"/>
      <c r="F74" s="469"/>
      <c r="G74" s="469"/>
      <c r="H74" s="470"/>
      <c r="I74" s="431">
        <f>SUMIF(H12:H57,H56,I12:I57)</f>
        <v>23.8</v>
      </c>
      <c r="J74" s="432"/>
      <c r="K74" s="432"/>
      <c r="L74" s="433"/>
      <c r="M74" s="434">
        <f>SUMIF(H12:H56,H56,M12:M56)</f>
        <v>0</v>
      </c>
      <c r="N74" s="432"/>
      <c r="O74" s="432"/>
      <c r="P74" s="433"/>
      <c r="Q74" s="434">
        <f>SUMIF(H12:H58,"pf",Q12:Q58)</f>
        <v>0</v>
      </c>
      <c r="R74" s="431"/>
      <c r="S74" s="431"/>
      <c r="T74" s="433"/>
      <c r="U74" s="183"/>
      <c r="V74" s="183"/>
    </row>
    <row r="75" spans="1:22" ht="12" customHeight="1" thickBot="1">
      <c r="A75" s="486" t="s">
        <v>22</v>
      </c>
      <c r="B75" s="487"/>
      <c r="C75" s="487"/>
      <c r="D75" s="487"/>
      <c r="E75" s="487"/>
      <c r="F75" s="487"/>
      <c r="G75" s="487"/>
      <c r="H75" s="488"/>
      <c r="I75" s="436">
        <f>SUM(I76:L79)</f>
        <v>1962.3999999999999</v>
      </c>
      <c r="J75" s="436"/>
      <c r="K75" s="436"/>
      <c r="L75" s="437"/>
      <c r="M75" s="435">
        <f>SUM(M76:P79)</f>
        <v>2851.3</v>
      </c>
      <c r="N75" s="436"/>
      <c r="O75" s="436"/>
      <c r="P75" s="437"/>
      <c r="Q75" s="435">
        <f>SUM(Q76:T79)</f>
        <v>2682.3</v>
      </c>
      <c r="R75" s="436"/>
      <c r="S75" s="436"/>
      <c r="T75" s="437"/>
      <c r="U75" s="180"/>
      <c r="V75" s="180"/>
    </row>
    <row r="76" spans="1:22" ht="12" customHeight="1">
      <c r="A76" s="481" t="s">
        <v>101</v>
      </c>
      <c r="B76" s="482"/>
      <c r="C76" s="482"/>
      <c r="D76" s="482"/>
      <c r="E76" s="482"/>
      <c r="F76" s="482"/>
      <c r="G76" s="482"/>
      <c r="H76" s="483"/>
      <c r="I76" s="461">
        <f>SUMIF(H12:H57,"ES",I12:I57)</f>
        <v>812.3</v>
      </c>
      <c r="J76" s="461"/>
      <c r="K76" s="461"/>
      <c r="L76" s="438"/>
      <c r="M76" s="464">
        <f>SUMIF(H12:H56,"ES",M12:M56)</f>
        <v>270.1</v>
      </c>
      <c r="N76" s="461"/>
      <c r="O76" s="461"/>
      <c r="P76" s="438"/>
      <c r="Q76" s="464">
        <f>SUMIF(H12:H58,"ES",Q12:Q58)</f>
        <v>70.1</v>
      </c>
      <c r="R76" s="461"/>
      <c r="S76" s="461"/>
      <c r="T76" s="438"/>
      <c r="U76" s="183"/>
      <c r="V76" s="183"/>
    </row>
    <row r="77" spans="1:22" ht="12.75" customHeight="1">
      <c r="A77" s="465" t="s">
        <v>102</v>
      </c>
      <c r="B77" s="466"/>
      <c r="C77" s="466"/>
      <c r="D77" s="466"/>
      <c r="E77" s="466"/>
      <c r="F77" s="466"/>
      <c r="G77" s="466"/>
      <c r="H77" s="467"/>
      <c r="I77" s="461">
        <f>SUMIF(H12:H57,"LRVB",I12:I57)</f>
        <v>377.4</v>
      </c>
      <c r="J77" s="461"/>
      <c r="K77" s="461"/>
      <c r="L77" s="438"/>
      <c r="M77" s="464">
        <f>SUMIF(H12:H56,"LRVB",M12:M56)</f>
        <v>235.9</v>
      </c>
      <c r="N77" s="461"/>
      <c r="O77" s="461"/>
      <c r="P77" s="438"/>
      <c r="Q77" s="464">
        <f>SUMIF(H12:H56,"LRVB",Q12:Q56)</f>
        <v>226.8</v>
      </c>
      <c r="R77" s="461"/>
      <c r="S77" s="461"/>
      <c r="T77" s="438"/>
      <c r="U77" s="183"/>
      <c r="V77" s="183"/>
    </row>
    <row r="78" spans="1:22" ht="12.75" customHeight="1">
      <c r="A78" s="465" t="s">
        <v>109</v>
      </c>
      <c r="B78" s="466"/>
      <c r="C78" s="466"/>
      <c r="D78" s="466"/>
      <c r="E78" s="466"/>
      <c r="F78" s="466"/>
      <c r="G78" s="466"/>
      <c r="H78" s="467"/>
      <c r="I78" s="461">
        <f>SUMIF(H12:H56,"PSDF",I12:I56)</f>
        <v>772.7</v>
      </c>
      <c r="J78" s="461"/>
      <c r="K78" s="461"/>
      <c r="L78" s="438"/>
      <c r="M78" s="464">
        <f>SUMIF(H12:H56,"PSDF",M12:M56)</f>
        <v>426.59999999999997</v>
      </c>
      <c r="N78" s="461"/>
      <c r="O78" s="461"/>
      <c r="P78" s="438"/>
      <c r="Q78" s="464">
        <f>SUMIF(H12:H58,"PSDF",Q12:Q58)</f>
        <v>503.6</v>
      </c>
      <c r="R78" s="461"/>
      <c r="S78" s="461"/>
      <c r="T78" s="438"/>
      <c r="U78" s="183"/>
      <c r="V78" s="183"/>
    </row>
    <row r="79" spans="1:22" ht="13.5" customHeight="1" thickBot="1">
      <c r="A79" s="489" t="s">
        <v>103</v>
      </c>
      <c r="B79" s="490"/>
      <c r="C79" s="490"/>
      <c r="D79" s="490"/>
      <c r="E79" s="490"/>
      <c r="F79" s="490"/>
      <c r="G79" s="490"/>
      <c r="H79" s="491"/>
      <c r="I79" s="484">
        <f>SUMIF(H12:H56,"KT",I12:I56)</f>
        <v>0</v>
      </c>
      <c r="J79" s="484"/>
      <c r="K79" s="484"/>
      <c r="L79" s="485"/>
      <c r="M79" s="523">
        <f>SUMIF(H12:H56,"KT",M12:M56)</f>
        <v>1918.7</v>
      </c>
      <c r="N79" s="484"/>
      <c r="O79" s="484"/>
      <c r="P79" s="485"/>
      <c r="Q79" s="523">
        <f>SUMIF(H12:H58,"KT",Q12:Q58)</f>
        <v>1881.8</v>
      </c>
      <c r="R79" s="484"/>
      <c r="S79" s="484"/>
      <c r="T79" s="485"/>
      <c r="U79" s="183"/>
      <c r="V79" s="183"/>
    </row>
    <row r="80" spans="1:22" ht="13.5" customHeight="1" thickBot="1">
      <c r="A80" s="478" t="s">
        <v>23</v>
      </c>
      <c r="B80" s="479"/>
      <c r="C80" s="479"/>
      <c r="D80" s="479"/>
      <c r="E80" s="479"/>
      <c r="F80" s="479"/>
      <c r="G80" s="479"/>
      <c r="H80" s="480"/>
      <c r="I80" s="471">
        <f>I75+I66</f>
        <v>9533.6</v>
      </c>
      <c r="J80" s="471"/>
      <c r="K80" s="471"/>
      <c r="L80" s="472"/>
      <c r="M80" s="514">
        <f>M75+M66</f>
        <v>9303.900000000001</v>
      </c>
      <c r="N80" s="471"/>
      <c r="O80" s="471"/>
      <c r="P80" s="472"/>
      <c r="Q80" s="514">
        <f>Q75+Q66</f>
        <v>8481.8</v>
      </c>
      <c r="R80" s="471"/>
      <c r="S80" s="471"/>
      <c r="T80" s="472"/>
      <c r="U80" s="180"/>
      <c r="V80" s="180"/>
    </row>
  </sheetData>
  <sheetProtection/>
  <mergeCells count="180">
    <mergeCell ref="Q80:T80"/>
    <mergeCell ref="Q79:T79"/>
    <mergeCell ref="D30:D31"/>
    <mergeCell ref="D53:D55"/>
    <mergeCell ref="G50:G52"/>
    <mergeCell ref="Q76:T76"/>
    <mergeCell ref="B59:H59"/>
    <mergeCell ref="Q68:T68"/>
    <mergeCell ref="Q67:T67"/>
    <mergeCell ref="I67:L67"/>
    <mergeCell ref="U1:V1"/>
    <mergeCell ref="M68:P68"/>
    <mergeCell ref="Q78:T78"/>
    <mergeCell ref="Q71:T71"/>
    <mergeCell ref="Q69:T69"/>
    <mergeCell ref="Q73:T73"/>
    <mergeCell ref="Q75:T75"/>
    <mergeCell ref="Q70:T70"/>
    <mergeCell ref="Q77:T77"/>
    <mergeCell ref="M78:P78"/>
    <mergeCell ref="Q72:T72"/>
    <mergeCell ref="G23:G25"/>
    <mergeCell ref="C29:V29"/>
    <mergeCell ref="Q74:T74"/>
    <mergeCell ref="D56:D57"/>
    <mergeCell ref="C56:C57"/>
    <mergeCell ref="F53:F55"/>
    <mergeCell ref="G53:G55"/>
    <mergeCell ref="A3:V3"/>
    <mergeCell ref="B20:B22"/>
    <mergeCell ref="P6:P7"/>
    <mergeCell ref="A9:V9"/>
    <mergeCell ref="C17:C19"/>
    <mergeCell ref="D17:D19"/>
    <mergeCell ref="C20:C22"/>
    <mergeCell ref="F12:F16"/>
    <mergeCell ref="G12:G16"/>
    <mergeCell ref="C11:V11"/>
    <mergeCell ref="A56:A57"/>
    <mergeCell ref="Q64:T64"/>
    <mergeCell ref="G36:G37"/>
    <mergeCell ref="E36:E37"/>
    <mergeCell ref="F36:F37"/>
    <mergeCell ref="E56:E57"/>
    <mergeCell ref="F46:F49"/>
    <mergeCell ref="B60:H60"/>
    <mergeCell ref="G56:G57"/>
    <mergeCell ref="B53:B55"/>
    <mergeCell ref="A61:V61"/>
    <mergeCell ref="M66:P66"/>
    <mergeCell ref="I65:L65"/>
    <mergeCell ref="Q66:T66"/>
    <mergeCell ref="Q65:T65"/>
    <mergeCell ref="M65:P65"/>
    <mergeCell ref="I66:L66"/>
    <mergeCell ref="B56:B57"/>
    <mergeCell ref="M71:P71"/>
    <mergeCell ref="I69:L69"/>
    <mergeCell ref="A63:T63"/>
    <mergeCell ref="M69:P69"/>
    <mergeCell ref="F56:F57"/>
    <mergeCell ref="A65:H65"/>
    <mergeCell ref="A66:H66"/>
    <mergeCell ref="A67:H67"/>
    <mergeCell ref="C58:H58"/>
    <mergeCell ref="M67:P67"/>
    <mergeCell ref="A72:H72"/>
    <mergeCell ref="A71:H71"/>
    <mergeCell ref="A70:H70"/>
    <mergeCell ref="A69:H69"/>
    <mergeCell ref="F50:F52"/>
    <mergeCell ref="E53:E55"/>
    <mergeCell ref="C39:V39"/>
    <mergeCell ref="B46:B49"/>
    <mergeCell ref="B50:B52"/>
    <mergeCell ref="C50:C52"/>
    <mergeCell ref="C53:C55"/>
    <mergeCell ref="A53:A55"/>
    <mergeCell ref="A46:A49"/>
    <mergeCell ref="A50:A52"/>
    <mergeCell ref="A36:A37"/>
    <mergeCell ref="B36:B37"/>
    <mergeCell ref="C36:C37"/>
    <mergeCell ref="D36:D37"/>
    <mergeCell ref="C28:H28"/>
    <mergeCell ref="D32:D35"/>
    <mergeCell ref="G46:G49"/>
    <mergeCell ref="D42:D43"/>
    <mergeCell ref="G41:G43"/>
    <mergeCell ref="C46:C49"/>
    <mergeCell ref="C38:H38"/>
    <mergeCell ref="E51:E52"/>
    <mergeCell ref="D50:D52"/>
    <mergeCell ref="D46:D49"/>
    <mergeCell ref="E48:E49"/>
    <mergeCell ref="U5:U7"/>
    <mergeCell ref="T6:T7"/>
    <mergeCell ref="G17:G19"/>
    <mergeCell ref="A12:A16"/>
    <mergeCell ref="F17:F19"/>
    <mergeCell ref="B12:B16"/>
    <mergeCell ref="L6:L7"/>
    <mergeCell ref="C12:C16"/>
    <mergeCell ref="D12:D16"/>
    <mergeCell ref="E12:E16"/>
    <mergeCell ref="F23:F25"/>
    <mergeCell ref="A20:A22"/>
    <mergeCell ref="C23:C25"/>
    <mergeCell ref="D23:D25"/>
    <mergeCell ref="E23:E25"/>
    <mergeCell ref="A23:A25"/>
    <mergeCell ref="B23:B25"/>
    <mergeCell ref="E20:E22"/>
    <mergeCell ref="F20:F22"/>
    <mergeCell ref="D20:D22"/>
    <mergeCell ref="F5:F7"/>
    <mergeCell ref="Q6:Q7"/>
    <mergeCell ref="R6:S6"/>
    <mergeCell ref="M6:M7"/>
    <mergeCell ref="N6:O6"/>
    <mergeCell ref="J6:K6"/>
    <mergeCell ref="H5:H7"/>
    <mergeCell ref="Q5:T5"/>
    <mergeCell ref="I6:I7"/>
    <mergeCell ref="M80:P80"/>
    <mergeCell ref="B10:V10"/>
    <mergeCell ref="A8:V8"/>
    <mergeCell ref="G5:G7"/>
    <mergeCell ref="M76:P76"/>
    <mergeCell ref="M77:P77"/>
    <mergeCell ref="M79:P79"/>
    <mergeCell ref="I76:L76"/>
    <mergeCell ref="E17:E19"/>
    <mergeCell ref="G20:G22"/>
    <mergeCell ref="A2:V2"/>
    <mergeCell ref="A5:A7"/>
    <mergeCell ref="B5:B7"/>
    <mergeCell ref="C5:C7"/>
    <mergeCell ref="D5:D7"/>
    <mergeCell ref="E5:E7"/>
    <mergeCell ref="A4:V4"/>
    <mergeCell ref="V5:V7"/>
    <mergeCell ref="I5:L5"/>
    <mergeCell ref="M5:P5"/>
    <mergeCell ref="A68:H68"/>
    <mergeCell ref="I68:L68"/>
    <mergeCell ref="A80:H80"/>
    <mergeCell ref="A76:H76"/>
    <mergeCell ref="A77:H77"/>
    <mergeCell ref="A78:H78"/>
    <mergeCell ref="I77:L77"/>
    <mergeCell ref="I78:L78"/>
    <mergeCell ref="I79:L79"/>
    <mergeCell ref="A75:H75"/>
    <mergeCell ref="A73:H73"/>
    <mergeCell ref="A74:H74"/>
    <mergeCell ref="I80:L80"/>
    <mergeCell ref="I70:L70"/>
    <mergeCell ref="A79:H79"/>
    <mergeCell ref="I75:L75"/>
    <mergeCell ref="F26:F27"/>
    <mergeCell ref="I73:L73"/>
    <mergeCell ref="M73:P73"/>
    <mergeCell ref="M75:P75"/>
    <mergeCell ref="M70:P70"/>
    <mergeCell ref="M72:P72"/>
    <mergeCell ref="I71:L71"/>
    <mergeCell ref="I72:L72"/>
    <mergeCell ref="M74:P74"/>
    <mergeCell ref="I74:L74"/>
    <mergeCell ref="A62:V62"/>
    <mergeCell ref="A26:A27"/>
    <mergeCell ref="B26:B27"/>
    <mergeCell ref="C26:C27"/>
    <mergeCell ref="D26:D27"/>
    <mergeCell ref="G26:G27"/>
    <mergeCell ref="E40:E45"/>
    <mergeCell ref="G44:G45"/>
    <mergeCell ref="D44:D45"/>
    <mergeCell ref="E26:E27"/>
  </mergeCells>
  <printOptions horizontalCentered="1"/>
  <pageMargins left="0" right="0" top="0" bottom="0" header="0.31496062992126" footer="0.31496062992126"/>
  <pageSetup horizontalDpi="600" verticalDpi="600" orientation="landscape" paperSize="9" scale="95" r:id="rId1"/>
  <headerFooter alignWithMargins="0">
    <oddFooter>&amp;CPuslapių &amp;P</oddFooter>
  </headerFooter>
  <rowBreaks count="2" manualBreakCount="2">
    <brk id="28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8515625" style="0" customWidth="1"/>
    <col min="4" max="4" width="11.00390625" style="0" customWidth="1"/>
    <col min="5" max="6" width="11.28125" style="0" customWidth="1"/>
  </cols>
  <sheetData>
    <row r="1" ht="10.5" customHeight="1"/>
    <row r="2" spans="1:6" ht="15.75" customHeight="1">
      <c r="A2" s="688" t="s">
        <v>45</v>
      </c>
      <c r="B2" s="688"/>
      <c r="C2" s="688"/>
      <c r="D2" s="688"/>
      <c r="E2" s="688"/>
      <c r="F2" s="688"/>
    </row>
    <row r="3" ht="15" customHeight="1" thickBot="1">
      <c r="F3" s="68" t="s">
        <v>0</v>
      </c>
    </row>
    <row r="4" spans="1:6" ht="19.5" customHeight="1">
      <c r="A4" s="692" t="s">
        <v>16</v>
      </c>
      <c r="B4" s="689" t="s">
        <v>122</v>
      </c>
      <c r="C4" s="692" t="s">
        <v>113</v>
      </c>
      <c r="D4" s="689" t="s">
        <v>172</v>
      </c>
      <c r="E4" s="689" t="s">
        <v>84</v>
      </c>
      <c r="F4" s="689" t="s">
        <v>111</v>
      </c>
    </row>
    <row r="5" spans="1:6" ht="19.5" customHeight="1">
      <c r="A5" s="695"/>
      <c r="B5" s="690"/>
      <c r="C5" s="693"/>
      <c r="D5" s="690"/>
      <c r="E5" s="690"/>
      <c r="F5" s="690"/>
    </row>
    <row r="6" spans="1:8" ht="19.5" customHeight="1">
      <c r="A6" s="695"/>
      <c r="B6" s="690"/>
      <c r="C6" s="693"/>
      <c r="D6" s="690"/>
      <c r="E6" s="690"/>
      <c r="F6" s="690"/>
      <c r="G6" s="10"/>
      <c r="H6" s="10"/>
    </row>
    <row r="7" spans="1:8" ht="19.5" customHeight="1" thickBot="1">
      <c r="A7" s="696"/>
      <c r="B7" s="691"/>
      <c r="C7" s="694"/>
      <c r="D7" s="691"/>
      <c r="E7" s="691"/>
      <c r="F7" s="691"/>
      <c r="G7" s="10"/>
      <c r="H7" s="10"/>
    </row>
    <row r="8" spans="1:8" ht="17.25" customHeight="1">
      <c r="A8" s="331" t="s">
        <v>24</v>
      </c>
      <c r="B8" s="332">
        <f>B9+B11</f>
        <v>9533.6</v>
      </c>
      <c r="C8" s="333">
        <f>C9+C11</f>
        <v>9303.9</v>
      </c>
      <c r="D8" s="332">
        <f>D9+D11</f>
        <v>8481.8</v>
      </c>
      <c r="E8" s="332">
        <f>SUM('1 lentelė'!U60)</f>
        <v>8694.300000000001</v>
      </c>
      <c r="F8" s="334">
        <f>SUM('1 lentelė'!V60)</f>
        <v>9833.300000000001</v>
      </c>
      <c r="G8" s="11"/>
      <c r="H8" s="10"/>
    </row>
    <row r="9" spans="1:8" ht="15" customHeight="1">
      <c r="A9" s="22" t="s">
        <v>30</v>
      </c>
      <c r="B9" s="4">
        <f>'1 lentelė'!J60</f>
        <v>7033.6</v>
      </c>
      <c r="C9" s="2">
        <f>'1 lentelė'!N60</f>
        <v>6990.2</v>
      </c>
      <c r="D9" s="337">
        <f>'1 lentelė'!R60</f>
        <v>6517.5</v>
      </c>
      <c r="E9" s="4"/>
      <c r="F9" s="63"/>
      <c r="G9" s="10"/>
      <c r="H9" s="10"/>
    </row>
    <row r="10" spans="1:8" ht="16.5" customHeight="1">
      <c r="A10" s="18" t="s">
        <v>31</v>
      </c>
      <c r="B10" s="5">
        <f>'1 lentelė'!K60</f>
        <v>3936.1</v>
      </c>
      <c r="C10" s="3">
        <f>'1 lentelė'!O60</f>
        <v>3920.0999999999995</v>
      </c>
      <c r="D10" s="338">
        <f>'1 lentelė'!S60</f>
        <v>3763.7</v>
      </c>
      <c r="E10" s="4"/>
      <c r="F10" s="64"/>
      <c r="G10" s="10"/>
      <c r="H10" s="10"/>
    </row>
    <row r="11" spans="1:8" ht="27.75" customHeight="1" thickBot="1">
      <c r="A11" s="23" t="s">
        <v>17</v>
      </c>
      <c r="B11" s="14">
        <f>'1 lentelė'!L60</f>
        <v>2499.9999999999995</v>
      </c>
      <c r="C11" s="15">
        <f>'1 lentelė'!P60</f>
        <v>2313.7</v>
      </c>
      <c r="D11" s="339">
        <f>'1 lentelė'!T60</f>
        <v>1964.3</v>
      </c>
      <c r="E11" s="14"/>
      <c r="F11" s="65"/>
      <c r="G11" s="10"/>
      <c r="H11" s="10"/>
    </row>
    <row r="12" spans="1:6" ht="19.5" customHeight="1" thickBot="1">
      <c r="A12" s="335" t="s">
        <v>27</v>
      </c>
      <c r="B12" s="336">
        <f>B22+B13</f>
        <v>9533.6</v>
      </c>
      <c r="C12" s="336">
        <f>C13+C22</f>
        <v>9303.900000000001</v>
      </c>
      <c r="D12" s="336">
        <f>D13+D22</f>
        <v>8481.8</v>
      </c>
      <c r="E12" s="336">
        <f>E13+E22</f>
        <v>8694.3</v>
      </c>
      <c r="F12" s="336">
        <f>F13+F22</f>
        <v>9833.3</v>
      </c>
    </row>
    <row r="13" spans="1:6" ht="18" customHeight="1" thickBot="1">
      <c r="A13" s="24" t="s">
        <v>26</v>
      </c>
      <c r="B13" s="12">
        <f>B14+B21</f>
        <v>7571.2</v>
      </c>
      <c r="C13" s="12">
        <f>C14+C21</f>
        <v>6452.6</v>
      </c>
      <c r="D13" s="12">
        <f>D14+D21</f>
        <v>5799.5</v>
      </c>
      <c r="E13" s="12">
        <f>E14+E21</f>
        <v>7567.5</v>
      </c>
      <c r="F13" s="12">
        <f>F14+F21</f>
        <v>7266.5</v>
      </c>
    </row>
    <row r="14" spans="1:6" ht="18" customHeight="1">
      <c r="A14" s="25" t="s">
        <v>72</v>
      </c>
      <c r="B14" s="6">
        <f>SUM(B15:B20)</f>
        <v>7547.4</v>
      </c>
      <c r="C14" s="6">
        <f>SUM(C15:C20)</f>
        <v>6452.6</v>
      </c>
      <c r="D14" s="340">
        <f>SUM(D15:D20)</f>
        <v>5799.5</v>
      </c>
      <c r="E14" s="6">
        <f>SUM(E15:E20)</f>
        <v>7567.5</v>
      </c>
      <c r="F14" s="6">
        <f>SUM(F15:F20)</f>
        <v>7266.5</v>
      </c>
    </row>
    <row r="15" spans="1:8" ht="18" customHeight="1">
      <c r="A15" s="19" t="s">
        <v>73</v>
      </c>
      <c r="B15" s="7">
        <f>SUM('1 lentelė'!I68:L68)</f>
        <v>668.7</v>
      </c>
      <c r="C15" s="7">
        <f>'1 lentelė'!M68</f>
        <v>573.8</v>
      </c>
      <c r="D15" s="338">
        <f>'1 lentelė'!Q68</f>
        <v>495.49999999999994</v>
      </c>
      <c r="E15" s="7">
        <f>SUMIF('1 lentelė'!H56:'1 lentelė'!H12,"SB",'1 lentelė'!U12:'1 lentelė'!U56)</f>
        <v>817.8</v>
      </c>
      <c r="F15" s="7">
        <f>SUMIF('1 lentelė'!H56:'1 lentelė'!H12,"sb",'1 lentelė'!V12:'1 lentelė'!V56)</f>
        <v>817.8</v>
      </c>
      <c r="H15" s="13"/>
    </row>
    <row r="16" spans="1:6" ht="39" customHeight="1">
      <c r="A16" s="18" t="s">
        <v>168</v>
      </c>
      <c r="B16" s="4">
        <f>SUM('1 lentelė'!I69:L69)</f>
        <v>266</v>
      </c>
      <c r="C16" s="4">
        <f>'1 lentelė'!M69</f>
        <v>300</v>
      </c>
      <c r="D16" s="337">
        <f>'1 lentelė'!Q69</f>
        <v>298</v>
      </c>
      <c r="E16" s="4">
        <f>SUMIF('1 lentelė'!H56:'1 lentelė'!H12,"SB(AA)",'1 lentelė'!U12:'1 lentelė'!U56)</f>
        <v>280</v>
      </c>
      <c r="F16" s="7">
        <f>SUMIF('1 lentelė'!H56:'1 lentelė'!H12,"sb(aa)",'1 lentelė'!V12:'1 lentelė'!V56)</f>
        <v>280</v>
      </c>
    </row>
    <row r="17" spans="1:6" ht="38.25" customHeight="1">
      <c r="A17" s="18" t="s">
        <v>169</v>
      </c>
      <c r="B17" s="4">
        <f>SUM('1 lentelė'!I70:L70)</f>
        <v>0</v>
      </c>
      <c r="C17" s="4">
        <f>SUM('1 lentelė'!M70:P70)</f>
        <v>54</v>
      </c>
      <c r="D17" s="337">
        <f>SUMIF('1 lentelė'!H56:'1 lentelė'!H12,"sb(aal)",'1 lentelė'!Q12:'1 lentelė'!Q56)</f>
        <v>70</v>
      </c>
      <c r="E17" s="4">
        <v>30</v>
      </c>
      <c r="F17" s="4">
        <f>SUM('1 lentelė'!V14)</f>
        <v>30</v>
      </c>
    </row>
    <row r="18" spans="1:6" ht="30.75" customHeight="1">
      <c r="A18" s="18" t="s">
        <v>106</v>
      </c>
      <c r="B18" s="8">
        <f>'1 lentelė'!I71</f>
        <v>100</v>
      </c>
      <c r="C18" s="8">
        <f>SUM('1 lentelė'!M71:P71)</f>
        <v>115</v>
      </c>
      <c r="D18" s="341">
        <f>'1 lentelė'!Q71</f>
        <v>115</v>
      </c>
      <c r="E18" s="8">
        <f>SUMIF('1 lentelė'!H56:'1 lentelė'!H12,"SB(SP)",'1 lentelė'!U12:'1 lentelė'!U56)</f>
        <v>100</v>
      </c>
      <c r="F18" s="8">
        <f>SUMIF('1 lentelė'!H56:'1 lentelė'!H12,"sb(sp)",'1 lentelė'!V12:'1 lentelė'!V56)</f>
        <v>100</v>
      </c>
    </row>
    <row r="19" spans="1:6" ht="28.5" customHeight="1">
      <c r="A19" s="18" t="s">
        <v>74</v>
      </c>
      <c r="B19" s="4">
        <f>SUM('1 lentelė'!I72:L72)</f>
        <v>5022</v>
      </c>
      <c r="C19" s="4">
        <f>SUM('1 lentelė'!M72:P72)</f>
        <v>5309.8</v>
      </c>
      <c r="D19" s="337">
        <f>'1 lentelė'!Q72</f>
        <v>4821</v>
      </c>
      <c r="E19" s="4">
        <f>SUMIF('1 lentelė'!H56:'1 lentelė'!H12,"SB(VB)",'1 lentelė'!U12:'1 lentelė'!U56)</f>
        <v>6038.7</v>
      </c>
      <c r="F19" s="4">
        <f>SUMIF('1 lentelė'!H56:'1 lentelė'!H12,"sb(vb)",'1 lentelė'!V12:'1 lentelė'!V56)</f>
        <v>6038.7</v>
      </c>
    </row>
    <row r="20" spans="1:6" ht="15.75" customHeight="1">
      <c r="A20" s="19" t="s">
        <v>130</v>
      </c>
      <c r="B20" s="7">
        <f>'1 lentelė'!I73</f>
        <v>1490.7</v>
      </c>
      <c r="C20" s="7">
        <f>'1 lentelė'!M73</f>
        <v>100</v>
      </c>
      <c r="D20" s="338">
        <f>'1 lentelė'!Q73</f>
        <v>0</v>
      </c>
      <c r="E20" s="7">
        <f>SUMIF('1 lentelė'!H56:'1 lentelė'!H12,"sb(P)",'1 lentelė'!U12:'1 lentelė'!U56)</f>
        <v>301</v>
      </c>
      <c r="F20" s="7">
        <f>SUMIF('1 lentelė'!H12:'1 lentelė'!H56,"sb(p)",'1 lentelė'!V56:'1 lentelė'!V12)</f>
        <v>0</v>
      </c>
    </row>
    <row r="21" spans="1:6" ht="27.75" customHeight="1" thickBot="1">
      <c r="A21" s="26" t="s">
        <v>28</v>
      </c>
      <c r="B21" s="6">
        <f>SUM('1 lentelė'!I74:L74)</f>
        <v>23.8</v>
      </c>
      <c r="C21" s="6">
        <f>'1 lentelė'!M74</f>
        <v>0</v>
      </c>
      <c r="D21" s="340">
        <f>'1 lentelė'!Q74</f>
        <v>0</v>
      </c>
      <c r="E21" s="6">
        <f>SUMIF('1 lentelė'!H56:'1 lentelė'!H12,"PF",'1 lentelė'!U12:'1 lentelė'!U56)</f>
        <v>0</v>
      </c>
      <c r="F21" s="27"/>
    </row>
    <row r="22" spans="1:6" ht="15.75" customHeight="1" thickBot="1">
      <c r="A22" s="28" t="s">
        <v>25</v>
      </c>
      <c r="B22" s="12">
        <f>SUM(B23:B26)</f>
        <v>1962.3999999999999</v>
      </c>
      <c r="C22" s="12">
        <f>SUM(C23:C26)</f>
        <v>2851.3</v>
      </c>
      <c r="D22" s="12">
        <f>SUM(D23:D26)</f>
        <v>2682.3</v>
      </c>
      <c r="E22" s="12">
        <f>SUM(E23:E26)</f>
        <v>1126.8</v>
      </c>
      <c r="F22" s="12">
        <f>SUM(F23:F26)</f>
        <v>2566.8</v>
      </c>
    </row>
    <row r="23" spans="1:6" ht="16.5" customHeight="1">
      <c r="A23" s="16" t="s">
        <v>70</v>
      </c>
      <c r="B23" s="17">
        <f>'1 lentelė'!I76</f>
        <v>812.3</v>
      </c>
      <c r="C23" s="17">
        <f>SUM('1 lentelė'!M76:P76)</f>
        <v>270.1</v>
      </c>
      <c r="D23" s="342">
        <f>'1 lentelė'!Q76</f>
        <v>70.1</v>
      </c>
      <c r="E23" s="17">
        <f>SUMIF('1 lentelė'!H56:'1 lentelė'!H12,"ES",'1 lentelė'!U12:'1 lentelė'!U56)</f>
        <v>0</v>
      </c>
      <c r="F23" s="17">
        <f>SUMIF('1 lentelė'!H56:'1 lentelė'!H12,"es",'1 lentelė'!V12:'1 lentelė'!V56)</f>
        <v>0</v>
      </c>
    </row>
    <row r="24" spans="1:9" ht="15.75" customHeight="1">
      <c r="A24" s="20" t="s">
        <v>75</v>
      </c>
      <c r="B24" s="9">
        <f>'1 lentelė'!I77</f>
        <v>377.4</v>
      </c>
      <c r="C24" s="7">
        <f>SUM('1 lentelė'!M77:P77)</f>
        <v>235.9</v>
      </c>
      <c r="D24" s="343">
        <f>'1 lentelė'!Q77</f>
        <v>226.8</v>
      </c>
      <c r="E24" s="9">
        <f>SUMIF('1 lentelė'!H56:'1 lentelė'!H12,"LRVB",'1 lentelė'!U12:'1 lentelė'!U56)</f>
        <v>223.3</v>
      </c>
      <c r="F24" s="9">
        <f>SUMIF('1 lentelė'!H56:'1 lentelė'!H12,"lrvb",'1 lentelė'!V12:'1 lentelė'!V56)</f>
        <v>223.3</v>
      </c>
      <c r="I24" s="13"/>
    </row>
    <row r="25" spans="1:9" ht="28.5" customHeight="1">
      <c r="A25" s="19" t="s">
        <v>170</v>
      </c>
      <c r="B25" s="7">
        <f>'1 lentelė'!I78</f>
        <v>772.7</v>
      </c>
      <c r="C25" s="7">
        <f>SUM('1 lentelė'!M78:P78)</f>
        <v>426.59999999999997</v>
      </c>
      <c r="D25" s="338">
        <f>'1 lentelė'!Q78</f>
        <v>503.6</v>
      </c>
      <c r="E25" s="7">
        <f>SUMIF('1 lentelė'!H56:'1 lentelė'!H12,"PSDF",'1 lentelė'!U12:'1 lentelė'!U56)</f>
        <v>688.5</v>
      </c>
      <c r="F25" s="7">
        <f>SUMIF('1 lentelė'!H56:'1 lentelė'!H12,"psdf",'1 lentelė'!V12:'1 lentelė'!V56)</f>
        <v>688.5</v>
      </c>
      <c r="I25" s="13"/>
    </row>
    <row r="26" spans="1:6" ht="18" customHeight="1" thickBot="1">
      <c r="A26" s="21" t="s">
        <v>94</v>
      </c>
      <c r="B26" s="14">
        <f>SUM('1 lentelė'!I79:L79)</f>
        <v>0</v>
      </c>
      <c r="C26" s="14">
        <f>'1 lentelė'!M79</f>
        <v>1918.7</v>
      </c>
      <c r="D26" s="344">
        <f>'1 lentelė'!Q79</f>
        <v>1881.8</v>
      </c>
      <c r="E26" s="14">
        <f>SUMIF('1 lentelė'!H56:'1 lentelė'!H12,"KT",'1 lentelė'!U12:'1 lentelė'!U56)</f>
        <v>215</v>
      </c>
      <c r="F26" s="14">
        <f>SUMIF('1 lentelė'!H56:'1 lentelė'!H12,"kt",'1 lentelė'!V12:'1 lentelė'!V56)</f>
        <v>1655</v>
      </c>
    </row>
    <row r="27" spans="1:6" ht="15" customHeight="1">
      <c r="A27" s="697">
        <f>'1 lentelė'!A61:V61</f>
        <v>0</v>
      </c>
      <c r="B27" s="698"/>
      <c r="C27" s="698"/>
      <c r="D27" s="698"/>
      <c r="E27" s="698"/>
      <c r="F27" s="698"/>
    </row>
    <row r="28" spans="1:6" ht="28.5" customHeight="1">
      <c r="A28" s="699">
        <f>'1 lentelė'!A62:V62</f>
        <v>0</v>
      </c>
      <c r="B28" s="700"/>
      <c r="C28" s="700"/>
      <c r="D28" s="700"/>
      <c r="E28" s="700"/>
      <c r="F28" s="700"/>
    </row>
    <row r="29" spans="1:6" ht="12.75">
      <c r="A29" s="84"/>
      <c r="B29" s="84"/>
      <c r="C29" s="62"/>
      <c r="D29" s="62"/>
      <c r="E29" s="84"/>
      <c r="F29" s="62"/>
    </row>
    <row r="30" spans="1:6" ht="12.75">
      <c r="A30" s="84"/>
      <c r="B30" s="84"/>
      <c r="C30" s="62"/>
      <c r="D30" s="62"/>
      <c r="E30" s="84"/>
      <c r="F30" s="62"/>
    </row>
    <row r="31" spans="1:6" ht="12.75">
      <c r="A31" s="84"/>
      <c r="B31" s="62"/>
      <c r="C31" s="82"/>
      <c r="D31" s="62"/>
      <c r="E31" s="62"/>
      <c r="F31" s="62"/>
    </row>
    <row r="32" spans="1:6" ht="12.75" customHeight="1">
      <c r="A32" s="686"/>
      <c r="B32" s="687"/>
      <c r="C32" s="77"/>
      <c r="D32" s="62"/>
      <c r="E32" s="84"/>
      <c r="F32" s="62"/>
    </row>
    <row r="33" spans="1:6" ht="12.75" customHeight="1">
      <c r="A33" s="85"/>
      <c r="B33" s="86"/>
      <c r="C33" s="77"/>
      <c r="D33" s="62"/>
      <c r="E33" s="84"/>
      <c r="F33" s="62"/>
    </row>
    <row r="34" spans="1:6" ht="12.75">
      <c r="A34" s="87"/>
      <c r="B34" s="87"/>
      <c r="C34" s="62"/>
      <c r="D34" s="62"/>
      <c r="E34" s="62"/>
      <c r="F34" s="62"/>
    </row>
    <row r="35" spans="1:6" ht="12.75">
      <c r="A35" s="87"/>
      <c r="B35" s="87"/>
      <c r="C35" s="62"/>
      <c r="D35" s="62"/>
      <c r="E35" s="62"/>
      <c r="F35" s="62"/>
    </row>
    <row r="36" spans="1:6" ht="12.75">
      <c r="A36" s="84"/>
      <c r="B36" s="62"/>
      <c r="C36" s="62"/>
      <c r="D36" s="62"/>
      <c r="E36" s="62"/>
      <c r="F36" s="62"/>
    </row>
    <row r="37" spans="1:6" ht="12.75">
      <c r="A37" s="84"/>
      <c r="B37" s="62"/>
      <c r="C37" s="62"/>
      <c r="D37" s="62"/>
      <c r="E37" s="62"/>
      <c r="F37" s="62"/>
    </row>
    <row r="38" spans="1:7" ht="12.75">
      <c r="A38" s="88"/>
      <c r="B38" s="62"/>
      <c r="C38" s="62"/>
      <c r="D38" s="62"/>
      <c r="E38" s="62"/>
      <c r="F38" s="62"/>
      <c r="G38" s="83"/>
    </row>
    <row r="39" spans="1:6" ht="12.75">
      <c r="A39" s="84"/>
      <c r="B39" s="62"/>
      <c r="C39" s="62"/>
      <c r="D39" s="62"/>
      <c r="E39" s="84"/>
      <c r="F39" s="62"/>
    </row>
    <row r="40" spans="1:6" ht="12.75">
      <c r="A40" s="62"/>
      <c r="B40" s="62"/>
      <c r="C40" s="62"/>
      <c r="D40" s="62"/>
      <c r="E40" s="62"/>
      <c r="F40" s="62"/>
    </row>
    <row r="41" spans="1:6" ht="12.75">
      <c r="A41" s="62"/>
      <c r="B41" s="62"/>
      <c r="C41" s="62"/>
      <c r="D41" s="62"/>
      <c r="E41" s="62"/>
      <c r="F41" s="62"/>
    </row>
    <row r="42" spans="1:6" ht="12.75">
      <c r="A42" s="62"/>
      <c r="B42" s="62"/>
      <c r="C42" s="62"/>
      <c r="D42" s="62"/>
      <c r="E42" s="62"/>
      <c r="F42" s="62"/>
    </row>
    <row r="43" spans="1:6" ht="12.75">
      <c r="A43" s="62"/>
      <c r="B43" s="62"/>
      <c r="C43" s="62"/>
      <c r="D43" s="62"/>
      <c r="E43" s="62"/>
      <c r="F43" s="62"/>
    </row>
    <row r="44" spans="1:6" ht="12.75">
      <c r="A44" s="62"/>
      <c r="B44" s="62"/>
      <c r="C44" s="62"/>
      <c r="D44" s="62"/>
      <c r="E44" s="62"/>
      <c r="F44" s="62"/>
    </row>
    <row r="45" spans="1:6" ht="12.75">
      <c r="A45" s="62"/>
      <c r="B45" s="62"/>
      <c r="C45" s="62"/>
      <c r="D45" s="62"/>
      <c r="E45" s="62"/>
      <c r="F45" s="62"/>
    </row>
  </sheetData>
  <sheetProtection/>
  <mergeCells count="10">
    <mergeCell ref="A32:B32"/>
    <mergeCell ref="A2:F2"/>
    <mergeCell ref="E4:E7"/>
    <mergeCell ref="F4:F7"/>
    <mergeCell ref="C4:C7"/>
    <mergeCell ref="A4:A7"/>
    <mergeCell ref="B4:B7"/>
    <mergeCell ref="D4:D7"/>
    <mergeCell ref="A27:F27"/>
    <mergeCell ref="A28:F28"/>
  </mergeCells>
  <printOptions horizontalCentered="1"/>
  <pageMargins left="0.5905511811023623" right="0.35433070866141736" top="0.1968503937007874" bottom="0.1968503937007874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3.140625" style="66" customWidth="1"/>
    <col min="2" max="2" width="68.8515625" style="66" customWidth="1"/>
    <col min="3" max="3" width="13.00390625" style="322" customWidth="1"/>
    <col min="4" max="4" width="10.7109375" style="66" customWidth="1"/>
    <col min="5" max="5" width="10.28125" style="66" customWidth="1"/>
    <col min="6" max="6" width="10.421875" style="66" customWidth="1"/>
    <col min="7" max="7" width="10.8515625" style="66" customWidth="1"/>
    <col min="8" max="16384" width="9.140625" style="66" customWidth="1"/>
  </cols>
  <sheetData>
    <row r="1" spans="1:7" ht="18.75" customHeight="1">
      <c r="A1" s="34"/>
      <c r="B1" s="34" t="s">
        <v>46</v>
      </c>
      <c r="C1" s="35"/>
      <c r="D1" s="35"/>
      <c r="E1" s="35"/>
      <c r="F1" s="36"/>
      <c r="G1" s="37" t="s">
        <v>47</v>
      </c>
    </row>
    <row r="2" spans="1:7" ht="27" customHeight="1">
      <c r="A2" s="38"/>
      <c r="B2" s="39" t="s">
        <v>66</v>
      </c>
      <c r="C2" s="40" t="s">
        <v>48</v>
      </c>
      <c r="D2" s="41" t="s">
        <v>40</v>
      </c>
      <c r="E2" s="42"/>
      <c r="F2" s="42"/>
      <c r="G2" s="42"/>
    </row>
    <row r="3" spans="1:7" ht="15" customHeight="1">
      <c r="A3" s="38"/>
      <c r="B3" s="43" t="s">
        <v>49</v>
      </c>
      <c r="C3" s="44"/>
      <c r="D3" s="45"/>
      <c r="E3" s="42"/>
      <c r="F3" s="42"/>
      <c r="G3" s="42"/>
    </row>
    <row r="4" spans="1:7" ht="25.5" customHeight="1">
      <c r="A4" s="38"/>
      <c r="B4" s="56" t="s">
        <v>171</v>
      </c>
      <c r="C4" s="40" t="s">
        <v>48</v>
      </c>
      <c r="D4" s="41" t="s">
        <v>44</v>
      </c>
      <c r="E4" s="42"/>
      <c r="F4" s="42"/>
      <c r="G4" s="42"/>
    </row>
    <row r="5" spans="1:7" ht="15.75" customHeight="1">
      <c r="A5" s="46"/>
      <c r="B5" s="43" t="s">
        <v>50</v>
      </c>
      <c r="C5" s="312"/>
      <c r="D5" s="313"/>
      <c r="E5" s="314"/>
      <c r="F5" s="315"/>
      <c r="G5" s="315"/>
    </row>
    <row r="6" spans="1:7" ht="8.25" customHeight="1">
      <c r="A6" s="47"/>
      <c r="B6" s="48"/>
      <c r="C6" s="79"/>
      <c r="D6" s="48"/>
      <c r="E6" s="47"/>
      <c r="F6" s="48"/>
      <c r="G6" s="48"/>
    </row>
    <row r="7" spans="1:7" ht="18.75" customHeight="1">
      <c r="A7" s="705" t="s">
        <v>67</v>
      </c>
      <c r="B7" s="707" t="s">
        <v>51</v>
      </c>
      <c r="C7" s="708" t="s">
        <v>52</v>
      </c>
      <c r="D7" s="710" t="s">
        <v>146</v>
      </c>
      <c r="E7" s="701" t="s">
        <v>53</v>
      </c>
      <c r="F7" s="703" t="s">
        <v>87</v>
      </c>
      <c r="G7" s="703" t="s">
        <v>144</v>
      </c>
    </row>
    <row r="8" spans="1:7" ht="42.75" customHeight="1">
      <c r="A8" s="706"/>
      <c r="B8" s="707"/>
      <c r="C8" s="709" t="s">
        <v>18</v>
      </c>
      <c r="D8" s="711"/>
      <c r="E8" s="702"/>
      <c r="F8" s="704"/>
      <c r="G8" s="704"/>
    </row>
    <row r="9" spans="1:7" ht="15">
      <c r="A9" s="69" t="s">
        <v>62</v>
      </c>
      <c r="B9" s="70" t="s">
        <v>54</v>
      </c>
      <c r="C9" s="58"/>
      <c r="D9" s="49"/>
      <c r="E9" s="58"/>
      <c r="F9" s="49"/>
      <c r="G9" s="71"/>
    </row>
    <row r="10" spans="1:7" ht="16.5" customHeight="1">
      <c r="A10" s="50"/>
      <c r="B10" s="292" t="s">
        <v>55</v>
      </c>
      <c r="C10" s="51"/>
      <c r="D10" s="51"/>
      <c r="E10" s="59"/>
      <c r="F10" s="51"/>
      <c r="G10" s="53"/>
    </row>
    <row r="11" spans="1:7" ht="16.5" customHeight="1">
      <c r="A11" s="50"/>
      <c r="B11" s="78" t="s">
        <v>158</v>
      </c>
      <c r="C11" s="51" t="s">
        <v>91</v>
      </c>
      <c r="D11" s="51" t="s">
        <v>154</v>
      </c>
      <c r="E11" s="59" t="s">
        <v>155</v>
      </c>
      <c r="F11" s="51" t="s">
        <v>155</v>
      </c>
      <c r="G11" s="53" t="s">
        <v>155</v>
      </c>
    </row>
    <row r="12" spans="1:7" ht="16.5" customHeight="1">
      <c r="A12" s="50"/>
      <c r="B12" s="78" t="s">
        <v>159</v>
      </c>
      <c r="C12" s="51" t="s">
        <v>92</v>
      </c>
      <c r="D12" s="51" t="s">
        <v>154</v>
      </c>
      <c r="E12" s="59" t="s">
        <v>155</v>
      </c>
      <c r="F12" s="51" t="s">
        <v>155</v>
      </c>
      <c r="G12" s="53" t="s">
        <v>155</v>
      </c>
    </row>
    <row r="13" spans="1:11" ht="13.5" customHeight="1">
      <c r="A13" s="52"/>
      <c r="B13" s="57" t="s">
        <v>160</v>
      </c>
      <c r="C13" s="51" t="s">
        <v>93</v>
      </c>
      <c r="D13" s="72">
        <v>9</v>
      </c>
      <c r="E13" s="293" t="s">
        <v>56</v>
      </c>
      <c r="F13" s="72" t="s">
        <v>56</v>
      </c>
      <c r="G13" s="294" t="s">
        <v>132</v>
      </c>
      <c r="H13" s="316"/>
      <c r="I13" s="316"/>
      <c r="J13" s="316"/>
      <c r="K13" s="316"/>
    </row>
    <row r="14" spans="1:11" ht="63.75" customHeight="1">
      <c r="A14" s="52"/>
      <c r="B14" s="57" t="s">
        <v>161</v>
      </c>
      <c r="C14" s="51" t="s">
        <v>156</v>
      </c>
      <c r="D14" s="317" t="s">
        <v>150</v>
      </c>
      <c r="E14" s="308" t="s">
        <v>148</v>
      </c>
      <c r="F14" s="307" t="s">
        <v>149</v>
      </c>
      <c r="G14" s="307" t="s">
        <v>147</v>
      </c>
      <c r="H14" s="74"/>
      <c r="I14" s="74"/>
      <c r="J14" s="318"/>
      <c r="K14" s="318"/>
    </row>
    <row r="15" spans="1:11" ht="25.5" customHeight="1">
      <c r="A15" s="52"/>
      <c r="B15" s="57" t="s">
        <v>162</v>
      </c>
      <c r="C15" s="51" t="s">
        <v>157</v>
      </c>
      <c r="D15" s="319">
        <v>6.65</v>
      </c>
      <c r="E15" s="295">
        <v>8.5</v>
      </c>
      <c r="F15" s="73">
        <v>8.5</v>
      </c>
      <c r="G15" s="73">
        <v>8.3</v>
      </c>
      <c r="H15" s="75"/>
      <c r="I15" s="75"/>
      <c r="J15" s="318"/>
      <c r="K15" s="318"/>
    </row>
    <row r="16" spans="1:11" ht="12.75">
      <c r="A16" s="50"/>
      <c r="B16" s="296" t="s">
        <v>57</v>
      </c>
      <c r="C16" s="51"/>
      <c r="D16" s="51"/>
      <c r="E16" s="80"/>
      <c r="F16" s="53"/>
      <c r="G16" s="53"/>
      <c r="H16" s="76"/>
      <c r="I16" s="324"/>
      <c r="J16" s="318"/>
      <c r="K16" s="318"/>
    </row>
    <row r="17" spans="1:11" ht="12.75">
      <c r="A17" s="50"/>
      <c r="B17" s="292" t="s">
        <v>55</v>
      </c>
      <c r="C17" s="51"/>
      <c r="D17" s="51"/>
      <c r="E17" s="80"/>
      <c r="F17" s="53"/>
      <c r="G17" s="53"/>
      <c r="H17" s="318"/>
      <c r="I17" s="318"/>
      <c r="J17" s="318"/>
      <c r="K17" s="318"/>
    </row>
    <row r="18" spans="1:7" ht="12.75">
      <c r="A18" s="50"/>
      <c r="B18" s="297" t="s">
        <v>58</v>
      </c>
      <c r="C18" s="51"/>
      <c r="D18" s="51"/>
      <c r="E18" s="80"/>
      <c r="F18" s="53"/>
      <c r="G18" s="53"/>
    </row>
    <row r="19" spans="1:7" ht="27.75" customHeight="1">
      <c r="A19" s="52"/>
      <c r="B19" s="57" t="s">
        <v>152</v>
      </c>
      <c r="C19" s="51" t="s">
        <v>59</v>
      </c>
      <c r="D19" s="51">
        <v>6735</v>
      </c>
      <c r="E19" s="80">
        <v>6115</v>
      </c>
      <c r="F19" s="53">
        <v>8220</v>
      </c>
      <c r="G19" s="53">
        <v>8220</v>
      </c>
    </row>
    <row r="20" spans="1:7" ht="18" customHeight="1">
      <c r="A20" s="55"/>
      <c r="B20" s="422" t="s">
        <v>88</v>
      </c>
      <c r="C20" s="51" t="s">
        <v>60</v>
      </c>
      <c r="D20" s="51">
        <v>16</v>
      </c>
      <c r="E20" s="421">
        <f>16+4</f>
        <v>20</v>
      </c>
      <c r="F20" s="53">
        <v>16</v>
      </c>
      <c r="G20" s="53">
        <v>16</v>
      </c>
    </row>
    <row r="21" spans="1:7" ht="18" customHeight="1">
      <c r="A21" s="55"/>
      <c r="B21" s="422" t="s">
        <v>151</v>
      </c>
      <c r="C21" s="51" t="s">
        <v>89</v>
      </c>
      <c r="D21" s="51">
        <v>32</v>
      </c>
      <c r="E21" s="421">
        <f>34-3</f>
        <v>31</v>
      </c>
      <c r="F21" s="53">
        <v>34</v>
      </c>
      <c r="G21" s="53">
        <v>34</v>
      </c>
    </row>
    <row r="22" spans="1:7" ht="12.75">
      <c r="A22" s="50"/>
      <c r="B22" s="61" t="s">
        <v>61</v>
      </c>
      <c r="C22" s="51"/>
      <c r="D22" s="51"/>
      <c r="E22" s="80"/>
      <c r="F22" s="53"/>
      <c r="G22" s="53"/>
    </row>
    <row r="23" spans="1:7" ht="15.75" customHeight="1">
      <c r="A23" s="55"/>
      <c r="B23" s="78" t="s">
        <v>133</v>
      </c>
      <c r="C23" s="81" t="s">
        <v>137</v>
      </c>
      <c r="D23" s="323">
        <v>63</v>
      </c>
      <c r="E23" s="298">
        <v>80</v>
      </c>
      <c r="F23" s="53">
        <v>80</v>
      </c>
      <c r="G23" s="53">
        <v>80</v>
      </c>
    </row>
    <row r="24" spans="1:7" ht="15.75" customHeight="1">
      <c r="A24" s="55"/>
      <c r="B24" s="78" t="s">
        <v>134</v>
      </c>
      <c r="C24" s="81" t="s">
        <v>138</v>
      </c>
      <c r="D24" s="323">
        <v>22821</v>
      </c>
      <c r="E24" s="298">
        <v>29200</v>
      </c>
      <c r="F24" s="53">
        <v>29200</v>
      </c>
      <c r="G24" s="53">
        <v>29200</v>
      </c>
    </row>
    <row r="25" spans="1:7" ht="15.75" customHeight="1">
      <c r="A25" s="55"/>
      <c r="B25" s="78" t="s">
        <v>135</v>
      </c>
      <c r="C25" s="81" t="s">
        <v>139</v>
      </c>
      <c r="D25" s="323">
        <v>15849</v>
      </c>
      <c r="E25" s="329">
        <v>16000</v>
      </c>
      <c r="F25" s="330">
        <v>16000</v>
      </c>
      <c r="G25" s="330">
        <v>16000</v>
      </c>
    </row>
    <row r="26" spans="1:7" ht="12.75">
      <c r="A26" s="320"/>
      <c r="B26" s="78" t="s">
        <v>136</v>
      </c>
      <c r="C26" s="81" t="s">
        <v>140</v>
      </c>
      <c r="D26" s="325">
        <v>1227</v>
      </c>
      <c r="E26" s="60">
        <v>1880</v>
      </c>
      <c r="F26" s="54">
        <v>1880</v>
      </c>
      <c r="G26" s="54">
        <v>1880</v>
      </c>
    </row>
    <row r="27" spans="1:7" ht="12.75">
      <c r="A27" s="50"/>
      <c r="B27" s="61" t="s">
        <v>90</v>
      </c>
      <c r="C27" s="51"/>
      <c r="D27" s="51"/>
      <c r="E27" s="80"/>
      <c r="F27" s="53"/>
      <c r="G27" s="53"/>
    </row>
    <row r="28" spans="1:11" ht="15.75" customHeight="1">
      <c r="A28" s="309"/>
      <c r="B28" s="429" t="s">
        <v>163</v>
      </c>
      <c r="C28" s="310" t="s">
        <v>141</v>
      </c>
      <c r="D28" s="311">
        <v>1</v>
      </c>
      <c r="E28" s="321"/>
      <c r="F28" s="430">
        <f>2-1</f>
        <v>1</v>
      </c>
      <c r="G28" s="311">
        <v>1</v>
      </c>
      <c r="H28" s="75"/>
      <c r="I28" s="75"/>
      <c r="J28" s="318"/>
      <c r="K28" s="318"/>
    </row>
    <row r="29" ht="12.75"/>
    <row r="30" ht="12.75"/>
    <row r="31" ht="12.75"/>
    <row r="32" ht="12.75"/>
  </sheetData>
  <sheetProtection/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3937007874015748" right="0.7480314960629921" top="0.5905511811023623" bottom="0.1968503937007874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L.Demidova</cp:lastModifiedBy>
  <cp:lastPrinted>2012-07-07T19:32:42Z</cp:lastPrinted>
  <dcterms:created xsi:type="dcterms:W3CDTF">2007-07-27T10:32:34Z</dcterms:created>
  <dcterms:modified xsi:type="dcterms:W3CDTF">2012-07-12T13:03:32Z</dcterms:modified>
  <cp:category/>
  <cp:version/>
  <cp:contentType/>
  <cp:contentStatus/>
</cp:coreProperties>
</file>